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616DBE3C-DEF4-9145-80B8-8A21FB063FAA}" xr6:coauthVersionLast="46" xr6:coauthVersionMax="46" xr10:uidLastSave="{00000000-0000-0000-0000-000000000000}"/>
  <bookViews>
    <workbookView xWindow="-67380" yWindow="-4920" windowWidth="30560" windowHeight="2530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2" l="1"/>
  <c r="S12" i="2" s="1"/>
  <c r="T12" i="2" s="1"/>
  <c r="U12" i="2" s="1"/>
  <c r="Q12" i="2"/>
  <c r="N12" i="2"/>
  <c r="O12" i="2" s="1"/>
  <c r="P12" i="2" s="1"/>
  <c r="M12" i="2"/>
  <c r="L12" i="2"/>
  <c r="C5" i="2"/>
  <c r="H17" i="2"/>
  <c r="I17" i="2" s="1"/>
  <c r="J17" i="2" s="1"/>
  <c r="K17" i="2" s="1"/>
  <c r="H16" i="2"/>
  <c r="I16" i="2" s="1"/>
  <c r="J16" i="2" s="1"/>
  <c r="K16" i="2" s="1"/>
  <c r="H15" i="2"/>
  <c r="I15" i="2" s="1"/>
  <c r="J15" i="2" s="1"/>
  <c r="K15" i="2" s="1"/>
  <c r="G16" i="2"/>
  <c r="G15" i="2"/>
  <c r="H10" i="2"/>
  <c r="I10" i="2" s="1"/>
  <c r="J10" i="2" s="1"/>
  <c r="K10" i="2" s="1"/>
  <c r="G10" i="2"/>
  <c r="F43" i="2"/>
  <c r="F41" i="2"/>
  <c r="E43" i="2"/>
  <c r="E41" i="2"/>
  <c r="F17" i="2"/>
  <c r="U34" i="1"/>
  <c r="X34" i="1"/>
  <c r="X47" i="1" l="1"/>
  <c r="X39" i="1"/>
  <c r="X30" i="1"/>
  <c r="X26" i="1"/>
  <c r="X25" i="1"/>
  <c r="X11" i="1"/>
  <c r="X5" i="1"/>
  <c r="X7" i="1" s="1"/>
  <c r="X12" i="1" l="1"/>
  <c r="X20" i="1"/>
  <c r="X38" i="1"/>
  <c r="W47" i="1"/>
  <c r="W26" i="1"/>
  <c r="W25" i="1"/>
  <c r="W13" i="1"/>
  <c r="W10" i="1"/>
  <c r="W5" i="1"/>
  <c r="W7" i="1" s="1"/>
  <c r="W20" i="1" s="1"/>
  <c r="W11" i="1" l="1"/>
  <c r="X14" i="1"/>
  <c r="X21" i="1"/>
  <c r="F46" i="2"/>
  <c r="L16" i="2"/>
  <c r="M16" i="2" s="1"/>
  <c r="N16" i="2" s="1"/>
  <c r="O16" i="2" s="1"/>
  <c r="P16" i="2" s="1"/>
  <c r="Q16" i="2" s="1"/>
  <c r="L15" i="2"/>
  <c r="M15" i="2" s="1"/>
  <c r="N15" i="2" s="1"/>
  <c r="O15" i="2" s="1"/>
  <c r="P15" i="2" s="1"/>
  <c r="Q15" i="2" s="1"/>
  <c r="V10" i="1"/>
  <c r="U10" i="1"/>
  <c r="U47" i="1"/>
  <c r="U39" i="1"/>
  <c r="U26" i="1"/>
  <c r="U25" i="1"/>
  <c r="U11" i="1"/>
  <c r="U5" i="1"/>
  <c r="Y24" i="1" s="1"/>
  <c r="Q33" i="2" l="1"/>
  <c r="R16" i="2"/>
  <c r="Q32" i="2"/>
  <c r="R15" i="2"/>
  <c r="U30" i="1"/>
  <c r="X16" i="1"/>
  <c r="X17" i="1" s="1"/>
  <c r="X22" i="1"/>
  <c r="U38" i="1"/>
  <c r="F37" i="2"/>
  <c r="G20" i="2" s="1"/>
  <c r="W12" i="1"/>
  <c r="U7" i="1"/>
  <c r="U20" i="1" s="1"/>
  <c r="G32" i="2"/>
  <c r="F12" i="2"/>
  <c r="S15" i="2" l="1"/>
  <c r="R32" i="2"/>
  <c r="R33" i="2"/>
  <c r="S16" i="2"/>
  <c r="W21" i="1"/>
  <c r="W14" i="1"/>
  <c r="U12" i="1"/>
  <c r="F45" i="2"/>
  <c r="F14" i="2"/>
  <c r="S33" i="2" l="1"/>
  <c r="T16" i="2"/>
  <c r="S32" i="2"/>
  <c r="T15" i="2"/>
  <c r="U21" i="1"/>
  <c r="U14" i="1"/>
  <c r="W22" i="1"/>
  <c r="W16" i="1"/>
  <c r="W17" i="1" s="1"/>
  <c r="T32" i="2" l="1"/>
  <c r="U15" i="2"/>
  <c r="T33" i="2"/>
  <c r="U16" i="2"/>
  <c r="U33" i="2" s="1"/>
  <c r="U16" i="1"/>
  <c r="U22" i="1"/>
  <c r="U32" i="2" l="1"/>
  <c r="U17" i="1"/>
  <c r="T47" i="1"/>
  <c r="X27" i="1"/>
  <c r="T5" i="1"/>
  <c r="X24" i="1" s="1"/>
  <c r="V47" i="1"/>
  <c r="V26" i="1"/>
  <c r="V25" i="1"/>
  <c r="V11" i="1"/>
  <c r="V5" i="1"/>
  <c r="T7" i="1" l="1"/>
  <c r="T11" i="1"/>
  <c r="V7" i="1"/>
  <c r="C4" i="2"/>
  <c r="T25" i="1"/>
  <c r="T26" i="1"/>
  <c r="S10" i="1"/>
  <c r="W27" i="1" s="1"/>
  <c r="S47" i="1"/>
  <c r="S26" i="1"/>
  <c r="S25" i="1"/>
  <c r="S5" i="1"/>
  <c r="F53" i="2"/>
  <c r="B10" i="1"/>
  <c r="B11" i="1" s="1"/>
  <c r="F10" i="1"/>
  <c r="C10" i="1"/>
  <c r="C11" i="1" s="1"/>
  <c r="G10" i="1"/>
  <c r="G11" i="1" s="1"/>
  <c r="C5" i="1"/>
  <c r="C7" i="1" s="1"/>
  <c r="C12" i="1" s="1"/>
  <c r="F5" i="1"/>
  <c r="F7" i="1" s="1"/>
  <c r="G5" i="1"/>
  <c r="G24" i="1" s="1"/>
  <c r="F47" i="1"/>
  <c r="G47" i="1"/>
  <c r="H47" i="1"/>
  <c r="D10" i="1"/>
  <c r="D11" i="1" s="1"/>
  <c r="H10" i="1"/>
  <c r="H11" i="1" s="1"/>
  <c r="H5" i="1"/>
  <c r="E34" i="1"/>
  <c r="E31" i="1"/>
  <c r="I34" i="1"/>
  <c r="I31" i="1"/>
  <c r="E10" i="1"/>
  <c r="E11" i="1" s="1"/>
  <c r="I10" i="1"/>
  <c r="I11" i="1" s="1"/>
  <c r="J10" i="1"/>
  <c r="J11" i="1" s="1"/>
  <c r="K10" i="1"/>
  <c r="O10" i="1"/>
  <c r="O11" i="1" s="1"/>
  <c r="L10" i="1"/>
  <c r="L11" i="1" s="1"/>
  <c r="P10" i="1"/>
  <c r="P11" i="1" s="1"/>
  <c r="M34" i="1"/>
  <c r="M31" i="1"/>
  <c r="M10" i="1"/>
  <c r="M11" i="1" s="1"/>
  <c r="Q10" i="1"/>
  <c r="U27" i="1" s="1"/>
  <c r="Q34" i="1"/>
  <c r="Q31" i="1"/>
  <c r="R47" i="1"/>
  <c r="Q5" i="1"/>
  <c r="P5" i="1"/>
  <c r="P7" i="1" s="1"/>
  <c r="P20" i="1" s="1"/>
  <c r="O5" i="1"/>
  <c r="O7" i="1" s="1"/>
  <c r="N10" i="1"/>
  <c r="N11" i="1" s="1"/>
  <c r="R26" i="1"/>
  <c r="R25" i="1"/>
  <c r="N5" i="1"/>
  <c r="N7" i="1" s="1"/>
  <c r="N20" i="1" s="1"/>
  <c r="R5" i="1"/>
  <c r="R7" i="1" s="1"/>
  <c r="R10" i="1"/>
  <c r="V27" i="1" s="1"/>
  <c r="Q39" i="1"/>
  <c r="M5" i="1"/>
  <c r="M7" i="1"/>
  <c r="I5" i="1"/>
  <c r="Q47" i="1"/>
  <c r="P47" i="1"/>
  <c r="O47" i="1"/>
  <c r="N47" i="1"/>
  <c r="M47" i="1"/>
  <c r="L47" i="1"/>
  <c r="K47" i="1"/>
  <c r="J47" i="1"/>
  <c r="I47" i="1"/>
  <c r="E5" i="1"/>
  <c r="E7" i="1" s="1"/>
  <c r="E39" i="1"/>
  <c r="J5" i="1"/>
  <c r="J7" i="1"/>
  <c r="K5" i="1"/>
  <c r="L5" i="1"/>
  <c r="I39" i="1"/>
  <c r="M39" i="1"/>
  <c r="B5" i="1"/>
  <c r="B7" i="1"/>
  <c r="B20" i="1" s="1"/>
  <c r="D5" i="1"/>
  <c r="D7" i="1" s="1"/>
  <c r="Q26" i="1"/>
  <c r="Q25" i="1"/>
  <c r="N26" i="1"/>
  <c r="N25" i="1"/>
  <c r="O26" i="1"/>
  <c r="O25" i="1"/>
  <c r="P26" i="1"/>
  <c r="P25" i="1"/>
  <c r="G25" i="2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F25" i="1"/>
  <c r="I25" i="1"/>
  <c r="M25" i="1"/>
  <c r="K25" i="1"/>
  <c r="J25" i="1"/>
  <c r="H25" i="1"/>
  <c r="L25" i="1"/>
  <c r="H26" i="1"/>
  <c r="I26" i="1"/>
  <c r="J26" i="1"/>
  <c r="K26" i="1"/>
  <c r="L26" i="1"/>
  <c r="M26" i="1"/>
  <c r="G26" i="1"/>
  <c r="G25" i="1"/>
  <c r="F26" i="1"/>
  <c r="M20" i="1"/>
  <c r="I24" i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L28" i="1" l="1"/>
  <c r="L27" i="1"/>
  <c r="M28" i="1"/>
  <c r="R24" i="1"/>
  <c r="L24" i="1"/>
  <c r="Q38" i="1"/>
  <c r="J27" i="1"/>
  <c r="M27" i="1"/>
  <c r="I30" i="1"/>
  <c r="S7" i="1"/>
  <c r="S20" i="1" s="1"/>
  <c r="W24" i="1"/>
  <c r="Q7" i="1"/>
  <c r="Q20" i="1" s="1"/>
  <c r="U24" i="1"/>
  <c r="D12" i="2"/>
  <c r="D14" i="2" s="1"/>
  <c r="D27" i="2" s="1"/>
  <c r="D18" i="2"/>
  <c r="K24" i="1"/>
  <c r="R11" i="1"/>
  <c r="V28" i="1" s="1"/>
  <c r="I27" i="1"/>
  <c r="P27" i="1"/>
  <c r="H7" i="1"/>
  <c r="H20" i="1" s="1"/>
  <c r="F24" i="1"/>
  <c r="N27" i="1"/>
  <c r="J24" i="1"/>
  <c r="Q11" i="1"/>
  <c r="J12" i="1"/>
  <c r="J21" i="1" s="1"/>
  <c r="V24" i="1"/>
  <c r="P24" i="1"/>
  <c r="G27" i="1"/>
  <c r="Q27" i="1"/>
  <c r="T12" i="1"/>
  <c r="T14" i="1" s="1"/>
  <c r="T16" i="1" s="1"/>
  <c r="X28" i="1"/>
  <c r="E32" i="2"/>
  <c r="E37" i="2"/>
  <c r="E33" i="2"/>
  <c r="V12" i="1"/>
  <c r="V20" i="1"/>
  <c r="O12" i="1"/>
  <c r="O14" i="1" s="1"/>
  <c r="O20" i="1"/>
  <c r="E53" i="2"/>
  <c r="O27" i="1"/>
  <c r="K27" i="1"/>
  <c r="M24" i="1"/>
  <c r="E46" i="2"/>
  <c r="E45" i="2"/>
  <c r="M12" i="1"/>
  <c r="M21" i="1" s="1"/>
  <c r="M38" i="1"/>
  <c r="I38" i="1"/>
  <c r="J20" i="1"/>
  <c r="N24" i="1"/>
  <c r="Q30" i="1"/>
  <c r="P28" i="1"/>
  <c r="E30" i="1"/>
  <c r="E20" i="1"/>
  <c r="E12" i="1"/>
  <c r="D20" i="1"/>
  <c r="D12" i="1"/>
  <c r="N28" i="1"/>
  <c r="T27" i="1"/>
  <c r="F20" i="1"/>
  <c r="C14" i="1"/>
  <c r="C21" i="1"/>
  <c r="P12" i="1"/>
  <c r="F27" i="1"/>
  <c r="Q24" i="1"/>
  <c r="B12" i="1"/>
  <c r="E12" i="2"/>
  <c r="C20" i="1"/>
  <c r="L7" i="1"/>
  <c r="N12" i="1"/>
  <c r="K11" i="1"/>
  <c r="K28" i="1" s="1"/>
  <c r="G7" i="1"/>
  <c r="M30" i="1"/>
  <c r="S24" i="1"/>
  <c r="S11" i="1"/>
  <c r="E38" i="1"/>
  <c r="H24" i="1"/>
  <c r="R27" i="1"/>
  <c r="C6" i="2"/>
  <c r="C7" i="2" s="1"/>
  <c r="K7" i="1"/>
  <c r="R20" i="1"/>
  <c r="F11" i="1"/>
  <c r="J28" i="1" s="1"/>
  <c r="S27" i="1"/>
  <c r="I7" i="1"/>
  <c r="H27" i="1"/>
  <c r="O24" i="1"/>
  <c r="T28" i="1"/>
  <c r="E34" i="2" l="1"/>
  <c r="J14" i="1"/>
  <c r="Q12" i="1"/>
  <c r="O21" i="1"/>
  <c r="G17" i="2"/>
  <c r="L17" i="2" s="1"/>
  <c r="M17" i="2" s="1"/>
  <c r="N17" i="2" s="1"/>
  <c r="O17" i="2" s="1"/>
  <c r="P17" i="2" s="1"/>
  <c r="Q17" i="2" s="1"/>
  <c r="F18" i="2"/>
  <c r="F19" i="2" s="1"/>
  <c r="F21" i="2" s="1"/>
  <c r="T17" i="1"/>
  <c r="H12" i="1"/>
  <c r="R12" i="1"/>
  <c r="R14" i="1" s="1"/>
  <c r="U28" i="1"/>
  <c r="Q28" i="1"/>
  <c r="R28" i="1"/>
  <c r="S28" i="1"/>
  <c r="W28" i="1"/>
  <c r="V21" i="1"/>
  <c r="V14" i="1"/>
  <c r="F12" i="1"/>
  <c r="F14" i="1" s="1"/>
  <c r="O28" i="1"/>
  <c r="M14" i="1"/>
  <c r="M16" i="1" s="1"/>
  <c r="O16" i="1"/>
  <c r="O22" i="1"/>
  <c r="T24" i="1"/>
  <c r="I20" i="1"/>
  <c r="I12" i="1"/>
  <c r="H21" i="1"/>
  <c r="H14" i="1"/>
  <c r="F21" i="1"/>
  <c r="K12" i="1"/>
  <c r="K20" i="1"/>
  <c r="J16" i="1"/>
  <c r="J22" i="1"/>
  <c r="D19" i="2"/>
  <c r="D14" i="1"/>
  <c r="D21" i="1"/>
  <c r="E21" i="1"/>
  <c r="E14" i="1"/>
  <c r="R22" i="1"/>
  <c r="R16" i="1"/>
  <c r="C16" i="1"/>
  <c r="C17" i="1" s="1"/>
  <c r="C22" i="1"/>
  <c r="N21" i="1"/>
  <c r="N14" i="1"/>
  <c r="L20" i="1"/>
  <c r="L12" i="1"/>
  <c r="B21" i="1"/>
  <c r="B14" i="1"/>
  <c r="F33" i="2"/>
  <c r="G12" i="1"/>
  <c r="G20" i="1"/>
  <c r="Q21" i="1"/>
  <c r="Q14" i="1"/>
  <c r="M22" i="1"/>
  <c r="P14" i="1"/>
  <c r="P21" i="1"/>
  <c r="E31" i="2"/>
  <c r="E14" i="2"/>
  <c r="S12" i="1"/>
  <c r="E18" i="2"/>
  <c r="E35" i="2" s="1"/>
  <c r="Q34" i="2" l="1"/>
  <c r="R17" i="2"/>
  <c r="Q18" i="2"/>
  <c r="R17" i="1"/>
  <c r="R21" i="1"/>
  <c r="V16" i="1"/>
  <c r="V22" i="1"/>
  <c r="F32" i="2"/>
  <c r="I21" i="1"/>
  <c r="I14" i="1"/>
  <c r="F22" i="1"/>
  <c r="F16" i="1"/>
  <c r="H16" i="1"/>
  <c r="H17" i="1" s="1"/>
  <c r="H22" i="1"/>
  <c r="S14" i="1"/>
  <c r="S21" i="1"/>
  <c r="D16" i="1"/>
  <c r="D17" i="1" s="1"/>
  <c r="D22" i="1"/>
  <c r="G21" i="1"/>
  <c r="G14" i="1"/>
  <c r="G33" i="2"/>
  <c r="D28" i="2"/>
  <c r="D21" i="2"/>
  <c r="B22" i="1"/>
  <c r="B16" i="1"/>
  <c r="P16" i="1"/>
  <c r="P22" i="1"/>
  <c r="T20" i="1"/>
  <c r="L21" i="1"/>
  <c r="L14" i="1"/>
  <c r="M17" i="1"/>
  <c r="J17" i="1"/>
  <c r="F34" i="2"/>
  <c r="E19" i="2"/>
  <c r="E27" i="2"/>
  <c r="G12" i="2"/>
  <c r="N22" i="1"/>
  <c r="N16" i="1"/>
  <c r="Q22" i="1"/>
  <c r="Q16" i="1"/>
  <c r="E22" i="1"/>
  <c r="E16" i="1"/>
  <c r="K21" i="1"/>
  <c r="K14" i="1"/>
  <c r="O17" i="1"/>
  <c r="F35" i="2"/>
  <c r="R34" i="2" l="1"/>
  <c r="S17" i="2"/>
  <c r="R18" i="2"/>
  <c r="R35" i="2" s="1"/>
  <c r="Q17" i="1"/>
  <c r="X41" i="1"/>
  <c r="V17" i="1"/>
  <c r="T21" i="1"/>
  <c r="G34" i="2"/>
  <c r="H18" i="2"/>
  <c r="G53" i="2"/>
  <c r="S22" i="1"/>
  <c r="S16" i="1"/>
  <c r="E41" i="1"/>
  <c r="B17" i="1"/>
  <c r="E17" i="1"/>
  <c r="E45" i="1"/>
  <c r="E44" i="1"/>
  <c r="E43" i="1"/>
  <c r="E42" i="1"/>
  <c r="I16" i="1"/>
  <c r="I17" i="1" s="1"/>
  <c r="I22" i="1"/>
  <c r="D23" i="2"/>
  <c r="D29" i="2"/>
  <c r="H33" i="2"/>
  <c r="F31" i="2"/>
  <c r="P17" i="1"/>
  <c r="K16" i="1"/>
  <c r="K22" i="1"/>
  <c r="L22" i="1"/>
  <c r="L16" i="1"/>
  <c r="N17" i="1"/>
  <c r="Q41" i="1"/>
  <c r="E28" i="2"/>
  <c r="E21" i="2"/>
  <c r="F17" i="1"/>
  <c r="G18" i="2"/>
  <c r="G35" i="2" s="1"/>
  <c r="G16" i="1"/>
  <c r="G17" i="1" s="1"/>
  <c r="G22" i="1"/>
  <c r="S34" i="2" l="1"/>
  <c r="T17" i="2"/>
  <c r="S18" i="2"/>
  <c r="S35" i="2" s="1"/>
  <c r="S17" i="1"/>
  <c r="U41" i="1"/>
  <c r="I41" i="1"/>
  <c r="I45" i="1" s="1"/>
  <c r="X45" i="1"/>
  <c r="X43" i="1"/>
  <c r="X44" i="1"/>
  <c r="X42" i="1"/>
  <c r="H35" i="2"/>
  <c r="H32" i="2"/>
  <c r="F27" i="2"/>
  <c r="D24" i="2"/>
  <c r="H53" i="2"/>
  <c r="H12" i="2"/>
  <c r="H34" i="2"/>
  <c r="I33" i="2"/>
  <c r="G31" i="2"/>
  <c r="E29" i="2"/>
  <c r="E23" i="2"/>
  <c r="Q45" i="1"/>
  <c r="Q44" i="1"/>
  <c r="Q43" i="1"/>
  <c r="Q42" i="1"/>
  <c r="L17" i="1"/>
  <c r="K17" i="1"/>
  <c r="M41" i="1"/>
  <c r="T34" i="2" l="1"/>
  <c r="U17" i="2"/>
  <c r="T18" i="2"/>
  <c r="T35" i="2" s="1"/>
  <c r="I44" i="1"/>
  <c r="I43" i="1"/>
  <c r="U45" i="1"/>
  <c r="U43" i="1"/>
  <c r="U44" i="1"/>
  <c r="U42" i="1"/>
  <c r="I42" i="1"/>
  <c r="G14" i="2"/>
  <c r="G13" i="2" s="1"/>
  <c r="I18" i="2"/>
  <c r="I35" i="2" s="1"/>
  <c r="E51" i="2"/>
  <c r="E50" i="2"/>
  <c r="E48" i="2"/>
  <c r="I32" i="2"/>
  <c r="M45" i="1"/>
  <c r="M44" i="1"/>
  <c r="M43" i="1"/>
  <c r="M42" i="1"/>
  <c r="H31" i="2"/>
  <c r="I53" i="2"/>
  <c r="I12" i="2"/>
  <c r="T22" i="1"/>
  <c r="E24" i="2"/>
  <c r="E49" i="2"/>
  <c r="J33" i="2"/>
  <c r="F28" i="2"/>
  <c r="I34" i="2"/>
  <c r="U34" i="2" l="1"/>
  <c r="U18" i="2"/>
  <c r="U35" i="2" s="1"/>
  <c r="G19" i="2"/>
  <c r="G28" i="2" s="1"/>
  <c r="G27" i="2"/>
  <c r="H14" i="2" s="1"/>
  <c r="J18" i="2"/>
  <c r="J35" i="2" s="1"/>
  <c r="K53" i="2"/>
  <c r="K12" i="2"/>
  <c r="J32" i="2"/>
  <c r="H19" i="2"/>
  <c r="H27" i="2"/>
  <c r="I14" i="2" s="1"/>
  <c r="I13" i="2" s="1"/>
  <c r="H13" i="2"/>
  <c r="F29" i="2"/>
  <c r="I31" i="2"/>
  <c r="K33" i="2"/>
  <c r="J34" i="2"/>
  <c r="J12" i="2"/>
  <c r="J53" i="2"/>
  <c r="F23" i="2" l="1"/>
  <c r="K32" i="2"/>
  <c r="I19" i="2"/>
  <c r="I27" i="2"/>
  <c r="J14" i="2" s="1"/>
  <c r="J31" i="2"/>
  <c r="K34" i="2"/>
  <c r="K18" i="2"/>
  <c r="K35" i="2" s="1"/>
  <c r="L33" i="2"/>
  <c r="H28" i="2"/>
  <c r="F24" i="2" l="1"/>
  <c r="F48" i="2"/>
  <c r="F50" i="2"/>
  <c r="F49" i="2"/>
  <c r="F51" i="2"/>
  <c r="G21" i="2"/>
  <c r="L32" i="2"/>
  <c r="M18" i="2"/>
  <c r="L34" i="2"/>
  <c r="J19" i="2"/>
  <c r="J27" i="2"/>
  <c r="K14" i="2" s="1"/>
  <c r="K13" i="2" s="1"/>
  <c r="K31" i="2"/>
  <c r="J13" i="2"/>
  <c r="L18" i="2"/>
  <c r="L35" i="2" s="1"/>
  <c r="M33" i="2"/>
  <c r="I28" i="2"/>
  <c r="M32" i="2" l="1"/>
  <c r="J28" i="2"/>
  <c r="G29" i="2"/>
  <c r="K19" i="2"/>
  <c r="K27" i="2"/>
  <c r="L14" i="2" s="1"/>
  <c r="L31" i="2"/>
  <c r="M35" i="2"/>
  <c r="N33" i="2"/>
  <c r="M34" i="2"/>
  <c r="G23" i="2" l="1"/>
  <c r="G37" i="2" s="1"/>
  <c r="N32" i="2"/>
  <c r="M31" i="2"/>
  <c r="O33" i="2"/>
  <c r="L19" i="2"/>
  <c r="L27" i="2"/>
  <c r="M14" i="2" s="1"/>
  <c r="K28" i="2"/>
  <c r="L13" i="2"/>
  <c r="N34" i="2"/>
  <c r="N18" i="2"/>
  <c r="N35" i="2" s="1"/>
  <c r="G24" i="2" l="1"/>
  <c r="O32" i="2"/>
  <c r="M19" i="2"/>
  <c r="M27" i="2"/>
  <c r="N14" i="2" s="1"/>
  <c r="M13" i="2"/>
  <c r="O34" i="2"/>
  <c r="L28" i="2"/>
  <c r="O18" i="2"/>
  <c r="O35" i="2" s="1"/>
  <c r="P33" i="2"/>
  <c r="P18" i="2"/>
  <c r="Q35" i="2" s="1"/>
  <c r="N31" i="2"/>
  <c r="P32" i="2" l="1"/>
  <c r="N27" i="2"/>
  <c r="O14" i="2" s="1"/>
  <c r="O13" i="2" s="1"/>
  <c r="N19" i="2"/>
  <c r="N13" i="2"/>
  <c r="O31" i="2"/>
  <c r="P35" i="2"/>
  <c r="H20" i="2"/>
  <c r="H21" i="2" s="1"/>
  <c r="P34" i="2"/>
  <c r="M28" i="2"/>
  <c r="Q31" i="2" l="1"/>
  <c r="H29" i="2"/>
  <c r="N28" i="2"/>
  <c r="P31" i="2"/>
  <c r="O19" i="2"/>
  <c r="O27" i="2"/>
  <c r="P14" i="2" s="1"/>
  <c r="R31" i="2" l="1"/>
  <c r="H23" i="2"/>
  <c r="P19" i="2"/>
  <c r="P27" i="2"/>
  <c r="Q14" i="2" s="1"/>
  <c r="P13" i="2"/>
  <c r="O28" i="2"/>
  <c r="Q19" i="2" l="1"/>
  <c r="Q27" i="2"/>
  <c r="R14" i="2" s="1"/>
  <c r="Q13" i="2"/>
  <c r="S31" i="2"/>
  <c r="H24" i="2"/>
  <c r="H37" i="2"/>
  <c r="I20" i="2" s="1"/>
  <c r="I21" i="2" s="1"/>
  <c r="P28" i="2"/>
  <c r="T31" i="2" l="1"/>
  <c r="R27" i="2"/>
  <c r="S14" i="2" s="1"/>
  <c r="R19" i="2"/>
  <c r="R13" i="2"/>
  <c r="Q28" i="2"/>
  <c r="I29" i="2"/>
  <c r="R28" i="2" l="1"/>
  <c r="S27" i="2"/>
  <c r="T14" i="2" s="1"/>
  <c r="S19" i="2"/>
  <c r="S13" i="2"/>
  <c r="U31" i="2"/>
  <c r="I23" i="2"/>
  <c r="I37" i="2" s="1"/>
  <c r="S28" i="2" l="1"/>
  <c r="T13" i="2"/>
  <c r="T27" i="2"/>
  <c r="U14" i="2" s="1"/>
  <c r="T19" i="2"/>
  <c r="I24" i="2"/>
  <c r="J20" i="2"/>
  <c r="J21" i="2" s="1"/>
  <c r="T28" i="2" l="1"/>
  <c r="U27" i="2"/>
  <c r="U19" i="2"/>
  <c r="U13" i="2"/>
  <c r="J29" i="2"/>
  <c r="U28" i="2" l="1"/>
  <c r="J23" i="2"/>
  <c r="J24" i="2" l="1"/>
  <c r="J37" i="2"/>
  <c r="K20" i="2" s="1"/>
  <c r="K21" i="2" s="1"/>
  <c r="K29" i="2" l="1"/>
  <c r="K23" i="2"/>
  <c r="K24" i="2" l="1"/>
  <c r="K37" i="2"/>
  <c r="L20" i="2" l="1"/>
  <c r="L21" i="2" s="1"/>
  <c r="L29" i="2" l="1"/>
  <c r="L23" i="2" l="1"/>
  <c r="L24" i="2" s="1"/>
  <c r="L37" i="2" l="1"/>
  <c r="M20" i="2" s="1"/>
  <c r="M21" i="2" s="1"/>
  <c r="M29" i="2" l="1"/>
  <c r="M23" i="2" l="1"/>
  <c r="M24" i="2" l="1"/>
  <c r="M37" i="2"/>
  <c r="N20" i="2" l="1"/>
  <c r="N21" i="2" s="1"/>
  <c r="N22" i="2" l="1"/>
  <c r="N29" i="2" s="1"/>
  <c r="N23" i="2" l="1"/>
  <c r="N24" i="2" s="1"/>
  <c r="N37" i="2"/>
  <c r="O20" i="2" l="1"/>
  <c r="O21" i="2" s="1"/>
  <c r="O22" i="2" l="1"/>
  <c r="O29" i="2" s="1"/>
  <c r="O23" i="2" l="1"/>
  <c r="O24" i="2"/>
  <c r="O37" i="2"/>
  <c r="P20" i="2" l="1"/>
  <c r="P21" i="2" s="1"/>
  <c r="P22" i="2" l="1"/>
  <c r="P29" i="2" s="1"/>
  <c r="P23" i="2" l="1"/>
  <c r="P24" i="2" l="1"/>
  <c r="P37" i="2"/>
  <c r="Q20" i="2" l="1"/>
  <c r="Q21" i="2" s="1"/>
  <c r="Q22" i="2" l="1"/>
  <c r="Q29" i="2" s="1"/>
  <c r="Q23" i="2"/>
  <c r="Q24" i="2" l="1"/>
  <c r="Q37" i="2"/>
  <c r="R20" i="2" l="1"/>
  <c r="R21" i="2" s="1"/>
  <c r="R22" i="2" l="1"/>
  <c r="R29" i="2" s="1"/>
  <c r="R23" i="2"/>
  <c r="R24" i="2" l="1"/>
  <c r="R37" i="2"/>
  <c r="S20" i="2" l="1"/>
  <c r="S21" i="2" s="1"/>
  <c r="S22" i="2" l="1"/>
  <c r="S29" i="2" s="1"/>
  <c r="S23" i="2" l="1"/>
  <c r="S24" i="2" l="1"/>
  <c r="S37" i="2"/>
  <c r="T20" i="2" l="1"/>
  <c r="T21" i="2" s="1"/>
  <c r="T22" i="2" l="1"/>
  <c r="T29" i="2" s="1"/>
  <c r="T23" i="2" l="1"/>
  <c r="T24" i="2" s="1"/>
  <c r="T37" i="2" l="1"/>
  <c r="U20" i="2"/>
  <c r="U21" i="2" s="1"/>
  <c r="U22" i="2" l="1"/>
  <c r="U29" i="2" s="1"/>
  <c r="U23" i="2" l="1"/>
  <c r="U24" i="2" l="1"/>
  <c r="V23" i="2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EX23" i="2" s="1"/>
  <c r="EY23" i="2" s="1"/>
  <c r="EZ23" i="2" s="1"/>
  <c r="FA23" i="2" s="1"/>
  <c r="FB23" i="2" s="1"/>
  <c r="FC23" i="2" s="1"/>
  <c r="FD23" i="2" s="1"/>
  <c r="FE23" i="2" s="1"/>
  <c r="FF23" i="2" s="1"/>
  <c r="FG23" i="2" s="1"/>
  <c r="FH23" i="2" s="1"/>
  <c r="FI23" i="2" s="1"/>
  <c r="FJ23" i="2" s="1"/>
  <c r="FK23" i="2" s="1"/>
  <c r="FL23" i="2" s="1"/>
  <c r="FM23" i="2" s="1"/>
  <c r="FN23" i="2" s="1"/>
  <c r="FO23" i="2" s="1"/>
  <c r="FP23" i="2" s="1"/>
  <c r="FQ23" i="2" s="1"/>
  <c r="FR23" i="2" s="1"/>
  <c r="FS23" i="2" s="1"/>
  <c r="FT23" i="2" s="1"/>
  <c r="FU23" i="2" s="1"/>
  <c r="FV23" i="2" s="1"/>
  <c r="FW23" i="2" s="1"/>
  <c r="FX23" i="2" s="1"/>
  <c r="FY23" i="2" s="1"/>
  <c r="FZ23" i="2" s="1"/>
  <c r="GA23" i="2" s="1"/>
  <c r="GB23" i="2" s="1"/>
  <c r="GC23" i="2" s="1"/>
  <c r="GD23" i="2" s="1"/>
  <c r="GE23" i="2" s="1"/>
  <c r="GF23" i="2" s="1"/>
  <c r="GG23" i="2" s="1"/>
  <c r="GH23" i="2" s="1"/>
  <c r="GI23" i="2" s="1"/>
  <c r="GJ23" i="2" s="1"/>
  <c r="GK23" i="2" s="1"/>
  <c r="GL23" i="2" s="1"/>
  <c r="GM23" i="2" s="1"/>
  <c r="GN23" i="2" s="1"/>
  <c r="GO23" i="2" s="1"/>
  <c r="GP23" i="2" s="1"/>
  <c r="GQ23" i="2" s="1"/>
  <c r="GR23" i="2" s="1"/>
  <c r="F5" i="2" s="1"/>
  <c r="U37" i="2"/>
  <c r="F6" i="2" l="1"/>
  <c r="F7" i="2" s="1"/>
  <c r="G7" i="2" s="1"/>
</calcChain>
</file>

<file path=xl/sharedStrings.xml><?xml version="1.0" encoding="utf-8"?>
<sst xmlns="http://schemas.openxmlformats.org/spreadsheetml/2006/main" count="125" uniqueCount="85">
  <si>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</si>
  <si>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</si>
  <si>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</si>
  <si>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</si>
  <si>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</si>
  <si>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</si>
  <si>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</si>
  <si>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</si>
  <si>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</si>
  <si>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</si>
  <si>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</si>
  <si>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</si>
  <si>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</si>
  <si>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</si>
  <si>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</si>
  <si>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</si>
  <si>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</si>
  <si>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</si>
  <si>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</si>
  <si>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</si>
  <si>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</si>
  <si>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</si>
  <si>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</si>
  <si>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</si>
  <si>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</si>
  <si>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</si>
  <si>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</si>
  <si>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</si>
  <si>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</si>
  <si>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</si>
  <si>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</si>
  <si>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</si>
  <si>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</si>
  <si>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</si>
  <si>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</si>
  <si>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</si>
  <si>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</si>
  <si>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</si>
  <si>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</si>
  <si>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</si>
  <si>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</si>
  <si>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</si>
  <si>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</si>
  <si>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</si>
  <si>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</si>
  <si>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</si>
  <si>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</si>
  <si>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</si>
  <si>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</si>
  <si>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</si>
  <si>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</si>
  <si>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</si>
  <si>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</si>
  <si>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</si>
  <si>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</si>
  <si>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</si>
  <si>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</si>
  <si>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</si>
  <si>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</si>
  <si>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</si>
  <si>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</si>
  <si>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</si>
  <si>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</si>
  <si>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</si>
  <si>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</si>
  <si>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</si>
  <si>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</si>
  <si>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</si>
  <si>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</si>
  <si>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</si>
  <si>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</si>
  <si>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</si>
  <si>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Sumo Logic Inc (SUMO)</t>
  </si>
  <si>
    <t>Ramin Sayar</t>
  </si>
  <si>
    <t>Christian Beedgen</t>
  </si>
  <si>
    <t>Q121</t>
  </si>
  <si>
    <t>Q221</t>
  </si>
  <si>
    <t>Q321</t>
  </si>
  <si>
    <t>Q421</t>
  </si>
  <si>
    <t>Platform</t>
  </si>
  <si>
    <t>Platform y/y</t>
  </si>
  <si>
    <t>PRODUCTS</t>
  </si>
  <si>
    <t>sumo logic</t>
  </si>
  <si>
    <t>Real-time analytics,  business intelligence</t>
  </si>
  <si>
    <t>POST 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</si>
</sst>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  <xf numFmtId="0" fontId="8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7</xdr:row>
      <xdr:rowOff>152400</xdr:rowOff>
    </xdr:from>
    <xdr:to>
      <xdr:col>6</xdr:col>
      <xdr:colOff>165100</xdr:colOff>
      <xdr:row>54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65800" y="1308100"/>
          <a:ext cx="0" cy="9271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165100</xdr:colOff>
      <xdr:row>0</xdr:row>
      <xdr:rowOff>152400</xdr:rowOff>
    </xdr:from>
    <xdr:to>
      <xdr:col>24</xdr:col>
      <xdr:colOff>165100</xdr:colOff>
      <xdr:row>48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47660" y="152400"/>
          <a:ext cx="0" cy="8963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rsayar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.sumologic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twitter.com/raychas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AD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53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B14" sqref="B14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66" t="s">
        <v>62</v>
      </c>
      <c r="B1" s="2" t="s">
        <v>72</v>
      </c>
    </row>
    <row r="2" spans="1:117" x14ac:dyDescent="0.15">
      <c r="B2" s="3" t="s">
        <v>44</v>
      </c>
      <c r="C2" s="4">
        <v>34.96</v>
      </c>
      <c r="D2" s="64">
        <v>44224</v>
      </c>
      <c r="E2" s="6" t="s">
        <v>29</v>
      </c>
      <c r="F2" s="7">
        <v>5.0000000000000001E-3</v>
      </c>
      <c r="I2" s="16"/>
      <c r="L2" s="2"/>
    </row>
    <row r="3" spans="1:117" x14ac:dyDescent="0.15">
      <c r="A3" s="2" t="s">
        <v>42</v>
      </c>
      <c r="B3" s="3" t="s">
        <v>17</v>
      </c>
      <c r="C3" s="8">
        <v>102</v>
      </c>
      <c r="D3" s="65" t="s">
        <v>84</v>
      </c>
      <c r="E3" s="6" t="s">
        <v>30</v>
      </c>
      <c r="F3" s="7">
        <v>0.02</v>
      </c>
      <c r="G3" s="5" t="s">
        <v>63</v>
      </c>
      <c r="I3" s="16"/>
    </row>
    <row r="4" spans="1:117" x14ac:dyDescent="0.15">
      <c r="A4" s="67" t="s">
        <v>73</v>
      </c>
      <c r="B4" s="3" t="s">
        <v>45</v>
      </c>
      <c r="C4" s="10">
        <f>C2*C3</f>
        <v>3565.92</v>
      </c>
      <c r="D4" s="65"/>
      <c r="E4" s="6" t="s">
        <v>31</v>
      </c>
      <c r="F4" s="7">
        <v>7.0000000000000007E-2</v>
      </c>
      <c r="G4" s="5" t="s">
        <v>67</v>
      </c>
      <c r="I4" s="19"/>
      <c r="L4" s="9" t="s">
        <v>68</v>
      </c>
    </row>
    <row r="5" spans="1:117" x14ac:dyDescent="0.15">
      <c r="B5" s="3" t="s">
        <v>26</v>
      </c>
      <c r="C5" s="8">
        <f>Reports!X30</f>
        <v>407</v>
      </c>
      <c r="D5" s="65" t="s">
        <v>77</v>
      </c>
      <c r="E5" s="6" t="s">
        <v>32</v>
      </c>
      <c r="F5" s="11">
        <f>NPV(F4,G23:GR23)</f>
        <v>3694.4620379603593</v>
      </c>
      <c r="G5" s="5" t="s">
        <v>69</v>
      </c>
      <c r="I5" s="19"/>
    </row>
    <row r="6" spans="1:117" x14ac:dyDescent="0.15">
      <c r="A6" s="2" t="s">
        <v>43</v>
      </c>
      <c r="B6" s="3" t="s">
        <v>46</v>
      </c>
      <c r="C6" s="10">
        <f>C4-C5</f>
        <v>3158.92</v>
      </c>
      <c r="D6" s="65"/>
      <c r="E6" s="12" t="s">
        <v>33</v>
      </c>
      <c r="F6" s="13">
        <f>F5+C5</f>
        <v>4101.4620379603593</v>
      </c>
      <c r="I6" s="19"/>
    </row>
    <row r="7" spans="1:117" x14ac:dyDescent="0.15">
      <c r="A7" s="67" t="s">
        <v>74</v>
      </c>
      <c r="B7" s="5" t="s">
        <v>47</v>
      </c>
      <c r="C7" s="43">
        <f>C6/C3</f>
        <v>30.969803921568626</v>
      </c>
      <c r="D7" s="65"/>
      <c r="E7" s="14" t="s">
        <v>47</v>
      </c>
      <c r="F7" s="42">
        <f>F6/C3</f>
        <v>40.210412136866267</v>
      </c>
      <c r="G7" s="19">
        <f>F7/C2-1</f>
        <v>0.15018341352592302</v>
      </c>
    </row>
    <row r="8" spans="1:117" x14ac:dyDescent="0.15">
      <c r="A8" s="9"/>
      <c r="E8" s="6"/>
      <c r="F8" s="15"/>
    </row>
    <row r="9" spans="1:117" x14ac:dyDescent="0.15">
      <c r="B9" s="38">
        <v>2016</v>
      </c>
      <c r="C9" s="38">
        <v>2017</v>
      </c>
      <c r="D9" s="38">
        <f>C9+1</f>
        <v>2018</v>
      </c>
      <c r="E9" s="38">
        <f t="shared" ref="E9:U9" si="0">D9+1</f>
        <v>2019</v>
      </c>
      <c r="F9" s="38">
        <f t="shared" si="0"/>
        <v>2020</v>
      </c>
      <c r="G9" s="38">
        <f t="shared" si="0"/>
        <v>2021</v>
      </c>
      <c r="H9" s="38">
        <f t="shared" si="0"/>
        <v>2022</v>
      </c>
      <c r="I9" s="38">
        <f t="shared" si="0"/>
        <v>2023</v>
      </c>
      <c r="J9" s="38">
        <f t="shared" si="0"/>
        <v>2024</v>
      </c>
      <c r="K9" s="38">
        <f t="shared" si="0"/>
        <v>2025</v>
      </c>
      <c r="L9" s="38">
        <f t="shared" si="0"/>
        <v>2026</v>
      </c>
      <c r="M9" s="38">
        <f t="shared" si="0"/>
        <v>2027</v>
      </c>
      <c r="N9" s="38">
        <f t="shared" si="0"/>
        <v>2028</v>
      </c>
      <c r="O9" s="38">
        <f t="shared" si="0"/>
        <v>2029</v>
      </c>
      <c r="P9" s="38">
        <f t="shared" si="0"/>
        <v>2030</v>
      </c>
      <c r="Q9" s="38">
        <f t="shared" si="0"/>
        <v>2031</v>
      </c>
      <c r="R9" s="38">
        <f t="shared" si="0"/>
        <v>2032</v>
      </c>
      <c r="S9" s="38">
        <f t="shared" si="0"/>
        <v>2033</v>
      </c>
      <c r="T9" s="38">
        <f t="shared" si="0"/>
        <v>2034</v>
      </c>
      <c r="U9" s="38">
        <f t="shared" si="0"/>
        <v>2035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</row>
    <row r="10" spans="1:117" x14ac:dyDescent="0.15">
      <c r="A10" s="8" t="s">
        <v>79</v>
      </c>
      <c r="B10" s="23"/>
      <c r="C10" s="23"/>
      <c r="D10" s="37">
        <v>67.828000000000003</v>
      </c>
      <c r="E10" s="37">
        <v>103.642</v>
      </c>
      <c r="F10" s="37">
        <v>155.05600000000001</v>
      </c>
      <c r="G10" s="37">
        <f>F10*1.3</f>
        <v>201.57280000000003</v>
      </c>
      <c r="H10" s="37">
        <f t="shared" ref="H10:K10" si="1">G10*1.3</f>
        <v>262.04464000000007</v>
      </c>
      <c r="I10" s="37">
        <f t="shared" si="1"/>
        <v>340.65803200000011</v>
      </c>
      <c r="J10" s="37">
        <f t="shared" si="1"/>
        <v>442.85544160000018</v>
      </c>
      <c r="K10" s="37">
        <f t="shared" si="1"/>
        <v>575.71207408000021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</row>
    <row r="11" spans="1:117" s="38" customFormat="1" x14ac:dyDescent="0.15">
      <c r="B11" s="23"/>
      <c r="C11" s="23"/>
      <c r="F11" s="37"/>
      <c r="G11" s="37">
        <v>200</v>
      </c>
      <c r="H11" s="37"/>
      <c r="I11" s="37"/>
    </row>
    <row r="12" spans="1:117" x14ac:dyDescent="0.15">
      <c r="A12" s="2" t="s">
        <v>4</v>
      </c>
      <c r="B12" s="23"/>
      <c r="C12" s="23"/>
      <c r="D12" s="24">
        <f>SUM(D10:D10)</f>
        <v>67.828000000000003</v>
      </c>
      <c r="E12" s="24">
        <f>SUM(E10:E10)</f>
        <v>103.642</v>
      </c>
      <c r="F12" s="24">
        <f>SUM(F10:F10)</f>
        <v>155.05600000000001</v>
      </c>
      <c r="G12" s="46">
        <f>SUM(G10:G10)</f>
        <v>201.57280000000003</v>
      </c>
      <c r="H12" s="46">
        <f>SUM(H10:H10)</f>
        <v>262.04464000000007</v>
      </c>
      <c r="I12" s="46">
        <f>SUM(I10:I10)</f>
        <v>340.65803200000011</v>
      </c>
      <c r="J12" s="46">
        <f>SUM(J10:J10)</f>
        <v>442.85544160000018</v>
      </c>
      <c r="K12" s="46">
        <f>SUM(K10:K10)</f>
        <v>575.71207408000021</v>
      </c>
      <c r="L12" s="46">
        <f>K12*1.15</f>
        <v>662.06888519200015</v>
      </c>
      <c r="M12" s="46">
        <f t="shared" ref="M12:P12" si="2">L12*1.15</f>
        <v>761.37921797080014</v>
      </c>
      <c r="N12" s="46">
        <f t="shared" si="2"/>
        <v>875.58610066642007</v>
      </c>
      <c r="O12" s="46">
        <f t="shared" si="2"/>
        <v>1006.924015766383</v>
      </c>
      <c r="P12" s="46">
        <f t="shared" si="2"/>
        <v>1157.9626181313404</v>
      </c>
      <c r="Q12" s="46">
        <f>P12*1.1</f>
        <v>1273.7588799444745</v>
      </c>
      <c r="R12" s="46">
        <f t="shared" ref="R12:U12" si="3">Q12*1.1</f>
        <v>1401.1347679389221</v>
      </c>
      <c r="S12" s="46">
        <f t="shared" si="3"/>
        <v>1541.2482447328143</v>
      </c>
      <c r="T12" s="46">
        <f t="shared" si="3"/>
        <v>1695.3730692060958</v>
      </c>
      <c r="U12" s="46">
        <f t="shared" si="3"/>
        <v>1864.9103761267056</v>
      </c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</row>
    <row r="13" spans="1:117" x14ac:dyDescent="0.15">
      <c r="A13" s="3" t="s">
        <v>5</v>
      </c>
      <c r="B13" s="23"/>
      <c r="C13" s="23"/>
      <c r="D13" s="37">
        <v>22.437999999999999</v>
      </c>
      <c r="E13" s="37">
        <v>29.01</v>
      </c>
      <c r="F13" s="37">
        <v>44.497999999999998</v>
      </c>
      <c r="G13" s="23">
        <f>G12-G14</f>
        <v>57.847399999999993</v>
      </c>
      <c r="H13" s="23">
        <f t="shared" ref="H13" si="4">H12-H14</f>
        <v>75.201619999999991</v>
      </c>
      <c r="I13" s="23">
        <f t="shared" ref="I13:P13" si="5">I12-I14</f>
        <v>97.762105999999989</v>
      </c>
      <c r="J13" s="23">
        <f t="shared" si="5"/>
        <v>127.0907378</v>
      </c>
      <c r="K13" s="23">
        <f>K12-K14</f>
        <v>165.21795914</v>
      </c>
      <c r="L13" s="23">
        <f t="shared" si="5"/>
        <v>190.000653011</v>
      </c>
      <c r="M13" s="23">
        <f t="shared" si="5"/>
        <v>218.50075096264993</v>
      </c>
      <c r="N13" s="23">
        <f t="shared" si="5"/>
        <v>251.27586360704743</v>
      </c>
      <c r="O13" s="23">
        <f t="shared" si="5"/>
        <v>288.96724314810456</v>
      </c>
      <c r="P13" s="23">
        <f t="shared" si="5"/>
        <v>332.31232962032016</v>
      </c>
      <c r="Q13" s="23">
        <f t="shared" ref="Q13:U13" si="6">Q12-Q14</f>
        <v>365.54356258235225</v>
      </c>
      <c r="R13" s="23">
        <f t="shared" si="6"/>
        <v>402.09791884058745</v>
      </c>
      <c r="S13" s="23">
        <f t="shared" si="6"/>
        <v>442.30771072464631</v>
      </c>
      <c r="T13" s="23">
        <f t="shared" si="6"/>
        <v>486.53848179711099</v>
      </c>
      <c r="U13" s="23">
        <f t="shared" si="6"/>
        <v>535.19232997682229</v>
      </c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</row>
    <row r="14" spans="1:117" x14ac:dyDescent="0.15">
      <c r="A14" s="3" t="s">
        <v>6</v>
      </c>
      <c r="B14" s="23"/>
      <c r="C14" s="23"/>
      <c r="D14" s="26">
        <f>D12-D13</f>
        <v>45.39</v>
      </c>
      <c r="E14" s="26">
        <f>E12-E13</f>
        <v>74.631999999999991</v>
      </c>
      <c r="F14" s="26">
        <f>F12-F13</f>
        <v>110.55800000000002</v>
      </c>
      <c r="G14" s="23">
        <f>G12*F27</f>
        <v>143.72540000000004</v>
      </c>
      <c r="H14" s="23">
        <f t="shared" ref="H14:U14" si="7">H12*G27</f>
        <v>186.84302000000008</v>
      </c>
      <c r="I14" s="23">
        <f t="shared" si="7"/>
        <v>242.89592600000012</v>
      </c>
      <c r="J14" s="23">
        <f t="shared" si="7"/>
        <v>315.76470380000018</v>
      </c>
      <c r="K14" s="23">
        <f>K12*J27</f>
        <v>410.4941149400002</v>
      </c>
      <c r="L14" s="23">
        <f t="shared" si="7"/>
        <v>472.06823218100016</v>
      </c>
      <c r="M14" s="23">
        <f t="shared" si="7"/>
        <v>542.87846700815021</v>
      </c>
      <c r="N14" s="23">
        <f t="shared" si="7"/>
        <v>624.31023705937264</v>
      </c>
      <c r="O14" s="23">
        <f t="shared" si="7"/>
        <v>717.95677261827848</v>
      </c>
      <c r="P14" s="23">
        <f t="shared" si="7"/>
        <v>825.65028851102022</v>
      </c>
      <c r="Q14" s="23">
        <f t="shared" si="7"/>
        <v>908.21531736212228</v>
      </c>
      <c r="R14" s="23">
        <f t="shared" si="7"/>
        <v>999.03684909833464</v>
      </c>
      <c r="S14" s="23">
        <f t="shared" si="7"/>
        <v>1098.940534008168</v>
      </c>
      <c r="T14" s="23">
        <f t="shared" si="7"/>
        <v>1208.8345874089848</v>
      </c>
      <c r="U14" s="23">
        <f t="shared" si="7"/>
        <v>1329.7180461498833</v>
      </c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</row>
    <row r="15" spans="1:117" x14ac:dyDescent="0.15">
      <c r="A15" s="3" t="s">
        <v>7</v>
      </c>
      <c r="B15" s="23"/>
      <c r="C15" s="23"/>
      <c r="D15" s="37">
        <v>25</v>
      </c>
      <c r="E15" s="37">
        <v>36</v>
      </c>
      <c r="F15" s="37">
        <v>52</v>
      </c>
      <c r="G15" s="23">
        <f>F15*1.2</f>
        <v>62.4</v>
      </c>
      <c r="H15" s="23">
        <f t="shared" ref="H15:K15" si="8">G15*1.2</f>
        <v>74.88</v>
      </c>
      <c r="I15" s="23">
        <f t="shared" si="8"/>
        <v>89.855999999999995</v>
      </c>
      <c r="J15" s="23">
        <f t="shared" si="8"/>
        <v>107.82719999999999</v>
      </c>
      <c r="K15" s="23">
        <f t="shared" si="8"/>
        <v>129.39263999999997</v>
      </c>
      <c r="L15" s="23">
        <f>K15*1.1</f>
        <v>142.33190399999998</v>
      </c>
      <c r="M15" s="23">
        <f t="shared" ref="M15:P15" si="9">L15*1.1</f>
        <v>156.56509439999999</v>
      </c>
      <c r="N15" s="23">
        <f t="shared" si="9"/>
        <v>172.22160384</v>
      </c>
      <c r="O15" s="23">
        <f t="shared" si="9"/>
        <v>189.44376422400001</v>
      </c>
      <c r="P15" s="23">
        <f t="shared" si="9"/>
        <v>208.38814064640002</v>
      </c>
      <c r="Q15" s="23">
        <f t="shared" ref="Q15:U15" si="10">P15*1.08</f>
        <v>225.05919189811203</v>
      </c>
      <c r="R15" s="23">
        <f t="shared" si="10"/>
        <v>243.06392724996101</v>
      </c>
      <c r="S15" s="23">
        <f t="shared" si="10"/>
        <v>262.5090414299579</v>
      </c>
      <c r="T15" s="23">
        <f t="shared" si="10"/>
        <v>283.50976474435453</v>
      </c>
      <c r="U15" s="23">
        <f t="shared" si="10"/>
        <v>306.1905459239029</v>
      </c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</row>
    <row r="16" spans="1:117" x14ac:dyDescent="0.15">
      <c r="A16" s="3" t="s">
        <v>8</v>
      </c>
      <c r="B16" s="23"/>
      <c r="C16" s="23"/>
      <c r="D16" s="37">
        <v>43</v>
      </c>
      <c r="E16" s="37">
        <v>72</v>
      </c>
      <c r="F16" s="37">
        <v>107</v>
      </c>
      <c r="G16" s="23">
        <f>F16*1.2</f>
        <v>128.4</v>
      </c>
      <c r="H16" s="23">
        <f t="shared" ref="H16:K16" si="11">G16*1.2</f>
        <v>154.08000000000001</v>
      </c>
      <c r="I16" s="23">
        <f t="shared" si="11"/>
        <v>184.89600000000002</v>
      </c>
      <c r="J16" s="23">
        <f t="shared" si="11"/>
        <v>221.87520000000001</v>
      </c>
      <c r="K16" s="23">
        <f t="shared" si="11"/>
        <v>266.25024000000002</v>
      </c>
      <c r="L16" s="23">
        <f>K16*1.05</f>
        <v>279.56275200000005</v>
      </c>
      <c r="M16" s="23">
        <f t="shared" ref="M16:P16" si="12">L16*1.05</f>
        <v>293.54088960000007</v>
      </c>
      <c r="N16" s="23">
        <f t="shared" si="12"/>
        <v>308.21793408000008</v>
      </c>
      <c r="O16" s="23">
        <f t="shared" si="12"/>
        <v>323.62883078400012</v>
      </c>
      <c r="P16" s="23">
        <f t="shared" si="12"/>
        <v>339.81027232320014</v>
      </c>
      <c r="Q16" s="23">
        <f t="shared" ref="Q16:U16" si="13">P16*0.98</f>
        <v>333.01406687673614</v>
      </c>
      <c r="R16" s="23">
        <f t="shared" si="13"/>
        <v>326.3537855392014</v>
      </c>
      <c r="S16" s="23">
        <f t="shared" si="13"/>
        <v>319.82670982841734</v>
      </c>
      <c r="T16" s="23">
        <f t="shared" si="13"/>
        <v>313.43017563184901</v>
      </c>
      <c r="U16" s="23">
        <f t="shared" si="13"/>
        <v>307.16157211921205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</row>
    <row r="17" spans="1:200" x14ac:dyDescent="0.15">
      <c r="A17" s="3" t="s">
        <v>9</v>
      </c>
      <c r="B17" s="23"/>
      <c r="C17" s="23"/>
      <c r="D17" s="37">
        <v>10</v>
      </c>
      <c r="E17" s="37">
        <v>14</v>
      </c>
      <c r="F17" s="37">
        <f>37+7</f>
        <v>44</v>
      </c>
      <c r="G17" s="23">
        <f>F17*1.15</f>
        <v>50.599999999999994</v>
      </c>
      <c r="H17" s="23">
        <f t="shared" ref="H17:K17" si="14">G17*1.15</f>
        <v>58.189999999999991</v>
      </c>
      <c r="I17" s="23">
        <f t="shared" si="14"/>
        <v>66.91849999999998</v>
      </c>
      <c r="J17" s="23">
        <f t="shared" si="14"/>
        <v>76.956274999999977</v>
      </c>
      <c r="K17" s="23">
        <f t="shared" si="14"/>
        <v>88.499716249999963</v>
      </c>
      <c r="L17" s="23">
        <f>K17*1.05</f>
        <v>92.924702062499961</v>
      </c>
      <c r="M17" s="23">
        <f t="shared" ref="M17:P17" si="15">L17*1.05</f>
        <v>97.570937165624969</v>
      </c>
      <c r="N17" s="23">
        <f t="shared" si="15"/>
        <v>102.44948402390622</v>
      </c>
      <c r="O17" s="23">
        <f t="shared" si="15"/>
        <v>107.57195822510154</v>
      </c>
      <c r="P17" s="23">
        <f t="shared" si="15"/>
        <v>112.95055613635662</v>
      </c>
      <c r="Q17" s="23">
        <f t="shared" ref="Q17:U17" si="16">P17*0.98</f>
        <v>110.69154501362949</v>
      </c>
      <c r="R17" s="23">
        <f t="shared" si="16"/>
        <v>108.4777141133569</v>
      </c>
      <c r="S17" s="23">
        <f t="shared" si="16"/>
        <v>106.30815983108975</v>
      </c>
      <c r="T17" s="23">
        <f t="shared" si="16"/>
        <v>104.18199663446795</v>
      </c>
      <c r="U17" s="23">
        <f t="shared" si="16"/>
        <v>102.09835670177858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</row>
    <row r="18" spans="1:200" x14ac:dyDescent="0.15">
      <c r="A18" s="3" t="s">
        <v>10</v>
      </c>
      <c r="B18" s="23"/>
      <c r="C18" s="23"/>
      <c r="D18" s="26">
        <f>SUM(D15:D17)</f>
        <v>78</v>
      </c>
      <c r="E18" s="26">
        <f>SUM(E15:E17)</f>
        <v>122</v>
      </c>
      <c r="F18" s="26">
        <f>SUM(F15:F17)</f>
        <v>203</v>
      </c>
      <c r="G18" s="23">
        <f t="shared" ref="G18:H18" si="17">SUM(G15:G17)</f>
        <v>241.4</v>
      </c>
      <c r="H18" s="23">
        <f t="shared" si="17"/>
        <v>287.14999999999998</v>
      </c>
      <c r="I18" s="23">
        <f t="shared" ref="I18:P18" si="18">SUM(I15:I17)</f>
        <v>341.6705</v>
      </c>
      <c r="J18" s="23">
        <f t="shared" si="18"/>
        <v>406.65867500000002</v>
      </c>
      <c r="K18" s="23">
        <f t="shared" si="18"/>
        <v>484.14259624999994</v>
      </c>
      <c r="L18" s="23">
        <f t="shared" si="18"/>
        <v>514.81935806249999</v>
      </c>
      <c r="M18" s="23">
        <f t="shared" si="18"/>
        <v>547.676921165625</v>
      </c>
      <c r="N18" s="23">
        <f t="shared" si="18"/>
        <v>582.8890219439063</v>
      </c>
      <c r="O18" s="23">
        <f t="shared" si="18"/>
        <v>620.64455323310165</v>
      </c>
      <c r="P18" s="23">
        <f t="shared" si="18"/>
        <v>661.14896910595689</v>
      </c>
      <c r="Q18" s="23">
        <f t="shared" ref="Q18:U18" si="19">SUM(Q15:Q17)</f>
        <v>668.76480378847771</v>
      </c>
      <c r="R18" s="23">
        <f t="shared" si="19"/>
        <v>677.89542690251926</v>
      </c>
      <c r="S18" s="23">
        <f t="shared" si="19"/>
        <v>688.64391108946495</v>
      </c>
      <c r="T18" s="23">
        <f t="shared" si="19"/>
        <v>701.12193701067156</v>
      </c>
      <c r="U18" s="23">
        <f t="shared" si="19"/>
        <v>715.45047474489354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</row>
    <row r="19" spans="1:200" x14ac:dyDescent="0.15">
      <c r="A19" s="3" t="s">
        <v>11</v>
      </c>
      <c r="B19" s="23"/>
      <c r="C19" s="23"/>
      <c r="D19" s="26">
        <f>D14-D18</f>
        <v>-32.61</v>
      </c>
      <c r="E19" s="26">
        <f>E14-E18</f>
        <v>-47.368000000000009</v>
      </c>
      <c r="F19" s="26">
        <f>F14-F18</f>
        <v>-92.441999999999979</v>
      </c>
      <c r="G19" s="23">
        <f t="shared" ref="G19:H19" si="20">G14-G18</f>
        <v>-97.67459999999997</v>
      </c>
      <c r="H19" s="23">
        <f t="shared" si="20"/>
        <v>-100.3069799999999</v>
      </c>
      <c r="I19" s="23">
        <f t="shared" ref="I19:P19" si="21">I14-I18</f>
        <v>-98.774573999999888</v>
      </c>
      <c r="J19" s="23">
        <f t="shared" si="21"/>
        <v>-90.893971199999839</v>
      </c>
      <c r="K19" s="23">
        <f t="shared" si="21"/>
        <v>-73.648481309999738</v>
      </c>
      <c r="L19" s="23">
        <f t="shared" si="21"/>
        <v>-42.751125881499831</v>
      </c>
      <c r="M19" s="23">
        <f t="shared" si="21"/>
        <v>-4.7984541574747936</v>
      </c>
      <c r="N19" s="23">
        <f t="shared" si="21"/>
        <v>41.421215115466339</v>
      </c>
      <c r="O19" s="23">
        <f t="shared" si="21"/>
        <v>97.312219385176832</v>
      </c>
      <c r="P19" s="23">
        <f t="shared" si="21"/>
        <v>164.50131940506333</v>
      </c>
      <c r="Q19" s="23">
        <f t="shared" ref="Q19:U19" si="22">Q14-Q18</f>
        <v>239.45051357364457</v>
      </c>
      <c r="R19" s="23">
        <f t="shared" si="22"/>
        <v>321.14142219581538</v>
      </c>
      <c r="S19" s="23">
        <f t="shared" si="22"/>
        <v>410.29662291870306</v>
      </c>
      <c r="T19" s="23">
        <f t="shared" si="22"/>
        <v>507.71265039831326</v>
      </c>
      <c r="U19" s="23">
        <f t="shared" si="22"/>
        <v>614.26757140498978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</row>
    <row r="20" spans="1:200" x14ac:dyDescent="0.15">
      <c r="A20" s="3" t="s">
        <v>12</v>
      </c>
      <c r="B20" s="23"/>
      <c r="C20" s="23"/>
      <c r="D20" s="37">
        <v>1</v>
      </c>
      <c r="E20" s="23">
        <v>1</v>
      </c>
      <c r="F20" s="37">
        <v>2</v>
      </c>
      <c r="G20" s="23">
        <f>F37*$F$3</f>
        <v>2.04</v>
      </c>
      <c r="H20" s="23">
        <f t="shared" ref="H20:U20" si="23">G37*$F$3</f>
        <v>0.12730800000000073</v>
      </c>
      <c r="I20" s="23">
        <f t="shared" si="23"/>
        <v>-1.8762854399999973</v>
      </c>
      <c r="J20" s="23">
        <f t="shared" si="23"/>
        <v>-3.8893026287999954</v>
      </c>
      <c r="K20" s="23">
        <f t="shared" si="23"/>
        <v>-5.7849681053759925</v>
      </c>
      <c r="L20" s="23">
        <f t="shared" si="23"/>
        <v>-7.3736370936835067</v>
      </c>
      <c r="M20" s="23">
        <f t="shared" si="23"/>
        <v>-8.3761323531871739</v>
      </c>
      <c r="N20" s="23">
        <f t="shared" si="23"/>
        <v>-8.6396240834004132</v>
      </c>
      <c r="O20" s="23">
        <f t="shared" si="23"/>
        <v>-8.0495554448232252</v>
      </c>
      <c r="P20" s="23">
        <f t="shared" si="23"/>
        <v>-6.4428274938968615</v>
      </c>
      <c r="Q20" s="23">
        <f t="shared" si="23"/>
        <v>-3.597774639495865</v>
      </c>
      <c r="R20" s="23">
        <f t="shared" si="23"/>
        <v>0.64757466131881192</v>
      </c>
      <c r="S20" s="23">
        <f t="shared" si="23"/>
        <v>6.4397766047472276</v>
      </c>
      <c r="T20" s="23">
        <f t="shared" si="23"/>
        <v>13.941031796169332</v>
      </c>
      <c r="U20" s="23">
        <f t="shared" si="23"/>
        <v>23.330798075670018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</row>
    <row r="21" spans="1:200" x14ac:dyDescent="0.15">
      <c r="A21" s="3" t="s">
        <v>13</v>
      </c>
      <c r="B21" s="23"/>
      <c r="C21" s="23"/>
      <c r="D21" s="26">
        <f>D19+D20</f>
        <v>-31.61</v>
      </c>
      <c r="E21" s="26">
        <f>E19+E20</f>
        <v>-46.368000000000009</v>
      </c>
      <c r="F21" s="26">
        <f>F19+F20</f>
        <v>-90.441999999999979</v>
      </c>
      <c r="G21" s="23">
        <f t="shared" ref="G21:H21" si="24">G19+G20</f>
        <v>-95.634599999999963</v>
      </c>
      <c r="H21" s="23">
        <f t="shared" si="24"/>
        <v>-100.1796719999999</v>
      </c>
      <c r="I21" s="23">
        <f t="shared" ref="I21" si="25">I19+I20</f>
        <v>-100.65085943999989</v>
      </c>
      <c r="J21" s="23">
        <f t="shared" ref="J21" si="26">J19+J20</f>
        <v>-94.783273828799835</v>
      </c>
      <c r="K21" s="23">
        <f t="shared" ref="K21" si="27">K19+K20</f>
        <v>-79.433449415375733</v>
      </c>
      <c r="L21" s="23">
        <f t="shared" ref="L21" si="28">L19+L20</f>
        <v>-50.124762975183337</v>
      </c>
      <c r="M21" s="23">
        <f t="shared" ref="M21" si="29">M19+M20</f>
        <v>-13.174586510661968</v>
      </c>
      <c r="N21" s="23">
        <f t="shared" ref="N21" si="30">N19+N20</f>
        <v>32.781591032065926</v>
      </c>
      <c r="O21" s="23">
        <f t="shared" ref="O21" si="31">O19+O20</f>
        <v>89.262663940353605</v>
      </c>
      <c r="P21" s="23">
        <f t="shared" ref="P21:Q21" si="32">P19+P20</f>
        <v>158.05849191116647</v>
      </c>
      <c r="Q21" s="23">
        <f t="shared" si="32"/>
        <v>235.8527389341487</v>
      </c>
      <c r="R21" s="23">
        <f t="shared" ref="R21:U21" si="33">R19+R20</f>
        <v>321.78899685713418</v>
      </c>
      <c r="S21" s="23">
        <f t="shared" si="33"/>
        <v>416.7363995234503</v>
      </c>
      <c r="T21" s="23">
        <f t="shared" si="33"/>
        <v>521.6536821944826</v>
      </c>
      <c r="U21" s="23">
        <f t="shared" si="33"/>
        <v>637.59836948065981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</row>
    <row r="22" spans="1:200" x14ac:dyDescent="0.15">
      <c r="A22" s="3" t="s">
        <v>14</v>
      </c>
      <c r="B22" s="23"/>
      <c r="C22" s="23"/>
      <c r="D22" s="37">
        <v>0</v>
      </c>
      <c r="E22" s="23">
        <v>1</v>
      </c>
      <c r="F22" s="37">
        <v>1</v>
      </c>
      <c r="G22" s="23"/>
      <c r="H22" s="23"/>
      <c r="I22" s="23"/>
      <c r="J22" s="23"/>
      <c r="K22" s="23"/>
      <c r="L22" s="23"/>
      <c r="M22" s="23"/>
      <c r="N22" s="23">
        <f t="shared" ref="H22:P22" si="34">N21*0.1</f>
        <v>3.2781591032065927</v>
      </c>
      <c r="O22" s="23">
        <f t="shared" si="34"/>
        <v>8.9262663940353608</v>
      </c>
      <c r="P22" s="23">
        <f t="shared" si="34"/>
        <v>15.805849191116648</v>
      </c>
      <c r="Q22" s="23">
        <f t="shared" ref="Q22:U22" si="35">Q21*0.1</f>
        <v>23.585273893414872</v>
      </c>
      <c r="R22" s="23">
        <f t="shared" si="35"/>
        <v>32.178899685713418</v>
      </c>
      <c r="S22" s="23">
        <f t="shared" si="35"/>
        <v>41.673639952345034</v>
      </c>
      <c r="T22" s="23">
        <f t="shared" si="35"/>
        <v>52.165368219448261</v>
      </c>
      <c r="U22" s="23">
        <f t="shared" si="35"/>
        <v>63.759836948065981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</row>
    <row r="23" spans="1:200" s="2" customFormat="1" x14ac:dyDescent="0.15">
      <c r="A23" s="2" t="s">
        <v>15</v>
      </c>
      <c r="B23" s="23"/>
      <c r="C23" s="23"/>
      <c r="D23" s="24">
        <f>D21-D22</f>
        <v>-31.61</v>
      </c>
      <c r="E23" s="24">
        <f>E21-E22</f>
        <v>-47.368000000000009</v>
      </c>
      <c r="F23" s="24">
        <f t="shared" ref="F23:H23" si="36">F21-F22</f>
        <v>-91.441999999999979</v>
      </c>
      <c r="G23" s="24">
        <f>G21-G22</f>
        <v>-95.634599999999963</v>
      </c>
      <c r="H23" s="24">
        <f t="shared" si="36"/>
        <v>-100.1796719999999</v>
      </c>
      <c r="I23" s="24">
        <f t="shared" ref="I23:P23" si="37">I21-I22</f>
        <v>-100.65085943999989</v>
      </c>
      <c r="J23" s="24">
        <f t="shared" si="37"/>
        <v>-94.783273828799835</v>
      </c>
      <c r="K23" s="24">
        <f t="shared" si="37"/>
        <v>-79.433449415375733</v>
      </c>
      <c r="L23" s="24">
        <f t="shared" si="37"/>
        <v>-50.124762975183337</v>
      </c>
      <c r="M23" s="24">
        <f t="shared" si="37"/>
        <v>-13.174586510661968</v>
      </c>
      <c r="N23" s="24">
        <f t="shared" si="37"/>
        <v>29.503431928859332</v>
      </c>
      <c r="O23" s="24">
        <f t="shared" si="37"/>
        <v>80.336397546318238</v>
      </c>
      <c r="P23" s="24">
        <f t="shared" si="37"/>
        <v>142.25264272004983</v>
      </c>
      <c r="Q23" s="24">
        <f t="shared" ref="Q23:U23" si="38">Q21-Q22</f>
        <v>212.26746504073384</v>
      </c>
      <c r="R23" s="24">
        <f t="shared" si="38"/>
        <v>289.61009717142076</v>
      </c>
      <c r="S23" s="24">
        <f t="shared" si="38"/>
        <v>375.06275957110529</v>
      </c>
      <c r="T23" s="24">
        <f t="shared" si="38"/>
        <v>469.48831397503432</v>
      </c>
      <c r="U23" s="24">
        <f t="shared" si="38"/>
        <v>573.83853253259383</v>
      </c>
      <c r="V23" s="24">
        <f t="shared" ref="V23:BY23" si="39">U23*($F$2+1)</f>
        <v>576.70772519525678</v>
      </c>
      <c r="W23" s="24">
        <f t="shared" si="39"/>
        <v>579.59126382123304</v>
      </c>
      <c r="X23" s="24">
        <f t="shared" si="39"/>
        <v>582.48922014033917</v>
      </c>
      <c r="Y23" s="24">
        <f t="shared" si="39"/>
        <v>585.40166624104086</v>
      </c>
      <c r="Z23" s="24">
        <f t="shared" si="39"/>
        <v>588.32867457224597</v>
      </c>
      <c r="AA23" s="24">
        <f t="shared" si="39"/>
        <v>591.27031794510719</v>
      </c>
      <c r="AB23" s="24">
        <f t="shared" si="39"/>
        <v>594.22666953483269</v>
      </c>
      <c r="AC23" s="24">
        <f t="shared" si="39"/>
        <v>597.19780288250683</v>
      </c>
      <c r="AD23" s="24">
        <f t="shared" si="39"/>
        <v>600.18379189691927</v>
      </c>
      <c r="AE23" s="24">
        <f t="shared" si="39"/>
        <v>603.18471085640385</v>
      </c>
      <c r="AF23" s="24">
        <f t="shared" si="39"/>
        <v>606.20063441068578</v>
      </c>
      <c r="AG23" s="24">
        <f t="shared" si="39"/>
        <v>609.23163758273915</v>
      </c>
      <c r="AH23" s="24">
        <f t="shared" si="39"/>
        <v>612.2777957706528</v>
      </c>
      <c r="AI23" s="24">
        <f t="shared" si="39"/>
        <v>615.33918474950599</v>
      </c>
      <c r="AJ23" s="24">
        <f t="shared" si="39"/>
        <v>618.41588067325347</v>
      </c>
      <c r="AK23" s="24">
        <f t="shared" si="39"/>
        <v>621.50796007661972</v>
      </c>
      <c r="AL23" s="24">
        <f t="shared" si="39"/>
        <v>624.61549987700278</v>
      </c>
      <c r="AM23" s="24">
        <f t="shared" si="39"/>
        <v>627.73857737638775</v>
      </c>
      <c r="AN23" s="24">
        <f t="shared" si="39"/>
        <v>630.87727026326968</v>
      </c>
      <c r="AO23" s="24">
        <f t="shared" si="39"/>
        <v>634.03165661458593</v>
      </c>
      <c r="AP23" s="24">
        <f t="shared" si="39"/>
        <v>637.20181489765878</v>
      </c>
      <c r="AQ23" s="24">
        <f t="shared" si="39"/>
        <v>640.38782397214698</v>
      </c>
      <c r="AR23" s="24">
        <f t="shared" si="39"/>
        <v>643.58976309200762</v>
      </c>
      <c r="AS23" s="24">
        <f t="shared" si="39"/>
        <v>646.80771190746759</v>
      </c>
      <c r="AT23" s="24">
        <f t="shared" si="39"/>
        <v>650.04175046700482</v>
      </c>
      <c r="AU23" s="24">
        <f t="shared" si="39"/>
        <v>653.29195921933979</v>
      </c>
      <c r="AV23" s="24">
        <f t="shared" si="39"/>
        <v>656.55841901543647</v>
      </c>
      <c r="AW23" s="24">
        <f t="shared" si="39"/>
        <v>659.84121111051354</v>
      </c>
      <c r="AX23" s="24">
        <f t="shared" si="39"/>
        <v>663.14041716606607</v>
      </c>
      <c r="AY23" s="24">
        <f t="shared" si="39"/>
        <v>666.45611925189633</v>
      </c>
      <c r="AZ23" s="24">
        <f t="shared" si="39"/>
        <v>669.78839984815579</v>
      </c>
      <c r="BA23" s="24">
        <f t="shared" si="39"/>
        <v>673.13734184739644</v>
      </c>
      <c r="BB23" s="24">
        <f t="shared" si="39"/>
        <v>676.50302855663335</v>
      </c>
      <c r="BC23" s="24">
        <f t="shared" si="39"/>
        <v>679.88554369941642</v>
      </c>
      <c r="BD23" s="24">
        <f t="shared" si="39"/>
        <v>683.28497141791343</v>
      </c>
      <c r="BE23" s="24">
        <f t="shared" si="39"/>
        <v>686.70139627500293</v>
      </c>
      <c r="BF23" s="24">
        <f t="shared" si="39"/>
        <v>690.13490325637792</v>
      </c>
      <c r="BG23" s="24">
        <f t="shared" si="39"/>
        <v>693.58557777265969</v>
      </c>
      <c r="BH23" s="24">
        <f t="shared" si="39"/>
        <v>697.05350566152288</v>
      </c>
      <c r="BI23" s="24">
        <f t="shared" si="39"/>
        <v>700.53877318983041</v>
      </c>
      <c r="BJ23" s="24">
        <f t="shared" si="39"/>
        <v>704.04146705577944</v>
      </c>
      <c r="BK23" s="24">
        <f t="shared" si="39"/>
        <v>707.5616743910582</v>
      </c>
      <c r="BL23" s="24">
        <f t="shared" si="39"/>
        <v>711.09948276301338</v>
      </c>
      <c r="BM23" s="24">
        <f t="shared" si="39"/>
        <v>714.65498017682842</v>
      </c>
      <c r="BN23" s="24">
        <f t="shared" si="39"/>
        <v>718.22825507771245</v>
      </c>
      <c r="BO23" s="24">
        <f t="shared" si="39"/>
        <v>721.81939635310096</v>
      </c>
      <c r="BP23" s="24">
        <f t="shared" si="39"/>
        <v>725.4284933348664</v>
      </c>
      <c r="BQ23" s="24">
        <f t="shared" si="39"/>
        <v>729.05563580154069</v>
      </c>
      <c r="BR23" s="24">
        <f t="shared" si="39"/>
        <v>732.70091398054831</v>
      </c>
      <c r="BS23" s="24">
        <f t="shared" si="39"/>
        <v>736.36441855045098</v>
      </c>
      <c r="BT23" s="24">
        <f t="shared" si="39"/>
        <v>740.04624064320319</v>
      </c>
      <c r="BU23" s="24">
        <f t="shared" si="39"/>
        <v>743.74647184641913</v>
      </c>
      <c r="BV23" s="24">
        <f t="shared" si="39"/>
        <v>747.46520420565116</v>
      </c>
      <c r="BW23" s="24">
        <f t="shared" si="39"/>
        <v>751.2025302266793</v>
      </c>
      <c r="BX23" s="24">
        <f t="shared" si="39"/>
        <v>754.95854287781265</v>
      </c>
      <c r="BY23" s="24">
        <f t="shared" si="39"/>
        <v>758.73333559220168</v>
      </c>
      <c r="BZ23" s="24">
        <f t="shared" ref="BZ23:DM23" si="40">BY23*($F$2+1)</f>
        <v>762.5270022701626</v>
      </c>
      <c r="CA23" s="24">
        <f t="shared" si="40"/>
        <v>766.33963728151332</v>
      </c>
      <c r="CB23" s="24">
        <f t="shared" si="40"/>
        <v>770.17133546792081</v>
      </c>
      <c r="CC23" s="24">
        <f t="shared" si="40"/>
        <v>774.02219214526031</v>
      </c>
      <c r="CD23" s="24">
        <f t="shared" si="40"/>
        <v>777.89230310598657</v>
      </c>
      <c r="CE23" s="24">
        <f t="shared" si="40"/>
        <v>781.78176462151646</v>
      </c>
      <c r="CF23" s="24">
        <f t="shared" si="40"/>
        <v>785.69067344462394</v>
      </c>
      <c r="CG23" s="24">
        <f t="shared" si="40"/>
        <v>789.61912681184697</v>
      </c>
      <c r="CH23" s="24">
        <f t="shared" si="40"/>
        <v>793.56722244590617</v>
      </c>
      <c r="CI23" s="24">
        <f t="shared" si="40"/>
        <v>797.53505855813557</v>
      </c>
      <c r="CJ23" s="24">
        <f t="shared" si="40"/>
        <v>801.52273385092622</v>
      </c>
      <c r="CK23" s="24">
        <f t="shared" si="40"/>
        <v>805.53034752018073</v>
      </c>
      <c r="CL23" s="24">
        <f t="shared" si="40"/>
        <v>809.55799925778149</v>
      </c>
      <c r="CM23" s="24">
        <f t="shared" si="40"/>
        <v>813.60578925407026</v>
      </c>
      <c r="CN23" s="24">
        <f t="shared" si="40"/>
        <v>817.67381820034052</v>
      </c>
      <c r="CO23" s="24">
        <f t="shared" si="40"/>
        <v>821.76218729134212</v>
      </c>
      <c r="CP23" s="24">
        <f t="shared" si="40"/>
        <v>825.87099822779874</v>
      </c>
      <c r="CQ23" s="24">
        <f t="shared" si="40"/>
        <v>830.00035321893768</v>
      </c>
      <c r="CR23" s="24">
        <f t="shared" si="40"/>
        <v>834.15035498503232</v>
      </c>
      <c r="CS23" s="24">
        <f t="shared" si="40"/>
        <v>838.32110675995739</v>
      </c>
      <c r="CT23" s="24">
        <f t="shared" si="40"/>
        <v>842.51271229375709</v>
      </c>
      <c r="CU23" s="24">
        <f t="shared" si="40"/>
        <v>846.72527585522573</v>
      </c>
      <c r="CV23" s="24">
        <f t="shared" si="40"/>
        <v>850.95890223450181</v>
      </c>
      <c r="CW23" s="24">
        <f t="shared" si="40"/>
        <v>855.21369674567427</v>
      </c>
      <c r="CX23" s="24">
        <f t="shared" si="40"/>
        <v>859.48976522940256</v>
      </c>
      <c r="CY23" s="24">
        <f t="shared" si="40"/>
        <v>863.7872140555495</v>
      </c>
      <c r="CZ23" s="24">
        <f t="shared" si="40"/>
        <v>868.10615012582718</v>
      </c>
      <c r="DA23" s="24">
        <f t="shared" si="40"/>
        <v>872.44668087645618</v>
      </c>
      <c r="DB23" s="24">
        <f t="shared" si="40"/>
        <v>876.80891428083839</v>
      </c>
      <c r="DC23" s="24">
        <f t="shared" si="40"/>
        <v>881.19295885224244</v>
      </c>
      <c r="DD23" s="24">
        <f t="shared" si="40"/>
        <v>885.59892364650352</v>
      </c>
      <c r="DE23" s="24">
        <f t="shared" si="40"/>
        <v>890.02691826473597</v>
      </c>
      <c r="DF23" s="24">
        <f t="shared" si="40"/>
        <v>894.47705285605957</v>
      </c>
      <c r="DG23" s="24">
        <f t="shared" si="40"/>
        <v>898.94943812033978</v>
      </c>
      <c r="DH23" s="24">
        <f t="shared" si="40"/>
        <v>903.44418531094141</v>
      </c>
      <c r="DI23" s="24">
        <f t="shared" si="40"/>
        <v>907.96140623749602</v>
      </c>
      <c r="DJ23" s="24">
        <f t="shared" si="40"/>
        <v>912.50121326868339</v>
      </c>
      <c r="DK23" s="24">
        <f t="shared" si="40"/>
        <v>917.06371933502669</v>
      </c>
      <c r="DL23" s="24">
        <f t="shared" si="40"/>
        <v>921.64903793170174</v>
      </c>
      <c r="DM23" s="24">
        <f t="shared" si="40"/>
        <v>926.25728312136016</v>
      </c>
      <c r="DN23" s="24">
        <f t="shared" ref="DN23" si="41">DM23*($F$2+1)</f>
        <v>930.88856953696688</v>
      </c>
      <c r="DO23" s="24">
        <f t="shared" ref="DO23" si="42">DN23*($F$2+1)</f>
        <v>935.54301238465166</v>
      </c>
      <c r="DP23" s="24">
        <f t="shared" ref="DP23" si="43">DO23*($F$2+1)</f>
        <v>940.22072744657487</v>
      </c>
      <c r="DQ23" s="24">
        <f t="shared" ref="DQ23" si="44">DP23*($F$2+1)</f>
        <v>944.92183108380766</v>
      </c>
      <c r="DR23" s="24">
        <f t="shared" ref="DR23" si="45">DQ23*($F$2+1)</f>
        <v>949.64644023922665</v>
      </c>
      <c r="DS23" s="24">
        <f t="shared" ref="DS23" si="46">DR23*($F$2+1)</f>
        <v>954.39467244042271</v>
      </c>
      <c r="DT23" s="24">
        <f t="shared" ref="DT23" si="47">DS23*($F$2+1)</f>
        <v>959.16664580262477</v>
      </c>
      <c r="DU23" s="24">
        <f t="shared" ref="DU23" si="48">DT23*($F$2+1)</f>
        <v>963.96247903163783</v>
      </c>
      <c r="DV23" s="24">
        <f t="shared" ref="DV23" si="49">DU23*($F$2+1)</f>
        <v>968.78229142679595</v>
      </c>
      <c r="DW23" s="24">
        <f t="shared" ref="DW23" si="50">DV23*($F$2+1)</f>
        <v>973.62620288392986</v>
      </c>
      <c r="DX23" s="24">
        <f t="shared" ref="DX23" si="51">DW23*($F$2+1)</f>
        <v>978.4943338983494</v>
      </c>
      <c r="DY23" s="24">
        <f t="shared" ref="DY23" si="52">DX23*($F$2+1)</f>
        <v>983.38680556784107</v>
      </c>
      <c r="DZ23" s="24">
        <f t="shared" ref="DZ23" si="53">DY23*($F$2+1)</f>
        <v>988.30373959568021</v>
      </c>
      <c r="EA23" s="24">
        <f t="shared" ref="EA23" si="54">DZ23*($F$2+1)</f>
        <v>993.24525829365848</v>
      </c>
      <c r="EB23" s="24">
        <f t="shared" ref="EB23" si="55">EA23*($F$2+1)</f>
        <v>998.21148458512664</v>
      </c>
      <c r="EC23" s="24">
        <f t="shared" ref="EC23" si="56">EB23*($F$2+1)</f>
        <v>1003.2025420080522</v>
      </c>
      <c r="ED23" s="24">
        <f t="shared" ref="ED23" si="57">EC23*($F$2+1)</f>
        <v>1008.2185547180924</v>
      </c>
      <c r="EE23" s="24">
        <f t="shared" ref="EE23" si="58">ED23*($F$2+1)</f>
        <v>1013.2596474916827</v>
      </c>
      <c r="EF23" s="24">
        <f t="shared" ref="EF23" si="59">EE23*($F$2+1)</f>
        <v>1018.325945729141</v>
      </c>
      <c r="EG23" s="24">
        <f t="shared" ref="EG23" si="60">EF23*($F$2+1)</f>
        <v>1023.4175754577866</v>
      </c>
      <c r="EH23" s="24">
        <f t="shared" ref="EH23" si="61">EG23*($F$2+1)</f>
        <v>1028.5346633350755</v>
      </c>
      <c r="EI23" s="24">
        <f t="shared" ref="EI23" si="62">EH23*($F$2+1)</f>
        <v>1033.6773366517507</v>
      </c>
      <c r="EJ23" s="24">
        <f t="shared" ref="EJ23" si="63">EI23*($F$2+1)</f>
        <v>1038.8457233350093</v>
      </c>
      <c r="EK23" s="24">
        <f t="shared" ref="EK23" si="64">EJ23*($F$2+1)</f>
        <v>1044.0399519516843</v>
      </c>
      <c r="EL23" s="24">
        <f t="shared" ref="EL23" si="65">EK23*($F$2+1)</f>
        <v>1049.2601517114426</v>
      </c>
      <c r="EM23" s="24">
        <f t="shared" ref="EM23" si="66">EL23*($F$2+1)</f>
        <v>1054.5064524699997</v>
      </c>
      <c r="EN23" s="24">
        <f t="shared" ref="EN23" si="67">EM23*($F$2+1)</f>
        <v>1059.7789847323495</v>
      </c>
      <c r="EO23" s="24">
        <f t="shared" ref="EO23" si="68">EN23*($F$2+1)</f>
        <v>1065.0778796560112</v>
      </c>
      <c r="EP23" s="24">
        <f t="shared" ref="EP23" si="69">EO23*($F$2+1)</f>
        <v>1070.4032690542911</v>
      </c>
      <c r="EQ23" s="24">
        <f t="shared" ref="EQ23" si="70">EP23*($F$2+1)</f>
        <v>1075.7552853995624</v>
      </c>
      <c r="ER23" s="24">
        <f t="shared" ref="ER23" si="71">EQ23*($F$2+1)</f>
        <v>1081.1340618265601</v>
      </c>
      <c r="ES23" s="24">
        <f t="shared" ref="ES23" si="72">ER23*($F$2+1)</f>
        <v>1086.5397321356927</v>
      </c>
      <c r="ET23" s="24">
        <f t="shared" ref="ET23" si="73">ES23*($F$2+1)</f>
        <v>1091.9724307963711</v>
      </c>
      <c r="EU23" s="24">
        <f t="shared" ref="EU23" si="74">ET23*($F$2+1)</f>
        <v>1097.4322929503528</v>
      </c>
      <c r="EV23" s="24">
        <f t="shared" ref="EV23" si="75">EU23*($F$2+1)</f>
        <v>1102.9194544151044</v>
      </c>
      <c r="EW23" s="24">
        <f t="shared" ref="EW23" si="76">EV23*($F$2+1)</f>
        <v>1108.4340516871798</v>
      </c>
      <c r="EX23" s="24">
        <f t="shared" ref="EX23" si="77">EW23*($F$2+1)</f>
        <v>1113.9762219456156</v>
      </c>
      <c r="EY23" s="24">
        <f t="shared" ref="EY23" si="78">EX23*($F$2+1)</f>
        <v>1119.5461030553436</v>
      </c>
      <c r="EZ23" s="24">
        <f t="shared" ref="EZ23" si="79">EY23*($F$2+1)</f>
        <v>1125.1438335706202</v>
      </c>
      <c r="FA23" s="24">
        <f t="shared" ref="FA23" si="80">EZ23*($F$2+1)</f>
        <v>1130.7695527384733</v>
      </c>
      <c r="FB23" s="24">
        <f t="shared" ref="FB23" si="81">FA23*($F$2+1)</f>
        <v>1136.4234005021656</v>
      </c>
      <c r="FC23" s="24">
        <f t="shared" ref="FC23" si="82">FB23*($F$2+1)</f>
        <v>1142.1055175046763</v>
      </c>
      <c r="FD23" s="24">
        <f t="shared" ref="FD23" si="83">FC23*($F$2+1)</f>
        <v>1147.8160450921996</v>
      </c>
      <c r="FE23" s="24">
        <f t="shared" ref="FE23" si="84">FD23*($F$2+1)</f>
        <v>1153.5551253176604</v>
      </c>
      <c r="FF23" s="24">
        <f t="shared" ref="FF23" si="85">FE23*($F$2+1)</f>
        <v>1159.3229009442487</v>
      </c>
      <c r="FG23" s="24">
        <f t="shared" ref="FG23" si="86">FF23*($F$2+1)</f>
        <v>1165.1195154489699</v>
      </c>
      <c r="FH23" s="24">
        <f t="shared" ref="FH23" si="87">FG23*($F$2+1)</f>
        <v>1170.9451130262146</v>
      </c>
      <c r="FI23" s="24">
        <f t="shared" ref="FI23" si="88">FH23*($F$2+1)</f>
        <v>1176.7998385913456</v>
      </c>
      <c r="FJ23" s="24">
        <f t="shared" ref="FJ23" si="89">FI23*($F$2+1)</f>
        <v>1182.6838377843023</v>
      </c>
      <c r="FK23" s="24">
        <f t="shared" ref="FK23" si="90">FJ23*($F$2+1)</f>
        <v>1188.5972569732237</v>
      </c>
      <c r="FL23" s="24">
        <f t="shared" ref="FL23" si="91">FK23*($F$2+1)</f>
        <v>1194.5402432580897</v>
      </c>
      <c r="FM23" s="24">
        <f t="shared" ref="FM23" si="92">FL23*($F$2+1)</f>
        <v>1200.51294447438</v>
      </c>
      <c r="FN23" s="24">
        <f t="shared" ref="FN23" si="93">FM23*($F$2+1)</f>
        <v>1206.5155091967517</v>
      </c>
      <c r="FO23" s="24">
        <f t="shared" ref="FO23" si="94">FN23*($F$2+1)</f>
        <v>1212.5480867427354</v>
      </c>
      <c r="FP23" s="24">
        <f t="shared" ref="FP23" si="95">FO23*($F$2+1)</f>
        <v>1218.610827176449</v>
      </c>
      <c r="FQ23" s="24">
        <f t="shared" ref="FQ23" si="96">FP23*($F$2+1)</f>
        <v>1224.7038813123311</v>
      </c>
      <c r="FR23" s="24">
        <f t="shared" ref="FR23" si="97">FQ23*($F$2+1)</f>
        <v>1230.8274007188927</v>
      </c>
      <c r="FS23" s="24">
        <f t="shared" ref="FS23" si="98">FR23*($F$2+1)</f>
        <v>1236.981537722487</v>
      </c>
      <c r="FT23" s="24">
        <f t="shared" ref="FT23" si="99">FS23*($F$2+1)</f>
        <v>1243.1664454110994</v>
      </c>
      <c r="FU23" s="24">
        <f t="shared" ref="FU23" si="100">FT23*($F$2+1)</f>
        <v>1249.3822776381548</v>
      </c>
      <c r="FV23" s="24">
        <f t="shared" ref="FV23" si="101">FU23*($F$2+1)</f>
        <v>1255.6291890263456</v>
      </c>
      <c r="FW23" s="24">
        <f t="shared" ref="FW23" si="102">FV23*($F$2+1)</f>
        <v>1261.9073349714772</v>
      </c>
      <c r="FX23" s="24">
        <f t="shared" ref="FX23" si="103">FW23*($F$2+1)</f>
        <v>1268.2168716463345</v>
      </c>
      <c r="FY23" s="24">
        <f t="shared" ref="FY23" si="104">FX23*($F$2+1)</f>
        <v>1274.557956004566</v>
      </c>
      <c r="FZ23" s="24">
        <f t="shared" ref="FZ23" si="105">FY23*($F$2+1)</f>
        <v>1280.9307457845887</v>
      </c>
      <c r="GA23" s="24">
        <f t="shared" ref="GA23" si="106">FZ23*($F$2+1)</f>
        <v>1287.3353995135114</v>
      </c>
      <c r="GB23" s="24">
        <f t="shared" ref="GB23" si="107">GA23*($F$2+1)</f>
        <v>1293.7720765110789</v>
      </c>
      <c r="GC23" s="24">
        <f t="shared" ref="GC23" si="108">GB23*($F$2+1)</f>
        <v>1300.2409368936342</v>
      </c>
      <c r="GD23" s="24">
        <f t="shared" ref="GD23" si="109">GC23*($F$2+1)</f>
        <v>1306.7421415781023</v>
      </c>
      <c r="GE23" s="24">
        <f t="shared" ref="GE23" si="110">GD23*($F$2+1)</f>
        <v>1313.2758522859926</v>
      </c>
      <c r="GF23" s="24">
        <f t="shared" ref="GF23" si="111">GE23*($F$2+1)</f>
        <v>1319.8422315474224</v>
      </c>
      <c r="GG23" s="24">
        <f t="shared" ref="GG23" si="112">GF23*($F$2+1)</f>
        <v>1326.4414427051595</v>
      </c>
      <c r="GH23" s="24">
        <f t="shared" ref="GH23" si="113">GG23*($F$2+1)</f>
        <v>1333.0736499186851</v>
      </c>
      <c r="GI23" s="24">
        <f t="shared" ref="GI23" si="114">GH23*($F$2+1)</f>
        <v>1339.7390181682783</v>
      </c>
      <c r="GJ23" s="24">
        <f t="shared" ref="GJ23" si="115">GI23*($F$2+1)</f>
        <v>1346.4377132591196</v>
      </c>
      <c r="GK23" s="24">
        <f t="shared" ref="GK23" si="116">GJ23*($F$2+1)</f>
        <v>1353.1699018254151</v>
      </c>
      <c r="GL23" s="24">
        <f t="shared" ref="GL23" si="117">GK23*($F$2+1)</f>
        <v>1359.9357513345419</v>
      </c>
      <c r="GM23" s="24">
        <f t="shared" ref="GM23" si="118">GL23*($F$2+1)</f>
        <v>1366.7354300912145</v>
      </c>
      <c r="GN23" s="24">
        <f t="shared" ref="GN23" si="119">GM23*($F$2+1)</f>
        <v>1373.5691072416705</v>
      </c>
      <c r="GO23" s="24">
        <f t="shared" ref="GO23" si="120">GN23*($F$2+1)</f>
        <v>1380.4369527778788</v>
      </c>
      <c r="GP23" s="24">
        <f t="shared" ref="GP23" si="121">GO23*($F$2+1)</f>
        <v>1387.339137541768</v>
      </c>
      <c r="GQ23" s="24">
        <f t="shared" ref="GQ23" si="122">GP23*($F$2+1)</f>
        <v>1394.2758332294766</v>
      </c>
      <c r="GR23" s="24">
        <f t="shared" ref="GR23" si="123">GQ23*($F$2+1)</f>
        <v>1401.2472123956238</v>
      </c>
    </row>
    <row r="24" spans="1:200" x14ac:dyDescent="0.15">
      <c r="A24" s="3" t="s">
        <v>16</v>
      </c>
      <c r="B24" s="23"/>
      <c r="C24" s="23"/>
      <c r="D24" s="28">
        <f t="shared" ref="B24:G24" si="124">D23/D25</f>
        <v>-2.8498016588532273</v>
      </c>
      <c r="E24" s="28">
        <f t="shared" si="124"/>
        <v>-3.8466785772291709</v>
      </c>
      <c r="F24" s="28">
        <f t="shared" si="124"/>
        <v>-6.1341651573086455</v>
      </c>
      <c r="G24" s="47">
        <f t="shared" si="124"/>
        <v>-6.4154155765747607</v>
      </c>
      <c r="H24" s="47">
        <f t="shared" ref="H24" si="125">H23/H25</f>
        <v>-6.7203107265043203</v>
      </c>
      <c r="I24" s="47">
        <f t="shared" ref="I24:P24" si="126">I23/I25</f>
        <v>-6.7519191950090489</v>
      </c>
      <c r="J24" s="47">
        <f t="shared" si="126"/>
        <v>-6.3583064217347447</v>
      </c>
      <c r="K24" s="47">
        <f t="shared" si="126"/>
        <v>-5.3286006181911674</v>
      </c>
      <c r="L24" s="47">
        <f t="shared" si="126"/>
        <v>-3.3624983548120571</v>
      </c>
      <c r="M24" s="47">
        <f t="shared" si="126"/>
        <v>-0.8837852358396705</v>
      </c>
      <c r="N24" s="47">
        <f t="shared" si="126"/>
        <v>1.9791662929401845</v>
      </c>
      <c r="O24" s="47">
        <f t="shared" si="126"/>
        <v>5.3891727072058924</v>
      </c>
      <c r="P24" s="47">
        <f t="shared" si="126"/>
        <v>9.5426740940531189</v>
      </c>
      <c r="Q24" s="47">
        <f t="shared" ref="Q24:U24" si="127">Q23/Q25</f>
        <v>14.239448919348886</v>
      </c>
      <c r="R24" s="47">
        <f t="shared" si="127"/>
        <v>19.427792122588098</v>
      </c>
      <c r="S24" s="47">
        <f t="shared" si="127"/>
        <v>25.160177069236283</v>
      </c>
      <c r="T24" s="47">
        <f t="shared" si="127"/>
        <v>31.494486749515954</v>
      </c>
      <c r="U24" s="47">
        <f t="shared" si="127"/>
        <v>38.494568493499287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</row>
    <row r="25" spans="1:200" s="16" customFormat="1" x14ac:dyDescent="0.15">
      <c r="A25" s="16" t="s">
        <v>17</v>
      </c>
      <c r="B25" s="23"/>
      <c r="C25" s="23"/>
      <c r="D25" s="23">
        <v>11.092000000000001</v>
      </c>
      <c r="E25" s="23">
        <v>12.314</v>
      </c>
      <c r="F25" s="23">
        <v>14.907</v>
      </c>
      <c r="G25" s="23">
        <f t="shared" ref="G25" si="128">F25</f>
        <v>14.907</v>
      </c>
      <c r="H25" s="23">
        <f t="shared" ref="H25" si="129">G25</f>
        <v>14.907</v>
      </c>
      <c r="I25" s="23">
        <f t="shared" ref="I25" si="130">H25</f>
        <v>14.907</v>
      </c>
      <c r="J25" s="23">
        <f t="shared" ref="J25" si="131">I25</f>
        <v>14.907</v>
      </c>
      <c r="K25" s="23">
        <f t="shared" ref="K25" si="132">J25</f>
        <v>14.907</v>
      </c>
      <c r="L25" s="23">
        <f t="shared" ref="L25" si="133">K25</f>
        <v>14.907</v>
      </c>
      <c r="M25" s="23">
        <f t="shared" ref="M25" si="134">L25</f>
        <v>14.907</v>
      </c>
      <c r="N25" s="23">
        <f t="shared" ref="N25" si="135">M25</f>
        <v>14.907</v>
      </c>
      <c r="O25" s="23">
        <f t="shared" ref="O25" si="136">N25</f>
        <v>14.907</v>
      </c>
      <c r="P25" s="23">
        <f t="shared" ref="P25:U25" si="137">O25</f>
        <v>14.907</v>
      </c>
      <c r="Q25" s="23">
        <f t="shared" si="137"/>
        <v>14.907</v>
      </c>
      <c r="R25" s="23">
        <f t="shared" si="137"/>
        <v>14.907</v>
      </c>
      <c r="S25" s="23">
        <f t="shared" si="137"/>
        <v>14.907</v>
      </c>
      <c r="T25" s="23">
        <f t="shared" si="137"/>
        <v>14.907</v>
      </c>
      <c r="U25" s="23">
        <f t="shared" si="137"/>
        <v>14.907</v>
      </c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</row>
    <row r="26" spans="1:200" x14ac:dyDescent="0.15">
      <c r="B26" s="23"/>
      <c r="C26" s="23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</row>
    <row r="27" spans="1:200" x14ac:dyDescent="0.15">
      <c r="A27" s="3" t="s">
        <v>19</v>
      </c>
      <c r="B27" s="23"/>
      <c r="C27" s="23"/>
      <c r="D27" s="33">
        <f t="shared" ref="B27:P27" si="138">IFERROR(D14/D12,0)</f>
        <v>0.66919266379666209</v>
      </c>
      <c r="E27" s="33">
        <f>IFERROR(E14/E12,0)</f>
        <v>0.72009417031705292</v>
      </c>
      <c r="F27" s="33">
        <f t="shared" si="138"/>
        <v>0.71301981219688382</v>
      </c>
      <c r="G27" s="33">
        <f t="shared" si="138"/>
        <v>0.71301981219688382</v>
      </c>
      <c r="H27" s="33">
        <f>IFERROR(H14/H12,0)</f>
        <v>0.71301981219688382</v>
      </c>
      <c r="I27" s="33">
        <f t="shared" si="138"/>
        <v>0.71301981219688382</v>
      </c>
      <c r="J27" s="33">
        <f t="shared" si="138"/>
        <v>0.71301981219688382</v>
      </c>
      <c r="K27" s="33">
        <f t="shared" si="138"/>
        <v>0.71301981219688382</v>
      </c>
      <c r="L27" s="33">
        <f t="shared" si="138"/>
        <v>0.71301981219688382</v>
      </c>
      <c r="M27" s="33">
        <f t="shared" si="138"/>
        <v>0.71301981219688382</v>
      </c>
      <c r="N27" s="33">
        <f t="shared" si="138"/>
        <v>0.71301981219688382</v>
      </c>
      <c r="O27" s="33">
        <f t="shared" si="138"/>
        <v>0.71301981219688382</v>
      </c>
      <c r="P27" s="33">
        <f t="shared" si="138"/>
        <v>0.71301981219688382</v>
      </c>
      <c r="Q27" s="33">
        <f t="shared" ref="Q27:U27" si="139">IFERROR(Q14/Q12,0)</f>
        <v>0.71301981219688382</v>
      </c>
      <c r="R27" s="33">
        <f t="shared" si="139"/>
        <v>0.71301981219688382</v>
      </c>
      <c r="S27" s="33">
        <f t="shared" si="139"/>
        <v>0.71301981219688371</v>
      </c>
      <c r="T27" s="33">
        <f t="shared" si="139"/>
        <v>0.71301981219688371</v>
      </c>
      <c r="U27" s="33">
        <f t="shared" si="139"/>
        <v>0.71301981219688371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</row>
    <row r="28" spans="1:200" x14ac:dyDescent="0.15">
      <c r="A28" s="3" t="s">
        <v>20</v>
      </c>
      <c r="B28" s="23"/>
      <c r="C28" s="23"/>
      <c r="D28" s="35">
        <f t="shared" ref="B28:P28" si="140">IFERROR(D19/D12,0)</f>
        <v>-0.4807749012207348</v>
      </c>
      <c r="E28" s="35">
        <f>IFERROR(E19/E12,0)</f>
        <v>-0.4570347928445998</v>
      </c>
      <c r="F28" s="35">
        <f t="shared" si="140"/>
        <v>-0.59618460427200481</v>
      </c>
      <c r="G28" s="35">
        <f>IFERROR(G19/G12,0)</f>
        <v>-0.48456240127636246</v>
      </c>
      <c r="H28" s="35">
        <f t="shared" si="140"/>
        <v>-0.38278584900648938</v>
      </c>
      <c r="I28" s="35">
        <f t="shared" si="140"/>
        <v>-0.28995228270443324</v>
      </c>
      <c r="J28" s="35">
        <f t="shared" si="140"/>
        <v>-0.20524523955629273</v>
      </c>
      <c r="K28" s="35">
        <f t="shared" si="140"/>
        <v>-0.12792589321266457</v>
      </c>
      <c r="L28" s="35">
        <f t="shared" si="140"/>
        <v>-6.4572020884355555E-2</v>
      </c>
      <c r="M28" s="35">
        <f t="shared" si="140"/>
        <v>-6.3023182721790817E-3</v>
      </c>
      <c r="N28" s="35">
        <f t="shared" si="140"/>
        <v>4.7306844048735024E-2</v>
      </c>
      <c r="O28" s="35">
        <f t="shared" si="140"/>
        <v>9.6643061304989564E-2</v>
      </c>
      <c r="P28" s="35">
        <f t="shared" si="140"/>
        <v>0.14206099301420194</v>
      </c>
      <c r="Q28" s="35">
        <f t="shared" ref="Q28:U28" si="141">IFERROR(Q19/Q12,0)</f>
        <v>0.18798731639388661</v>
      </c>
      <c r="R28" s="35">
        <f t="shared" si="141"/>
        <v>0.22920095164594081</v>
      </c>
      <c r="S28" s="35">
        <f t="shared" si="141"/>
        <v>0.26621060190717732</v>
      </c>
      <c r="T28" s="35">
        <f t="shared" si="141"/>
        <v>0.29946957375939881</v>
      </c>
      <c r="U28" s="35">
        <f t="shared" si="141"/>
        <v>0.32938181870207756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</row>
    <row r="29" spans="1:200" x14ac:dyDescent="0.15">
      <c r="A29" s="3" t="s">
        <v>21</v>
      </c>
      <c r="B29" s="23"/>
      <c r="C29" s="23"/>
      <c r="D29" s="35">
        <f t="shared" ref="B29:P29" si="142">IFERROR(D22/D21,0)</f>
        <v>0</v>
      </c>
      <c r="E29" s="35">
        <f>IFERROR(E22/E21,0)</f>
        <v>-2.1566597653554172E-2</v>
      </c>
      <c r="F29" s="35">
        <f t="shared" si="142"/>
        <v>-1.1056809889210768E-2</v>
      </c>
      <c r="G29" s="35">
        <f t="shared" si="142"/>
        <v>0</v>
      </c>
      <c r="H29" s="35">
        <f t="shared" si="142"/>
        <v>0</v>
      </c>
      <c r="I29" s="35">
        <f t="shared" si="142"/>
        <v>0</v>
      </c>
      <c r="J29" s="35">
        <f t="shared" si="142"/>
        <v>0</v>
      </c>
      <c r="K29" s="35">
        <f t="shared" si="142"/>
        <v>0</v>
      </c>
      <c r="L29" s="35">
        <f t="shared" si="142"/>
        <v>0</v>
      </c>
      <c r="M29" s="35">
        <f t="shared" si="142"/>
        <v>0</v>
      </c>
      <c r="N29" s="35">
        <f t="shared" si="142"/>
        <v>0.1</v>
      </c>
      <c r="O29" s="35">
        <f t="shared" si="142"/>
        <v>0.1</v>
      </c>
      <c r="P29" s="35">
        <f t="shared" si="142"/>
        <v>0.1</v>
      </c>
      <c r="Q29" s="35">
        <f t="shared" ref="Q29:U29" si="143">IFERROR(Q22/Q21,0)</f>
        <v>0.1</v>
      </c>
      <c r="R29" s="35">
        <f t="shared" si="143"/>
        <v>0.1</v>
      </c>
      <c r="S29" s="35">
        <f t="shared" si="143"/>
        <v>0.1</v>
      </c>
      <c r="T29" s="35">
        <f t="shared" si="143"/>
        <v>0.1</v>
      </c>
      <c r="U29" s="35">
        <f t="shared" si="143"/>
        <v>0.1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</row>
    <row r="30" spans="1:200" x14ac:dyDescent="0.15">
      <c r="B30" s="23"/>
      <c r="C30" s="23"/>
      <c r="D30" s="35"/>
      <c r="E30" s="35"/>
      <c r="F30" s="35"/>
      <c r="G30" s="35">
        <v>0.28999999999999998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</row>
    <row r="31" spans="1:200" x14ac:dyDescent="0.15">
      <c r="A31" s="2" t="s">
        <v>18</v>
      </c>
      <c r="B31" s="23"/>
      <c r="C31" s="23"/>
      <c r="D31" s="48"/>
      <c r="E31" s="48">
        <f t="shared" ref="C31:U31" si="144">E12/D12-1</f>
        <v>0.52801203042991074</v>
      </c>
      <c r="F31" s="48">
        <f>F12/E12-1</f>
        <v>0.49607302059010849</v>
      </c>
      <c r="G31" s="48">
        <f t="shared" si="144"/>
        <v>0.30000000000000004</v>
      </c>
      <c r="H31" s="48">
        <f t="shared" si="144"/>
        <v>0.30000000000000027</v>
      </c>
      <c r="I31" s="48">
        <f t="shared" si="144"/>
        <v>0.30000000000000004</v>
      </c>
      <c r="J31" s="48">
        <f t="shared" si="144"/>
        <v>0.30000000000000004</v>
      </c>
      <c r="K31" s="48">
        <f t="shared" si="144"/>
        <v>0.30000000000000004</v>
      </c>
      <c r="L31" s="48">
        <f t="shared" si="144"/>
        <v>0.14999999999999991</v>
      </c>
      <c r="M31" s="48">
        <f t="shared" si="144"/>
        <v>0.14999999999999991</v>
      </c>
      <c r="N31" s="48">
        <f t="shared" si="144"/>
        <v>0.14999999999999991</v>
      </c>
      <c r="O31" s="48">
        <f t="shared" si="144"/>
        <v>0.14999999999999991</v>
      </c>
      <c r="P31" s="48">
        <f t="shared" si="144"/>
        <v>0.14999999999999991</v>
      </c>
      <c r="Q31" s="48">
        <f t="shared" si="144"/>
        <v>0.10000000000000009</v>
      </c>
      <c r="R31" s="48">
        <f t="shared" si="144"/>
        <v>0.10000000000000009</v>
      </c>
      <c r="S31" s="48">
        <f t="shared" si="144"/>
        <v>0.10000000000000009</v>
      </c>
      <c r="T31" s="48">
        <f t="shared" si="144"/>
        <v>0.10000000000000009</v>
      </c>
      <c r="U31" s="48">
        <f t="shared" si="144"/>
        <v>0.10000000000000009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</row>
    <row r="32" spans="1:200" x14ac:dyDescent="0.15">
      <c r="A32" s="3" t="s">
        <v>38</v>
      </c>
      <c r="B32" s="23"/>
      <c r="C32" s="23"/>
      <c r="D32" s="35"/>
      <c r="E32" s="35">
        <f t="shared" ref="C32:U32" si="145">E15/D15-1</f>
        <v>0.43999999999999995</v>
      </c>
      <c r="F32" s="35">
        <f t="shared" si="145"/>
        <v>0.44444444444444442</v>
      </c>
      <c r="G32" s="35">
        <f t="shared" si="145"/>
        <v>0.19999999999999996</v>
      </c>
      <c r="H32" s="35">
        <f t="shared" si="145"/>
        <v>0.19999999999999996</v>
      </c>
      <c r="I32" s="35">
        <f t="shared" si="145"/>
        <v>0.19999999999999996</v>
      </c>
      <c r="J32" s="35">
        <f t="shared" si="145"/>
        <v>0.19999999999999996</v>
      </c>
      <c r="K32" s="35">
        <f t="shared" si="145"/>
        <v>0.19999999999999973</v>
      </c>
      <c r="L32" s="35">
        <f t="shared" si="145"/>
        <v>0.10000000000000009</v>
      </c>
      <c r="M32" s="35">
        <f t="shared" si="145"/>
        <v>0.10000000000000009</v>
      </c>
      <c r="N32" s="35">
        <f t="shared" si="145"/>
        <v>0.10000000000000009</v>
      </c>
      <c r="O32" s="35">
        <f t="shared" si="145"/>
        <v>0.10000000000000009</v>
      </c>
      <c r="P32" s="35">
        <f t="shared" si="145"/>
        <v>0.10000000000000009</v>
      </c>
      <c r="Q32" s="35">
        <f t="shared" si="145"/>
        <v>8.0000000000000071E-2</v>
      </c>
      <c r="R32" s="35">
        <f t="shared" si="145"/>
        <v>8.0000000000000071E-2</v>
      </c>
      <c r="S32" s="35">
        <f t="shared" si="145"/>
        <v>8.0000000000000071E-2</v>
      </c>
      <c r="T32" s="35">
        <f t="shared" si="145"/>
        <v>8.0000000000000071E-2</v>
      </c>
      <c r="U32" s="35">
        <f t="shared" si="145"/>
        <v>8.0000000000000071E-2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</row>
    <row r="33" spans="1:117" x14ac:dyDescent="0.15">
      <c r="A33" s="3" t="s">
        <v>39</v>
      </c>
      <c r="B33" s="23"/>
      <c r="C33" s="23"/>
      <c r="D33" s="35"/>
      <c r="E33" s="35">
        <f t="shared" ref="C33:U33" si="146">E16/D16-1</f>
        <v>0.67441860465116288</v>
      </c>
      <c r="F33" s="35">
        <f t="shared" si="146"/>
        <v>0.48611111111111116</v>
      </c>
      <c r="G33" s="35">
        <f t="shared" si="146"/>
        <v>0.19999999999999996</v>
      </c>
      <c r="H33" s="35">
        <f t="shared" si="146"/>
        <v>0.19999999999999996</v>
      </c>
      <c r="I33" s="35">
        <f t="shared" si="146"/>
        <v>0.19999999999999996</v>
      </c>
      <c r="J33" s="35">
        <f t="shared" si="146"/>
        <v>0.19999999999999996</v>
      </c>
      <c r="K33" s="35">
        <f t="shared" si="146"/>
        <v>0.19999999999999996</v>
      </c>
      <c r="L33" s="35">
        <f t="shared" si="146"/>
        <v>5.0000000000000044E-2</v>
      </c>
      <c r="M33" s="35">
        <f t="shared" si="146"/>
        <v>5.0000000000000044E-2</v>
      </c>
      <c r="N33" s="35">
        <f t="shared" si="146"/>
        <v>5.0000000000000044E-2</v>
      </c>
      <c r="O33" s="35">
        <f t="shared" si="146"/>
        <v>5.0000000000000044E-2</v>
      </c>
      <c r="P33" s="35">
        <f t="shared" si="146"/>
        <v>5.0000000000000044E-2</v>
      </c>
      <c r="Q33" s="35">
        <f t="shared" si="146"/>
        <v>-2.0000000000000018E-2</v>
      </c>
      <c r="R33" s="35">
        <f t="shared" si="146"/>
        <v>-2.0000000000000018E-2</v>
      </c>
      <c r="S33" s="35">
        <f t="shared" si="146"/>
        <v>-2.0000000000000129E-2</v>
      </c>
      <c r="T33" s="35">
        <f t="shared" si="146"/>
        <v>-1.9999999999999907E-2</v>
      </c>
      <c r="U33" s="35">
        <f t="shared" si="146"/>
        <v>-1.9999999999999907E-2</v>
      </c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</row>
    <row r="34" spans="1:117" x14ac:dyDescent="0.15">
      <c r="A34" s="3" t="s">
        <v>40</v>
      </c>
      <c r="B34" s="23"/>
      <c r="C34" s="23"/>
      <c r="D34" s="35"/>
      <c r="E34" s="35">
        <f t="shared" ref="C34:U34" si="147">E17/D17-1</f>
        <v>0.39999999999999991</v>
      </c>
      <c r="F34" s="35">
        <f t="shared" si="147"/>
        <v>2.1428571428571428</v>
      </c>
      <c r="G34" s="35">
        <f t="shared" si="147"/>
        <v>0.14999999999999991</v>
      </c>
      <c r="H34" s="35">
        <f t="shared" si="147"/>
        <v>0.14999999999999991</v>
      </c>
      <c r="I34" s="35">
        <f t="shared" si="147"/>
        <v>0.14999999999999991</v>
      </c>
      <c r="J34" s="35">
        <f t="shared" si="147"/>
        <v>0.14999999999999991</v>
      </c>
      <c r="K34" s="35">
        <f t="shared" si="147"/>
        <v>0.14999999999999991</v>
      </c>
      <c r="L34" s="35">
        <f t="shared" si="147"/>
        <v>5.0000000000000044E-2</v>
      </c>
      <c r="M34" s="35">
        <f t="shared" si="147"/>
        <v>5.0000000000000044E-2</v>
      </c>
      <c r="N34" s="35">
        <f t="shared" si="147"/>
        <v>5.0000000000000044E-2</v>
      </c>
      <c r="O34" s="35">
        <f t="shared" si="147"/>
        <v>5.0000000000000044E-2</v>
      </c>
      <c r="P34" s="35">
        <f t="shared" si="147"/>
        <v>5.0000000000000044E-2</v>
      </c>
      <c r="Q34" s="35">
        <f t="shared" si="147"/>
        <v>-2.0000000000000018E-2</v>
      </c>
      <c r="R34" s="35">
        <f t="shared" si="147"/>
        <v>-2.0000000000000018E-2</v>
      </c>
      <c r="S34" s="35">
        <f t="shared" si="147"/>
        <v>-2.0000000000000018E-2</v>
      </c>
      <c r="T34" s="35">
        <f t="shared" si="147"/>
        <v>-2.0000000000000129E-2</v>
      </c>
      <c r="U34" s="35">
        <f t="shared" si="147"/>
        <v>-2.0000000000000018E-2</v>
      </c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</row>
    <row r="35" spans="1:117" x14ac:dyDescent="0.15">
      <c r="A35" s="6" t="s">
        <v>64</v>
      </c>
      <c r="B35" s="23"/>
      <c r="C35" s="23"/>
      <c r="D35" s="44"/>
      <c r="E35" s="44">
        <f>E18/D18-1</f>
        <v>0.5641025641025641</v>
      </c>
      <c r="F35" s="44">
        <f t="shared" ref="F35:U35" si="148">F18/E18-1</f>
        <v>0.66393442622950816</v>
      </c>
      <c r="G35" s="44">
        <f t="shared" si="148"/>
        <v>0.1891625615763548</v>
      </c>
      <c r="H35" s="44">
        <f t="shared" si="148"/>
        <v>0.18951946975973466</v>
      </c>
      <c r="I35" s="44">
        <f t="shared" si="148"/>
        <v>0.18986766498345831</v>
      </c>
      <c r="J35" s="44">
        <f t="shared" si="148"/>
        <v>0.19020715865139071</v>
      </c>
      <c r="K35" s="44">
        <f t="shared" si="148"/>
        <v>0.19053797696557173</v>
      </c>
      <c r="L35" s="44">
        <f>L18/K18-1</f>
        <v>6.3363071231723023E-2</v>
      </c>
      <c r="M35" s="44">
        <f t="shared" si="148"/>
        <v>6.3823480194651117E-2</v>
      </c>
      <c r="N35" s="44">
        <f t="shared" si="148"/>
        <v>6.4293563262332043E-2</v>
      </c>
      <c r="O35" s="44">
        <f t="shared" si="148"/>
        <v>6.4773104086404798E-2</v>
      </c>
      <c r="P35" s="44">
        <f t="shared" si="148"/>
        <v>6.5261856664748041E-2</v>
      </c>
      <c r="Q35" s="44">
        <f t="shared" si="148"/>
        <v>1.1519090308526714E-2</v>
      </c>
      <c r="R35" s="44">
        <f t="shared" si="148"/>
        <v>1.3652965978947496E-2</v>
      </c>
      <c r="S35" s="44">
        <f t="shared" si="148"/>
        <v>1.5855667054811562E-2</v>
      </c>
      <c r="T35" s="44">
        <f t="shared" si="148"/>
        <v>1.8119707036203803E-2</v>
      </c>
      <c r="U35" s="44">
        <f t="shared" si="148"/>
        <v>2.0436584533802593E-2</v>
      </c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</row>
    <row r="36" spans="1:117" x14ac:dyDescent="0.15">
      <c r="B36" s="23"/>
      <c r="C36" s="2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</row>
    <row r="37" spans="1:117" x14ac:dyDescent="0.15">
      <c r="A37" s="2" t="s">
        <v>26</v>
      </c>
      <c r="B37" s="23"/>
      <c r="C37" s="23"/>
      <c r="D37" s="44"/>
      <c r="E37" s="24">
        <f>E38-E39</f>
        <v>66</v>
      </c>
      <c r="F37" s="24">
        <f>F38-F39</f>
        <v>102</v>
      </c>
      <c r="G37" s="49">
        <f>F37+G23</f>
        <v>6.3654000000000366</v>
      </c>
      <c r="H37" s="49">
        <f>G37+H23</f>
        <v>-93.81427199999986</v>
      </c>
      <c r="I37" s="49">
        <f t="shared" ref="I37:U37" si="149">H37+I23</f>
        <v>-194.46513143999977</v>
      </c>
      <c r="J37" s="49">
        <f t="shared" si="149"/>
        <v>-289.24840526879962</v>
      </c>
      <c r="K37" s="49">
        <f t="shared" si="149"/>
        <v>-368.68185468417533</v>
      </c>
      <c r="L37" s="49">
        <f t="shared" si="149"/>
        <v>-418.80661765935866</v>
      </c>
      <c r="M37" s="49">
        <f t="shared" si="149"/>
        <v>-431.98120417002065</v>
      </c>
      <c r="N37" s="49">
        <f t="shared" si="149"/>
        <v>-402.47777224116129</v>
      </c>
      <c r="O37" s="49">
        <f t="shared" si="149"/>
        <v>-322.14137469484308</v>
      </c>
      <c r="P37" s="49">
        <f t="shared" si="149"/>
        <v>-179.88873197479325</v>
      </c>
      <c r="Q37" s="49">
        <f t="shared" si="149"/>
        <v>32.378733065940594</v>
      </c>
      <c r="R37" s="49">
        <f t="shared" si="149"/>
        <v>321.98883023736136</v>
      </c>
      <c r="S37" s="49">
        <f t="shared" si="149"/>
        <v>697.05158980846659</v>
      </c>
      <c r="T37" s="49">
        <f t="shared" si="149"/>
        <v>1166.5399037835009</v>
      </c>
      <c r="U37" s="49">
        <f t="shared" si="149"/>
        <v>1740.3784363160948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</row>
    <row r="38" spans="1:117" x14ac:dyDescent="0.15">
      <c r="A38" s="3" t="s">
        <v>27</v>
      </c>
      <c r="B38" s="23"/>
      <c r="C38" s="23"/>
      <c r="D38" s="44"/>
      <c r="E38" s="50">
        <v>66</v>
      </c>
      <c r="F38" s="50">
        <v>102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23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</row>
    <row r="39" spans="1:117" x14ac:dyDescent="0.15">
      <c r="A39" s="3" t="s">
        <v>28</v>
      </c>
      <c r="B39" s="23"/>
      <c r="C39" s="23"/>
      <c r="D39" s="44"/>
      <c r="E39" s="50">
        <v>0</v>
      </c>
      <c r="F39" s="50">
        <v>0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23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</row>
    <row r="40" spans="1:117" x14ac:dyDescent="0.15">
      <c r="B40" s="23"/>
      <c r="C40" s="23"/>
      <c r="D40" s="44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2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</row>
    <row r="41" spans="1:117" x14ac:dyDescent="0.15">
      <c r="A41" s="3" t="s">
        <v>52</v>
      </c>
      <c r="B41" s="23"/>
      <c r="C41" s="23"/>
      <c r="D41" s="44"/>
      <c r="E41" s="50">
        <f>1+1</f>
        <v>2</v>
      </c>
      <c r="F41" s="50">
        <f>51+17</f>
        <v>68</v>
      </c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</row>
    <row r="42" spans="1:117" x14ac:dyDescent="0.15">
      <c r="A42" s="3" t="s">
        <v>53</v>
      </c>
      <c r="B42" s="23"/>
      <c r="C42" s="23"/>
      <c r="D42" s="44"/>
      <c r="E42" s="50">
        <v>114</v>
      </c>
      <c r="F42" s="50">
        <v>238</v>
      </c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</row>
    <row r="43" spans="1:117" x14ac:dyDescent="0.15">
      <c r="A43" s="3" t="s">
        <v>54</v>
      </c>
      <c r="B43" s="23"/>
      <c r="C43" s="23"/>
      <c r="D43" s="44"/>
      <c r="E43" s="50">
        <f>82+234</f>
        <v>316</v>
      </c>
      <c r="F43" s="50">
        <f>118+340</f>
        <v>458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</row>
    <row r="44" spans="1:117" x14ac:dyDescent="0.15">
      <c r="B44" s="23"/>
      <c r="C44" s="23"/>
      <c r="D44" s="44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</row>
    <row r="45" spans="1:117" x14ac:dyDescent="0.15">
      <c r="A45" s="3" t="s">
        <v>55</v>
      </c>
      <c r="B45" s="23"/>
      <c r="C45" s="23"/>
      <c r="D45" s="44"/>
      <c r="E45" s="54">
        <f>E42-E41-E38</f>
        <v>46</v>
      </c>
      <c r="F45" s="54">
        <f>F42-F41-F38</f>
        <v>68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</row>
    <row r="46" spans="1:117" x14ac:dyDescent="0.15">
      <c r="A46" s="3" t="s">
        <v>56</v>
      </c>
      <c r="B46" s="23"/>
      <c r="C46" s="23"/>
      <c r="D46" s="44"/>
      <c r="E46" s="54">
        <f>E42-E43</f>
        <v>-202</v>
      </c>
      <c r="F46" s="54">
        <f>F42-F43</f>
        <v>-220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</row>
    <row r="47" spans="1:117" x14ac:dyDescent="0.15">
      <c r="B47" s="23"/>
      <c r="C47" s="23"/>
      <c r="D47" s="4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A48" s="18" t="s">
        <v>58</v>
      </c>
      <c r="B48" s="23"/>
      <c r="C48" s="23"/>
      <c r="D48" s="44"/>
      <c r="E48" s="55">
        <f>E23/E46</f>
        <v>0.23449504950495054</v>
      </c>
      <c r="F48" s="55">
        <f>F23/F46</f>
        <v>0.41564545454545443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</row>
    <row r="49" spans="1:117" x14ac:dyDescent="0.15">
      <c r="A49" s="18" t="s">
        <v>59</v>
      </c>
      <c r="B49" s="23"/>
      <c r="C49" s="23"/>
      <c r="D49" s="44"/>
      <c r="E49" s="55">
        <f>E23/E42</f>
        <v>-0.41550877192982466</v>
      </c>
      <c r="F49" s="55">
        <f>F23/F42</f>
        <v>-0.38421008403361334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</row>
    <row r="50" spans="1:117" x14ac:dyDescent="0.15">
      <c r="A50" s="18" t="s">
        <v>60</v>
      </c>
      <c r="B50" s="23"/>
      <c r="C50" s="23"/>
      <c r="D50" s="44"/>
      <c r="E50" s="55">
        <f>E23/(E46-E41)</f>
        <v>0.2321960784313726</v>
      </c>
      <c r="F50" s="55">
        <f>F23/(F46-F41)</f>
        <v>0.31750694444444438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</row>
    <row r="51" spans="1:117" x14ac:dyDescent="0.15">
      <c r="A51" s="18" t="s">
        <v>61</v>
      </c>
      <c r="B51" s="23"/>
      <c r="C51" s="23"/>
      <c r="D51" s="44"/>
      <c r="E51" s="55">
        <f>E23/E45</f>
        <v>-1.0297391304347827</v>
      </c>
      <c r="F51" s="55">
        <f>F23/F45</f>
        <v>-1.3447352941176467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</row>
    <row r="52" spans="1:117" x14ac:dyDescent="0.15">
      <c r="B52" s="23"/>
      <c r="C52" s="23"/>
      <c r="D52" s="44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</row>
    <row r="53" spans="1:117" x14ac:dyDescent="0.15">
      <c r="A53" s="6" t="s">
        <v>80</v>
      </c>
      <c r="B53" s="23"/>
      <c r="C53" s="23"/>
      <c r="D53" s="44"/>
      <c r="E53" s="55">
        <f>E10/D10-1</f>
        <v>0.52801203042991074</v>
      </c>
      <c r="F53" s="55">
        <f>F10/E10-1</f>
        <v>0.49607302059010849</v>
      </c>
      <c r="G53" s="55">
        <f>G10/F10-1</f>
        <v>0.30000000000000004</v>
      </c>
      <c r="H53" s="55">
        <f>H10/G10-1</f>
        <v>0.30000000000000027</v>
      </c>
      <c r="I53" s="55">
        <f>I10/H10-1</f>
        <v>0.30000000000000004</v>
      </c>
      <c r="J53" s="55">
        <f>J10/I10-1</f>
        <v>0.30000000000000004</v>
      </c>
      <c r="K53" s="55">
        <f>K10/J10-1</f>
        <v>0.30000000000000004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</row>
  </sheetData>
  <hyperlinks>
    <hyperlink ref="A1" r:id="rId1" xr:uid="{00000000-0004-0000-0000-000000000000}"/>
    <hyperlink ref="L4" r:id="rId2" xr:uid="{CBCA994A-BC74-CB48-8009-AD2DE8254A02}"/>
    <hyperlink ref="A4" r:id="rId3" xr:uid="{9FB3CF2C-DA4C-E245-9A73-B1A01DD09870}"/>
    <hyperlink ref="A7" r:id="rId4" xr:uid="{E32F2AFA-1251-0D47-A3A8-47089B6E9E1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7"/>
  <sheetViews>
    <sheetView zoomScale="125" zoomScaleNormal="125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X18" sqref="X18"/>
    </sheetView>
  </sheetViews>
  <sheetFormatPr baseColWidth="10" defaultRowHeight="13" x14ac:dyDescent="0.15"/>
  <cols>
    <col min="1" max="1" width="20.33203125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5" width="10.83203125" style="20"/>
    <col min="26" max="16384" width="10.83203125" style="6"/>
  </cols>
  <sheetData>
    <row r="1" spans="1:25" x14ac:dyDescent="0.15">
      <c r="A1" s="1" t="s">
        <v>41</v>
      </c>
      <c r="B1" s="21" t="s">
        <v>22</v>
      </c>
      <c r="C1" s="20" t="s">
        <v>23</v>
      </c>
      <c r="D1" s="20" t="s">
        <v>24</v>
      </c>
      <c r="E1" s="20" t="s">
        <v>25</v>
      </c>
      <c r="F1" s="22" t="s">
        <v>0</v>
      </c>
      <c r="G1" s="23" t="s">
        <v>1</v>
      </c>
      <c r="H1" s="23" t="s">
        <v>2</v>
      </c>
      <c r="I1" s="23" t="s">
        <v>3</v>
      </c>
      <c r="J1" s="22" t="s">
        <v>34</v>
      </c>
      <c r="K1" s="23" t="s">
        <v>35</v>
      </c>
      <c r="L1" s="23" t="s">
        <v>36</v>
      </c>
      <c r="M1" s="23" t="s">
        <v>37</v>
      </c>
      <c r="N1" s="22" t="s">
        <v>48</v>
      </c>
      <c r="O1" s="23" t="s">
        <v>49</v>
      </c>
      <c r="P1" s="23" t="s">
        <v>50</v>
      </c>
      <c r="Q1" s="23" t="s">
        <v>51</v>
      </c>
      <c r="R1" s="22" t="s">
        <v>65</v>
      </c>
      <c r="S1" s="23" t="s">
        <v>70</v>
      </c>
      <c r="T1" s="23" t="s">
        <v>71</v>
      </c>
      <c r="U1" s="23" t="s">
        <v>66</v>
      </c>
      <c r="V1" s="21" t="s">
        <v>75</v>
      </c>
      <c r="W1" s="20" t="s">
        <v>76</v>
      </c>
      <c r="X1" s="20" t="s">
        <v>77</v>
      </c>
      <c r="Y1" s="20" t="s">
        <v>78</v>
      </c>
    </row>
    <row r="2" spans="1:25" s="20" customFormat="1" x14ac:dyDescent="0.15">
      <c r="A2" s="1"/>
      <c r="F2" s="21"/>
      <c r="J2" s="21"/>
      <c r="N2" s="21"/>
      <c r="R2" s="21"/>
      <c r="T2" s="57">
        <v>43769</v>
      </c>
      <c r="U2" s="57">
        <v>43861</v>
      </c>
      <c r="V2" s="58"/>
      <c r="W2" s="57"/>
      <c r="X2" s="57">
        <v>44135</v>
      </c>
    </row>
    <row r="3" spans="1:25" s="8" customFormat="1" x14ac:dyDescent="0.15">
      <c r="A3" s="8" t="s">
        <v>79</v>
      </c>
      <c r="B3" s="23"/>
      <c r="C3" s="23"/>
      <c r="D3" s="23"/>
      <c r="E3" s="23"/>
      <c r="F3" s="22"/>
      <c r="G3" s="23"/>
      <c r="H3" s="23"/>
      <c r="I3" s="23"/>
      <c r="J3" s="22"/>
      <c r="K3" s="23"/>
      <c r="L3" s="23"/>
      <c r="M3" s="23"/>
      <c r="N3" s="22"/>
      <c r="O3" s="23"/>
      <c r="P3" s="23"/>
      <c r="Q3" s="23"/>
      <c r="R3" s="22"/>
      <c r="S3" s="23"/>
      <c r="T3" s="23">
        <v>40.512999999999998</v>
      </c>
      <c r="U3" s="23"/>
      <c r="V3" s="22"/>
      <c r="W3" s="23"/>
      <c r="X3" s="23">
        <v>51.868000000000002</v>
      </c>
      <c r="Y3" s="23"/>
    </row>
    <row r="4" spans="1:25" s="23" customFormat="1" x14ac:dyDescent="0.15">
      <c r="F4" s="22"/>
      <c r="J4" s="22"/>
      <c r="N4" s="22"/>
      <c r="R4" s="22"/>
      <c r="V4" s="22"/>
      <c r="Y4" s="23">
        <v>51.8</v>
      </c>
    </row>
    <row r="5" spans="1:25" s="17" customFormat="1" x14ac:dyDescent="0.15">
      <c r="A5" s="17" t="s">
        <v>4</v>
      </c>
      <c r="B5" s="24">
        <f>SUM(B3:B3)</f>
        <v>0</v>
      </c>
      <c r="C5" s="24">
        <f>SUM(C3:C3)</f>
        <v>0</v>
      </c>
      <c r="D5" s="24">
        <f>SUM(D3:D3)</f>
        <v>0</v>
      </c>
      <c r="E5" s="24">
        <f>SUM(E3:E3)</f>
        <v>0</v>
      </c>
      <c r="F5" s="25">
        <f>SUM(F3:F3)</f>
        <v>0</v>
      </c>
      <c r="G5" s="24">
        <f>SUM(G3:G3)</f>
        <v>0</v>
      </c>
      <c r="H5" s="24">
        <f>SUM(H3:H3)</f>
        <v>0</v>
      </c>
      <c r="I5" s="24">
        <f>SUM(I3:I3)</f>
        <v>0</v>
      </c>
      <c r="J5" s="25">
        <f>SUM(J3:J3)</f>
        <v>0</v>
      </c>
      <c r="K5" s="24">
        <f>SUM(K3:K3)</f>
        <v>0</v>
      </c>
      <c r="L5" s="24">
        <f>SUM(L3:L3)</f>
        <v>0</v>
      </c>
      <c r="M5" s="24">
        <f>SUM(M3:M3)</f>
        <v>0</v>
      </c>
      <c r="N5" s="25">
        <f>SUM(N3:N3)</f>
        <v>0</v>
      </c>
      <c r="O5" s="24">
        <f>SUM(O3:O3)</f>
        <v>0</v>
      </c>
      <c r="P5" s="24">
        <f>SUM(P3:P3)</f>
        <v>0</v>
      </c>
      <c r="Q5" s="24">
        <f>SUM(Q3:Q3)</f>
        <v>0</v>
      </c>
      <c r="R5" s="25">
        <f>SUM(R3:R3)</f>
        <v>0</v>
      </c>
      <c r="S5" s="24">
        <f>SUM(S3:S3)</f>
        <v>0</v>
      </c>
      <c r="T5" s="24">
        <f>SUM(T3:T3)</f>
        <v>40.512999999999998</v>
      </c>
      <c r="U5" s="24">
        <f>SUM(U3:U3)</f>
        <v>0</v>
      </c>
      <c r="V5" s="25">
        <f>SUM(V3:V3)</f>
        <v>0</v>
      </c>
      <c r="W5" s="24">
        <f>SUM(W3:W3)</f>
        <v>0</v>
      </c>
      <c r="X5" s="24">
        <f>SUM(X3:X3)</f>
        <v>51.868000000000002</v>
      </c>
      <c r="Y5" s="49">
        <v>52</v>
      </c>
    </row>
    <row r="6" spans="1:25" s="8" customFormat="1" x14ac:dyDescent="0.15">
      <c r="A6" s="8" t="s">
        <v>5</v>
      </c>
      <c r="B6" s="23">
        <v>166.798</v>
      </c>
      <c r="C6" s="23">
        <v>185.173</v>
      </c>
      <c r="D6" s="23">
        <v>190.98500000000001</v>
      </c>
      <c r="E6" s="23">
        <v>201.36099999999999</v>
      </c>
      <c r="F6" s="22">
        <v>198.572</v>
      </c>
      <c r="G6" s="23">
        <v>202.07900000000001</v>
      </c>
      <c r="H6" s="23">
        <v>202.70099999999999</v>
      </c>
      <c r="I6" s="23">
        <v>216.55600000000001</v>
      </c>
      <c r="J6" s="22">
        <v>237.33699999999999</v>
      </c>
      <c r="K6" s="23">
        <v>239.36</v>
      </c>
      <c r="L6" s="23">
        <v>262.92200000000003</v>
      </c>
      <c r="M6" s="23">
        <v>270.87200000000001</v>
      </c>
      <c r="N6" s="22">
        <v>258.90199999999999</v>
      </c>
      <c r="O6" s="23">
        <v>281.34399999999999</v>
      </c>
      <c r="P6" s="23">
        <v>295.49200000000002</v>
      </c>
      <c r="Q6" s="23">
        <v>359.26100000000002</v>
      </c>
      <c r="R6" s="22">
        <v>397.286</v>
      </c>
      <c r="S6" s="23">
        <v>407.488</v>
      </c>
      <c r="T6" s="50">
        <v>11.212</v>
      </c>
      <c r="U6" s="50">
        <v>451.983</v>
      </c>
      <c r="V6" s="22">
        <v>452</v>
      </c>
      <c r="W6" s="50">
        <v>415</v>
      </c>
      <c r="X6" s="50">
        <v>13.601000000000001</v>
      </c>
      <c r="Y6" s="50"/>
    </row>
    <row r="7" spans="1:25" s="8" customFormat="1" x14ac:dyDescent="0.15">
      <c r="A7" s="8" t="s">
        <v>6</v>
      </c>
      <c r="B7" s="26">
        <f>B5-B6</f>
        <v>-166.798</v>
      </c>
      <c r="C7" s="26">
        <f>C5-C6</f>
        <v>-185.173</v>
      </c>
      <c r="D7" s="26">
        <f>D5-D6</f>
        <v>-190.98500000000001</v>
      </c>
      <c r="E7" s="26">
        <f>E5-E6</f>
        <v>-201.36099999999999</v>
      </c>
      <c r="F7" s="27">
        <f>F5-F6</f>
        <v>-198.572</v>
      </c>
      <c r="G7" s="26">
        <f t="shared" ref="G7:L7" si="0">G5-G6</f>
        <v>-202.07900000000001</v>
      </c>
      <c r="H7" s="26">
        <f t="shared" si="0"/>
        <v>-202.70099999999999</v>
      </c>
      <c r="I7" s="26">
        <f t="shared" si="0"/>
        <v>-216.55600000000001</v>
      </c>
      <c r="J7" s="27">
        <f t="shared" si="0"/>
        <v>-237.33699999999999</v>
      </c>
      <c r="K7" s="26">
        <f t="shared" si="0"/>
        <v>-239.36</v>
      </c>
      <c r="L7" s="26">
        <f t="shared" si="0"/>
        <v>-262.92200000000003</v>
      </c>
      <c r="M7" s="26">
        <f t="shared" ref="M7" si="1">M5-M6</f>
        <v>-270.87200000000001</v>
      </c>
      <c r="N7" s="27">
        <f>N5-N6</f>
        <v>-258.90199999999999</v>
      </c>
      <c r="O7" s="26">
        <f>O5-O6</f>
        <v>-281.34399999999999</v>
      </c>
      <c r="P7" s="26">
        <f t="shared" ref="P7:R7" si="2">P5-P6</f>
        <v>-295.49200000000002</v>
      </c>
      <c r="Q7" s="26">
        <f t="shared" si="2"/>
        <v>-359.26100000000002</v>
      </c>
      <c r="R7" s="27">
        <f t="shared" si="2"/>
        <v>-397.286</v>
      </c>
      <c r="S7" s="26">
        <f t="shared" ref="S7:X7" si="3">S5-S6</f>
        <v>-407.488</v>
      </c>
      <c r="T7" s="26">
        <f t="shared" si="3"/>
        <v>29.300999999999998</v>
      </c>
      <c r="U7" s="26">
        <f t="shared" si="3"/>
        <v>-451.983</v>
      </c>
      <c r="V7" s="27">
        <f t="shared" ref="V7" si="4">V5-V6</f>
        <v>-452</v>
      </c>
      <c r="W7" s="26">
        <f t="shared" si="3"/>
        <v>-415</v>
      </c>
      <c r="X7" s="26">
        <f t="shared" si="3"/>
        <v>38.267000000000003</v>
      </c>
      <c r="Y7" s="50"/>
    </row>
    <row r="8" spans="1:25" s="8" customFormat="1" x14ac:dyDescent="0.15">
      <c r="A8" s="8" t="s">
        <v>7</v>
      </c>
      <c r="B8" s="23">
        <v>215.50899999999999</v>
      </c>
      <c r="C8" s="23">
        <v>208.047</v>
      </c>
      <c r="D8" s="23">
        <v>218.66</v>
      </c>
      <c r="E8" s="23">
        <v>220.51400000000001</v>
      </c>
      <c r="F8" s="22">
        <v>237.20400000000001</v>
      </c>
      <c r="G8" s="23">
        <v>232.48400000000001</v>
      </c>
      <c r="H8" s="23">
        <v>248.45</v>
      </c>
      <c r="I8" s="23">
        <v>257.84899999999999</v>
      </c>
      <c r="J8" s="22">
        <v>285.077</v>
      </c>
      <c r="K8" s="23">
        <v>299.40100000000001</v>
      </c>
      <c r="L8" s="23">
        <v>315.55500000000001</v>
      </c>
      <c r="M8" s="23">
        <v>324.02600000000001</v>
      </c>
      <c r="N8" s="22">
        <v>348.76900000000001</v>
      </c>
      <c r="O8" s="23">
        <v>374.12799999999999</v>
      </c>
      <c r="P8" s="23">
        <v>398.95699999999999</v>
      </c>
      <c r="Q8" s="23">
        <v>415.95800000000003</v>
      </c>
      <c r="R8" s="22">
        <v>464.637</v>
      </c>
      <c r="S8" s="23">
        <v>475.95800000000003</v>
      </c>
      <c r="T8" s="50">
        <v>14</v>
      </c>
      <c r="U8" s="50">
        <v>499.80599999999998</v>
      </c>
      <c r="V8" s="22">
        <v>532</v>
      </c>
      <c r="W8" s="50">
        <v>532</v>
      </c>
      <c r="X8" s="50">
        <v>19</v>
      </c>
      <c r="Y8" s="50"/>
    </row>
    <row r="9" spans="1:25" s="8" customFormat="1" x14ac:dyDescent="0.15">
      <c r="A9" s="8" t="s">
        <v>8</v>
      </c>
      <c r="B9" s="23">
        <v>392.74099999999999</v>
      </c>
      <c r="C9" s="23">
        <v>426.99799999999999</v>
      </c>
      <c r="D9" s="23">
        <v>422.03100000000001</v>
      </c>
      <c r="E9" s="23">
        <v>441.47199999999998</v>
      </c>
      <c r="F9" s="22">
        <v>474.89100000000002</v>
      </c>
      <c r="G9" s="23">
        <v>462.78899999999999</v>
      </c>
      <c r="H9" s="23">
        <v>477.47500000000002</v>
      </c>
      <c r="I9" s="23">
        <v>495.04199999999997</v>
      </c>
      <c r="J9" s="22">
        <v>520.29700000000003</v>
      </c>
      <c r="K9" s="23">
        <v>553.09799999999996</v>
      </c>
      <c r="L9" s="23">
        <v>550.09299999999996</v>
      </c>
      <c r="M9" s="23">
        <v>574.10400000000004</v>
      </c>
      <c r="N9" s="22">
        <v>580.95699999999999</v>
      </c>
      <c r="O9" s="23">
        <v>646.21500000000003</v>
      </c>
      <c r="P9" s="23">
        <v>670.08399999999995</v>
      </c>
      <c r="Q9" s="23">
        <v>723.57299999999998</v>
      </c>
      <c r="R9" s="22">
        <v>781.51800000000003</v>
      </c>
      <c r="S9" s="23">
        <v>848.92700000000002</v>
      </c>
      <c r="T9" s="50">
        <v>30</v>
      </c>
      <c r="U9" s="50">
        <v>801.58799999999997</v>
      </c>
      <c r="V9" s="22">
        <v>857</v>
      </c>
      <c r="W9" s="50">
        <v>901</v>
      </c>
      <c r="X9" s="50">
        <v>27</v>
      </c>
      <c r="Y9" s="50"/>
    </row>
    <row r="10" spans="1:25" s="8" customFormat="1" x14ac:dyDescent="0.15">
      <c r="A10" s="8" t="s">
        <v>9</v>
      </c>
      <c r="B10" s="23">
        <f>145.081+1.755+14.272</f>
        <v>161.10799999999998</v>
      </c>
      <c r="C10" s="23">
        <f>130.208+0.034+18.081</f>
        <v>148.32299999999998</v>
      </c>
      <c r="D10" s="23">
        <f>122.578-0.751+18.246</f>
        <v>140.07300000000001</v>
      </c>
      <c r="E10" s="23">
        <f>134.052+0.521+18.05</f>
        <v>152.62299999999999</v>
      </c>
      <c r="F10" s="22">
        <f>146.935-0.419+18.394</f>
        <v>164.91</v>
      </c>
      <c r="G10" s="23">
        <f>138.596-0.466+18.988</f>
        <v>157.11799999999999</v>
      </c>
      <c r="H10" s="23">
        <f>143.702-0.338+22.652</f>
        <v>166.01600000000002</v>
      </c>
      <c r="I10" s="23">
        <f>148.477-0.285+18.5</f>
        <v>166.69200000000001</v>
      </c>
      <c r="J10" s="22">
        <f>150.808+19.128</f>
        <v>169.93599999999998</v>
      </c>
      <c r="K10" s="23">
        <f>156.929+19.32</f>
        <v>176.249</v>
      </c>
      <c r="L10" s="23">
        <f>147.402+19.428</f>
        <v>166.82999999999998</v>
      </c>
      <c r="M10" s="23">
        <f>169.567+18.686</f>
        <v>188.25300000000001</v>
      </c>
      <c r="N10" s="22">
        <f>170.44+17.146</f>
        <v>187.58600000000001</v>
      </c>
      <c r="O10" s="23">
        <f>178.04+17.149</f>
        <v>195.18899999999999</v>
      </c>
      <c r="P10" s="23">
        <f>184.063+23.874</f>
        <v>207.93699999999998</v>
      </c>
      <c r="Q10" s="23">
        <f>212.355+32.932</f>
        <v>245.28699999999998</v>
      </c>
      <c r="R10" s="22">
        <f>216.109+46.566</f>
        <v>262.67500000000001</v>
      </c>
      <c r="S10" s="23">
        <f>219.334+43.026</f>
        <v>262.36</v>
      </c>
      <c r="T10" s="50">
        <v>14</v>
      </c>
      <c r="U10" s="50">
        <f>225.938+42.698</f>
        <v>268.63599999999997</v>
      </c>
      <c r="V10" s="22">
        <f>271+42</f>
        <v>313</v>
      </c>
      <c r="W10" s="50">
        <f>224+40</f>
        <v>264</v>
      </c>
      <c r="X10" s="50">
        <v>16</v>
      </c>
      <c r="Y10" s="50"/>
    </row>
    <row r="11" spans="1:25" s="8" customFormat="1" x14ac:dyDescent="0.15">
      <c r="A11" s="8" t="s">
        <v>10</v>
      </c>
      <c r="B11" s="26">
        <f>SUM(B8:B10)</f>
        <v>769.35799999999995</v>
      </c>
      <c r="C11" s="26">
        <f>SUM(C8:C10)</f>
        <v>783.36799999999994</v>
      </c>
      <c r="D11" s="26">
        <f>SUM(D8:D10)</f>
        <v>780.76400000000001</v>
      </c>
      <c r="E11" s="26">
        <f>SUM(E8:E10)</f>
        <v>814.60899999999992</v>
      </c>
      <c r="F11" s="27">
        <f>SUM(F8:F10)</f>
        <v>877.005</v>
      </c>
      <c r="G11" s="26">
        <f t="shared" ref="G11:L11" si="5">SUM(G8:G10)</f>
        <v>852.39100000000008</v>
      </c>
      <c r="H11" s="26">
        <f t="shared" si="5"/>
        <v>891.94100000000003</v>
      </c>
      <c r="I11" s="26">
        <f t="shared" si="5"/>
        <v>919.58299999999997</v>
      </c>
      <c r="J11" s="27">
        <f t="shared" si="5"/>
        <v>975.31</v>
      </c>
      <c r="K11" s="26">
        <f t="shared" si="5"/>
        <v>1028.748</v>
      </c>
      <c r="L11" s="26">
        <f t="shared" si="5"/>
        <v>1032.4779999999998</v>
      </c>
      <c r="M11" s="26">
        <f t="shared" ref="M11:N11" si="6">SUM(M8:M10)</f>
        <v>1086.383</v>
      </c>
      <c r="N11" s="27">
        <f t="shared" si="6"/>
        <v>1117.3119999999999</v>
      </c>
      <c r="O11" s="26">
        <f t="shared" ref="O11:P11" si="7">SUM(O8:O10)</f>
        <v>1215.5320000000002</v>
      </c>
      <c r="P11" s="26">
        <f t="shared" si="7"/>
        <v>1276.9779999999998</v>
      </c>
      <c r="Q11" s="26">
        <f t="shared" ref="Q11:S11" si="8">SUM(Q8:Q10)</f>
        <v>1384.818</v>
      </c>
      <c r="R11" s="27">
        <f t="shared" si="8"/>
        <v>1508.83</v>
      </c>
      <c r="S11" s="26">
        <f t="shared" si="8"/>
        <v>1587.2449999999999</v>
      </c>
      <c r="T11" s="26">
        <f t="shared" ref="T11:U11" si="9">SUM(T8:T10)</f>
        <v>58</v>
      </c>
      <c r="U11" s="26">
        <f t="shared" si="9"/>
        <v>1570.03</v>
      </c>
      <c r="V11" s="27">
        <f t="shared" ref="V11:X11" si="10">SUM(V8:V10)</f>
        <v>1702</v>
      </c>
      <c r="W11" s="26">
        <f t="shared" si="10"/>
        <v>1697</v>
      </c>
      <c r="X11" s="26">
        <f t="shared" si="10"/>
        <v>62</v>
      </c>
      <c r="Y11" s="50"/>
    </row>
    <row r="12" spans="1:25" s="8" customFormat="1" x14ac:dyDescent="0.15">
      <c r="A12" s="8" t="s">
        <v>11</v>
      </c>
      <c r="B12" s="26">
        <f>B7-B11</f>
        <v>-936.15599999999995</v>
      </c>
      <c r="C12" s="26">
        <f>C7-C11</f>
        <v>-968.54099999999994</v>
      </c>
      <c r="D12" s="26">
        <f>D7-D11</f>
        <v>-971.74900000000002</v>
      </c>
      <c r="E12" s="26">
        <f>E7-E11</f>
        <v>-1015.9699999999999</v>
      </c>
      <c r="F12" s="27">
        <f>F7-F11</f>
        <v>-1075.577</v>
      </c>
      <c r="G12" s="26">
        <f t="shared" ref="G12:H12" si="11">G7-G11</f>
        <v>-1054.47</v>
      </c>
      <c r="H12" s="26">
        <f t="shared" si="11"/>
        <v>-1094.6420000000001</v>
      </c>
      <c r="I12" s="26">
        <f t="shared" ref="I12:P12" si="12">I7-I11</f>
        <v>-1136.1389999999999</v>
      </c>
      <c r="J12" s="27">
        <f t="shared" si="12"/>
        <v>-1212.6469999999999</v>
      </c>
      <c r="K12" s="26">
        <f t="shared" si="12"/>
        <v>-1268.1080000000002</v>
      </c>
      <c r="L12" s="26">
        <f t="shared" si="12"/>
        <v>-1295.3999999999999</v>
      </c>
      <c r="M12" s="26">
        <f t="shared" si="12"/>
        <v>-1357.2550000000001</v>
      </c>
      <c r="N12" s="27">
        <f t="shared" si="12"/>
        <v>-1376.2139999999999</v>
      </c>
      <c r="O12" s="26">
        <f t="shared" si="12"/>
        <v>-1496.8760000000002</v>
      </c>
      <c r="P12" s="26">
        <f t="shared" si="12"/>
        <v>-1572.4699999999998</v>
      </c>
      <c r="Q12" s="26">
        <f t="shared" ref="Q12:S12" si="13">Q7-Q11</f>
        <v>-1744.079</v>
      </c>
      <c r="R12" s="27">
        <f t="shared" si="13"/>
        <v>-1906.116</v>
      </c>
      <c r="S12" s="26">
        <f t="shared" si="13"/>
        <v>-1994.7329999999999</v>
      </c>
      <c r="T12" s="26">
        <f t="shared" ref="T12:U12" si="14">T7-T11</f>
        <v>-28.699000000000002</v>
      </c>
      <c r="U12" s="26">
        <f t="shared" si="14"/>
        <v>-2022.0129999999999</v>
      </c>
      <c r="V12" s="27">
        <f t="shared" ref="V12:X12" si="15">V7-V11</f>
        <v>-2154</v>
      </c>
      <c r="W12" s="26">
        <f t="shared" si="15"/>
        <v>-2112</v>
      </c>
      <c r="X12" s="26">
        <f t="shared" si="15"/>
        <v>-23.732999999999997</v>
      </c>
      <c r="Y12" s="50"/>
    </row>
    <row r="13" spans="1:25" s="8" customFormat="1" x14ac:dyDescent="0.15">
      <c r="A13" s="8" t="s">
        <v>12</v>
      </c>
      <c r="B13" s="23">
        <v>-9.7769999999999992</v>
      </c>
      <c r="C13" s="23">
        <v>-12.643000000000001</v>
      </c>
      <c r="D13" s="23">
        <v>-13.4</v>
      </c>
      <c r="E13" s="23">
        <v>6.5060000000000002</v>
      </c>
      <c r="F13" s="22">
        <v>-15.451000000000001</v>
      </c>
      <c r="G13" s="23">
        <v>-14.409000000000001</v>
      </c>
      <c r="H13" s="23">
        <v>-13.023999999999999</v>
      </c>
      <c r="I13" s="23">
        <v>-15.58</v>
      </c>
      <c r="J13" s="22">
        <v>-8.3670000000000009</v>
      </c>
      <c r="K13" s="23">
        <v>-11.464</v>
      </c>
      <c r="L13" s="23">
        <v>-4.2949999999999999</v>
      </c>
      <c r="M13" s="23">
        <v>-6.3280000000000003</v>
      </c>
      <c r="N13" s="22">
        <v>-0.23100000000000001</v>
      </c>
      <c r="O13" s="23">
        <v>-7.6849999999999996</v>
      </c>
      <c r="P13" s="23">
        <v>-17.248000000000001</v>
      </c>
      <c r="Q13" s="23">
        <v>-21.329000000000001</v>
      </c>
      <c r="R13" s="22">
        <v>7.5039999999999996</v>
      </c>
      <c r="S13" s="23">
        <v>-38.774999999999999</v>
      </c>
      <c r="T13" s="50">
        <v>1</v>
      </c>
      <c r="U13" s="50">
        <v>-12.784000000000001</v>
      </c>
      <c r="V13" s="22">
        <v>-18</v>
      </c>
      <c r="W13" s="50">
        <f>-28+12</f>
        <v>-16</v>
      </c>
      <c r="X13" s="50">
        <v>0</v>
      </c>
      <c r="Y13" s="50"/>
    </row>
    <row r="14" spans="1:25" s="8" customFormat="1" x14ac:dyDescent="0.15">
      <c r="A14" s="8" t="s">
        <v>13</v>
      </c>
      <c r="B14" s="26">
        <f>B12+B13</f>
        <v>-945.93299999999999</v>
      </c>
      <c r="C14" s="26">
        <f>C12+C13</f>
        <v>-981.18399999999997</v>
      </c>
      <c r="D14" s="26">
        <f>D12+D13</f>
        <v>-985.149</v>
      </c>
      <c r="E14" s="26">
        <f>E12+E13</f>
        <v>-1009.4639999999999</v>
      </c>
      <c r="F14" s="27">
        <f>F12+F13</f>
        <v>-1091.028</v>
      </c>
      <c r="G14" s="26">
        <f t="shared" ref="G14:I14" si="16">G12+G13</f>
        <v>-1068.8790000000001</v>
      </c>
      <c r="H14" s="26">
        <f t="shared" si="16"/>
        <v>-1107.6659999999999</v>
      </c>
      <c r="I14" s="26">
        <f t="shared" si="16"/>
        <v>-1151.7189999999998</v>
      </c>
      <c r="J14" s="27">
        <f t="shared" ref="J14:K14" si="17">J12+J13</f>
        <v>-1221.0139999999999</v>
      </c>
      <c r="K14" s="26">
        <f t="shared" si="17"/>
        <v>-1279.5720000000001</v>
      </c>
      <c r="L14" s="26">
        <f t="shared" ref="L14:N14" si="18">L12+L13</f>
        <v>-1299.6949999999999</v>
      </c>
      <c r="M14" s="26">
        <f>M12+M13</f>
        <v>-1363.5830000000001</v>
      </c>
      <c r="N14" s="27">
        <f t="shared" si="18"/>
        <v>-1376.4449999999999</v>
      </c>
      <c r="O14" s="26">
        <f t="shared" ref="O14" si="19">O12+O13</f>
        <v>-1504.5610000000001</v>
      </c>
      <c r="P14" s="26">
        <f t="shared" ref="P14:T14" si="20">P12+P13</f>
        <v>-1589.7179999999998</v>
      </c>
      <c r="Q14" s="26">
        <f t="shared" si="20"/>
        <v>-1765.4079999999999</v>
      </c>
      <c r="R14" s="27">
        <f t="shared" si="20"/>
        <v>-1898.6120000000001</v>
      </c>
      <c r="S14" s="26">
        <f t="shared" si="20"/>
        <v>-2033.508</v>
      </c>
      <c r="T14" s="26">
        <f t="shared" si="20"/>
        <v>-27.699000000000002</v>
      </c>
      <c r="U14" s="26">
        <f t="shared" ref="U14" si="21">U12+U13</f>
        <v>-2034.797</v>
      </c>
      <c r="V14" s="27">
        <f t="shared" ref="V14:X14" si="22">V12+V13</f>
        <v>-2172</v>
      </c>
      <c r="W14" s="26">
        <f t="shared" si="22"/>
        <v>-2128</v>
      </c>
      <c r="X14" s="26">
        <f t="shared" si="22"/>
        <v>-23.732999999999997</v>
      </c>
      <c r="Y14" s="50"/>
    </row>
    <row r="15" spans="1:25" s="8" customFormat="1" x14ac:dyDescent="0.15">
      <c r="A15" s="8" t="s">
        <v>14</v>
      </c>
      <c r="B15" s="23">
        <v>78.36</v>
      </c>
      <c r="C15" s="23">
        <v>33.481000000000002</v>
      </c>
      <c r="D15" s="23">
        <v>58.154000000000003</v>
      </c>
      <c r="E15" s="23">
        <v>74.234999999999999</v>
      </c>
      <c r="F15" s="22">
        <v>38</v>
      </c>
      <c r="G15" s="23">
        <v>85.756</v>
      </c>
      <c r="H15" s="23">
        <v>85.513000000000005</v>
      </c>
      <c r="I15" s="23">
        <v>57.087000000000003</v>
      </c>
      <c r="J15" s="22">
        <v>62.186</v>
      </c>
      <c r="K15" s="23">
        <v>118.22799999999999</v>
      </c>
      <c r="L15" s="23">
        <v>121.81</v>
      </c>
      <c r="M15" s="23">
        <v>141.46299999999999</v>
      </c>
      <c r="N15" s="22">
        <v>119.426</v>
      </c>
      <c r="O15" s="23">
        <v>27.632000000000001</v>
      </c>
      <c r="P15" s="23">
        <v>35.067</v>
      </c>
      <c r="Q15" s="23">
        <v>20.977</v>
      </c>
      <c r="R15" s="22">
        <v>28.093</v>
      </c>
      <c r="S15" s="23">
        <v>78.179000000000002</v>
      </c>
      <c r="T15" s="23">
        <v>0</v>
      </c>
      <c r="U15" s="23">
        <v>105.286</v>
      </c>
      <c r="V15" s="22">
        <v>-36</v>
      </c>
      <c r="W15" s="23">
        <v>-100</v>
      </c>
      <c r="X15" s="23">
        <v>0</v>
      </c>
      <c r="Y15" s="23"/>
    </row>
    <row r="16" spans="1:25" s="17" customFormat="1" x14ac:dyDescent="0.15">
      <c r="A16" s="17" t="s">
        <v>15</v>
      </c>
      <c r="B16" s="24">
        <f>B14-B15</f>
        <v>-1024.2929999999999</v>
      </c>
      <c r="C16" s="24">
        <f>C14-C15</f>
        <v>-1014.665</v>
      </c>
      <c r="D16" s="24">
        <f>D14-D15</f>
        <v>-1043.3030000000001</v>
      </c>
      <c r="E16" s="24">
        <f>E14-E15</f>
        <v>-1083.6989999999998</v>
      </c>
      <c r="F16" s="25">
        <f>F14-F15</f>
        <v>-1129.028</v>
      </c>
      <c r="G16" s="24">
        <f>G14-G15</f>
        <v>-1154.6350000000002</v>
      </c>
      <c r="H16" s="24">
        <f>H14-H15</f>
        <v>-1193.1789999999999</v>
      </c>
      <c r="I16" s="24">
        <f>I14-I15</f>
        <v>-1208.8059999999998</v>
      </c>
      <c r="J16" s="25">
        <f>J14-J15</f>
        <v>-1283.1999999999998</v>
      </c>
      <c r="K16" s="24">
        <f>K14-K15</f>
        <v>-1397.8000000000002</v>
      </c>
      <c r="L16" s="24">
        <f>L14-L15</f>
        <v>-1421.5049999999999</v>
      </c>
      <c r="M16" s="24">
        <f>M14-M15</f>
        <v>-1505.046</v>
      </c>
      <c r="N16" s="25">
        <f>N14-N15</f>
        <v>-1495.8709999999999</v>
      </c>
      <c r="O16" s="24">
        <f>O14-O15</f>
        <v>-1532.1930000000002</v>
      </c>
      <c r="P16" s="24">
        <f>P14-P15</f>
        <v>-1624.7849999999999</v>
      </c>
      <c r="Q16" s="24">
        <f>Q14-Q15</f>
        <v>-1786.385</v>
      </c>
      <c r="R16" s="25">
        <f>R14-R15</f>
        <v>-1926.7050000000002</v>
      </c>
      <c r="S16" s="24">
        <f>S14-S15</f>
        <v>-2111.6869999999999</v>
      </c>
      <c r="T16" s="24">
        <f>T14-T15</f>
        <v>-27.699000000000002</v>
      </c>
      <c r="U16" s="24">
        <f>U14-U15</f>
        <v>-2140.0830000000001</v>
      </c>
      <c r="V16" s="25">
        <f>V14-V15</f>
        <v>-2136</v>
      </c>
      <c r="W16" s="24">
        <f>W14-W15</f>
        <v>-2028</v>
      </c>
      <c r="X16" s="24">
        <f>X14-X15</f>
        <v>-23.732999999999997</v>
      </c>
      <c r="Y16" s="49"/>
    </row>
    <row r="17" spans="1:25" s="4" customFormat="1" x14ac:dyDescent="0.15">
      <c r="A17" s="4" t="s">
        <v>16</v>
      </c>
      <c r="B17" s="59">
        <f t="shared" ref="B17:H17" si="23">IFERROR(B16/B18,0)</f>
        <v>-2.0182079341748005</v>
      </c>
      <c r="C17" s="59">
        <f t="shared" si="23"/>
        <v>-2.0069246927303581</v>
      </c>
      <c r="D17" s="59">
        <f t="shared" si="23"/>
        <v>-2.062642222657169</v>
      </c>
      <c r="E17" s="59">
        <f>IFERROR(E16/E18,0)</f>
        <v>-2.141646838414899</v>
      </c>
      <c r="F17" s="60">
        <f t="shared" si="23"/>
        <v>-2.2327102729811186</v>
      </c>
      <c r="G17" s="59">
        <f t="shared" si="23"/>
        <v>-2.2876516915151819</v>
      </c>
      <c r="H17" s="59">
        <f t="shared" si="23"/>
        <v>-2.3689744653730922</v>
      </c>
      <c r="I17" s="59">
        <f t="shared" ref="I17:L17" si="24">IFERROR(I16/I18,0)</f>
        <v>-2.4119391191916608</v>
      </c>
      <c r="J17" s="60">
        <f t="shared" si="24"/>
        <v>-2.5619882562227843</v>
      </c>
      <c r="K17" s="59">
        <f t="shared" si="24"/>
        <v>-2.7936388655164079</v>
      </c>
      <c r="L17" s="59">
        <f t="shared" si="24"/>
        <v>-2.8407487639838687</v>
      </c>
      <c r="M17" s="59">
        <f t="shared" ref="M17" si="25">IFERROR(M16/M18,0)</f>
        <v>-3.0097308323001242</v>
      </c>
      <c r="N17" s="60">
        <f t="shared" ref="N17:S17" si="26">IFERROR(N16/N18,0)</f>
        <v>-2.9951384870443079</v>
      </c>
      <c r="O17" s="59">
        <f t="shared" si="26"/>
        <v>-3.0751366778256788</v>
      </c>
      <c r="P17" s="59">
        <f t="shared" si="26"/>
        <v>-3.2700667785680646</v>
      </c>
      <c r="Q17" s="59">
        <f t="shared" si="26"/>
        <v>-3.6074884690259053</v>
      </c>
      <c r="R17" s="60">
        <f t="shared" si="26"/>
        <v>-3.8987288238484146</v>
      </c>
      <c r="S17" s="59">
        <f t="shared" si="26"/>
        <v>-4.2901981260107434</v>
      </c>
      <c r="T17" s="59">
        <f t="shared" ref="T17:U17" si="27">IFERROR(T16/T18,0)</f>
        <v>-1.8907167235494882</v>
      </c>
      <c r="U17" s="59">
        <f t="shared" si="27"/>
        <v>-4.3777817780878019</v>
      </c>
      <c r="V17" s="60">
        <f t="shared" ref="V17:X17" si="28">IFERROR(V16/V18,0)</f>
        <v>-4.3770491803278686</v>
      </c>
      <c r="W17" s="59">
        <f t="shared" si="28"/>
        <v>-4.1814432989690724</v>
      </c>
      <c r="X17" s="59">
        <f t="shared" si="28"/>
        <v>-0.42520065930915857</v>
      </c>
      <c r="Y17" s="61"/>
    </row>
    <row r="18" spans="1:25" s="8" customFormat="1" x14ac:dyDescent="0.15">
      <c r="A18" s="8" t="s">
        <v>17</v>
      </c>
      <c r="B18" s="23">
        <v>507.52600000000001</v>
      </c>
      <c r="C18" s="23">
        <v>505.58199999999999</v>
      </c>
      <c r="D18" s="23">
        <v>505.80900000000003</v>
      </c>
      <c r="E18" s="23">
        <v>506.012</v>
      </c>
      <c r="F18" s="22">
        <v>505.67599999999999</v>
      </c>
      <c r="G18" s="23">
        <v>504.72500000000002</v>
      </c>
      <c r="H18" s="23">
        <v>503.66899999999998</v>
      </c>
      <c r="I18" s="23">
        <v>501.17599999999999</v>
      </c>
      <c r="J18" s="22">
        <v>500.86099999999999</v>
      </c>
      <c r="K18" s="23">
        <v>500.351</v>
      </c>
      <c r="L18" s="23">
        <v>500.39800000000002</v>
      </c>
      <c r="M18" s="23">
        <v>500.06</v>
      </c>
      <c r="N18" s="22">
        <v>499.43299999999999</v>
      </c>
      <c r="O18" s="23">
        <v>498.25200000000001</v>
      </c>
      <c r="P18" s="23">
        <v>496.86599999999999</v>
      </c>
      <c r="Q18" s="23">
        <v>495.18799999999999</v>
      </c>
      <c r="R18" s="22">
        <v>494.18799999999999</v>
      </c>
      <c r="S18" s="23">
        <v>492.21199999999999</v>
      </c>
      <c r="T18" s="50">
        <v>14.65</v>
      </c>
      <c r="U18" s="50">
        <v>488.851</v>
      </c>
      <c r="V18" s="22">
        <v>488</v>
      </c>
      <c r="W18" s="50">
        <v>485</v>
      </c>
      <c r="X18" s="50">
        <v>55.816000000000003</v>
      </c>
      <c r="Y18" s="50"/>
    </row>
    <row r="19" spans="1:25" s="41" customFormat="1" x14ac:dyDescent="0.15">
      <c r="B19" s="39"/>
      <c r="C19" s="39"/>
      <c r="D19" s="39"/>
      <c r="E19" s="39"/>
      <c r="F19" s="40"/>
      <c r="G19" s="39"/>
      <c r="H19" s="39"/>
      <c r="I19" s="39"/>
      <c r="J19" s="40"/>
      <c r="K19" s="39"/>
      <c r="L19" s="39"/>
      <c r="M19" s="39"/>
      <c r="N19" s="56"/>
      <c r="Q19" s="39"/>
      <c r="R19" s="56"/>
      <c r="V19" s="56"/>
    </row>
    <row r="20" spans="1:25" x14ac:dyDescent="0.15">
      <c r="A20" s="6" t="s">
        <v>19</v>
      </c>
      <c r="B20" s="33">
        <f>IFERROR(B7/B5,0)</f>
        <v>0</v>
      </c>
      <c r="C20" s="33">
        <f>IFERROR(C7/C5,0)</f>
        <v>0</v>
      </c>
      <c r="D20" s="33">
        <f>IFERROR(D7/D5,0)</f>
        <v>0</v>
      </c>
      <c r="E20" s="33">
        <f>IFERROR(E7/E5,0)</f>
        <v>0</v>
      </c>
      <c r="F20" s="34">
        <f>IFERROR(F7/F5,0)</f>
        <v>0</v>
      </c>
      <c r="G20" s="33">
        <f>IFERROR(G7/G5,0)</f>
        <v>0</v>
      </c>
      <c r="H20" s="33">
        <f>IFERROR(H7/H5,0)</f>
        <v>0</v>
      </c>
      <c r="I20" s="33">
        <f>IFERROR(I7/I5,0)</f>
        <v>0</v>
      </c>
      <c r="J20" s="34">
        <f>IFERROR(J7/J5,0)</f>
        <v>0</v>
      </c>
      <c r="K20" s="33">
        <f>IFERROR(K7/K5,0)</f>
        <v>0</v>
      </c>
      <c r="L20" s="33">
        <f>IFERROR(L7/L5,0)</f>
        <v>0</v>
      </c>
      <c r="M20" s="33">
        <f>IFERROR(M7/M5,0)</f>
        <v>0</v>
      </c>
      <c r="N20" s="34">
        <f>IFERROR(N7/N5,0)</f>
        <v>0</v>
      </c>
      <c r="O20" s="33">
        <f>IFERROR(O7/O5,0)</f>
        <v>0</v>
      </c>
      <c r="P20" s="33">
        <f>IFERROR(P7/P5,0)</f>
        <v>0</v>
      </c>
      <c r="Q20" s="33">
        <f>IFERROR(Q7/Q5,0)</f>
        <v>0</v>
      </c>
      <c r="R20" s="34">
        <f>IFERROR(R7/R5,0)</f>
        <v>0</v>
      </c>
      <c r="S20" s="33">
        <f>IFERROR(S7/S5,0)</f>
        <v>0</v>
      </c>
      <c r="T20" s="33">
        <f>IFERROR(T7/T5,0)</f>
        <v>0.72324932737639769</v>
      </c>
      <c r="U20" s="33">
        <f>IFERROR(U7/U5,0)</f>
        <v>0</v>
      </c>
      <c r="V20" s="34">
        <f>IFERROR(V7/V5,0)</f>
        <v>0</v>
      </c>
      <c r="W20" s="33">
        <f>IFERROR(W7/W5,0)</f>
        <v>0</v>
      </c>
      <c r="X20" s="33">
        <f>IFERROR(X7/X5,0)</f>
        <v>0.73777666383897589</v>
      </c>
      <c r="Y20" s="33"/>
    </row>
    <row r="21" spans="1:25" x14ac:dyDescent="0.15">
      <c r="A21" s="6" t="s">
        <v>20</v>
      </c>
      <c r="B21" s="35">
        <f>IFERROR(B12/B5,0)</f>
        <v>0</v>
      </c>
      <c r="C21" s="35">
        <f>IFERROR(C12/C5,0)</f>
        <v>0</v>
      </c>
      <c r="D21" s="35">
        <f>IFERROR(D12/D5,0)</f>
        <v>0</v>
      </c>
      <c r="E21" s="35">
        <f>IFERROR(E12/E5,0)</f>
        <v>0</v>
      </c>
      <c r="F21" s="36">
        <f>IFERROR(F12/F5,0)</f>
        <v>0</v>
      </c>
      <c r="G21" s="35">
        <f>IFERROR(G12/G5,0)</f>
        <v>0</v>
      </c>
      <c r="H21" s="35">
        <f>IFERROR(H12/H5,0)</f>
        <v>0</v>
      </c>
      <c r="I21" s="35">
        <f>IFERROR(I12/I5,0)</f>
        <v>0</v>
      </c>
      <c r="J21" s="36">
        <f>IFERROR(J12/J5,0)</f>
        <v>0</v>
      </c>
      <c r="K21" s="35">
        <f>IFERROR(K12/K5,0)</f>
        <v>0</v>
      </c>
      <c r="L21" s="35">
        <f>IFERROR(L12/L5,0)</f>
        <v>0</v>
      </c>
      <c r="M21" s="35">
        <f>IFERROR(M12/M5,0)</f>
        <v>0</v>
      </c>
      <c r="N21" s="36">
        <f>IFERROR(N12/N5,0)</f>
        <v>0</v>
      </c>
      <c r="O21" s="35">
        <f>IFERROR(O12/O5,0)</f>
        <v>0</v>
      </c>
      <c r="P21" s="35">
        <f>IFERROR(P12/P5,0)</f>
        <v>0</v>
      </c>
      <c r="Q21" s="35">
        <f>IFERROR(Q12/Q5,0)</f>
        <v>0</v>
      </c>
      <c r="R21" s="36">
        <f>IFERROR(R12/R5,0)</f>
        <v>0</v>
      </c>
      <c r="S21" s="35">
        <f>IFERROR(S12/S5,0)</f>
        <v>0</v>
      </c>
      <c r="T21" s="35">
        <f>IFERROR(T12/T5,0)</f>
        <v>-0.7083898995384198</v>
      </c>
      <c r="U21" s="35">
        <f>IFERROR(U12/U5,0)</f>
        <v>0</v>
      </c>
      <c r="V21" s="36">
        <f>IFERROR(V12/V5,0)</f>
        <v>0</v>
      </c>
      <c r="W21" s="35">
        <f>IFERROR(W12/W5,0)</f>
        <v>0</v>
      </c>
      <c r="X21" s="35">
        <f>IFERROR(X12/X5,0)</f>
        <v>-0.45756535821701233</v>
      </c>
      <c r="Y21" s="35"/>
    </row>
    <row r="22" spans="1:25" x14ac:dyDescent="0.15">
      <c r="A22" s="6" t="s">
        <v>21</v>
      </c>
      <c r="B22" s="35">
        <f>IFERROR(B15/B14,0)</f>
        <v>-8.2838847994519696E-2</v>
      </c>
      <c r="C22" s="35">
        <f>IFERROR(C15/C14,0)</f>
        <v>-3.4123059487313291E-2</v>
      </c>
      <c r="D22" s="35">
        <f>IFERROR(D15/D14,0)</f>
        <v>-5.9030664396959247E-2</v>
      </c>
      <c r="E22" s="35">
        <f>IFERROR(E15/E14,0)</f>
        <v>-7.3539026651767675E-2</v>
      </c>
      <c r="F22" s="36">
        <f>IFERROR(F15/F14,0)</f>
        <v>-3.482953691380973E-2</v>
      </c>
      <c r="G22" s="35">
        <f>IFERROR(G15/G14,0)</f>
        <v>-8.0229848280301122E-2</v>
      </c>
      <c r="H22" s="35">
        <f>IFERROR(H15/H14,0)</f>
        <v>-7.7201069636514991E-2</v>
      </c>
      <c r="I22" s="35">
        <f>IFERROR(I15/I14,0)</f>
        <v>-4.9566778007482735E-2</v>
      </c>
      <c r="J22" s="36">
        <f>IFERROR(J15/J14,0)</f>
        <v>-5.0929800968703066E-2</v>
      </c>
      <c r="K22" s="35">
        <f>IFERROR(K15/K14,0)</f>
        <v>-9.239652008640388E-2</v>
      </c>
      <c r="L22" s="35">
        <f>IFERROR(L15/L14,0)</f>
        <v>-9.3721988620407107E-2</v>
      </c>
      <c r="M22" s="35">
        <f>IFERROR(M15/M14,0)</f>
        <v>-0.10374359316594588</v>
      </c>
      <c r="N22" s="36">
        <f>IFERROR(N15/N14,0)</f>
        <v>-8.6764091554693432E-2</v>
      </c>
      <c r="O22" s="35">
        <f>IFERROR(O15/O14,0)</f>
        <v>-1.836549000007311E-2</v>
      </c>
      <c r="P22" s="35">
        <f>IFERROR(P15/P14,0)</f>
        <v>-2.205862926632271E-2</v>
      </c>
      <c r="Q22" s="35">
        <f>IFERROR(Q15/Q14,0)</f>
        <v>-1.1882239119795537E-2</v>
      </c>
      <c r="R22" s="36">
        <f>IFERROR(R15/R14,0)</f>
        <v>-1.4796598778476064E-2</v>
      </c>
      <c r="S22" s="35">
        <f>IFERROR(S15/S14,0)</f>
        <v>-3.8445386002907291E-2</v>
      </c>
      <c r="T22" s="35">
        <f>IFERROR(T15/T14,0)</f>
        <v>0</v>
      </c>
      <c r="U22" s="35">
        <f>IFERROR(U15/U14,0)</f>
        <v>-5.1742753699754819E-2</v>
      </c>
      <c r="V22" s="36">
        <f>IFERROR(V15/V14,0)</f>
        <v>1.6574585635359115E-2</v>
      </c>
      <c r="W22" s="35">
        <f>IFERROR(W15/W14,0)</f>
        <v>4.6992481203007516E-2</v>
      </c>
      <c r="X22" s="35">
        <f>IFERROR(X15/X14,0)</f>
        <v>0</v>
      </c>
      <c r="Y22" s="35"/>
    </row>
    <row r="23" spans="1:25" s="20" customFormat="1" x14ac:dyDescent="0.15">
      <c r="B23" s="23"/>
      <c r="C23" s="23"/>
      <c r="D23" s="23"/>
      <c r="E23" s="23"/>
      <c r="F23" s="22"/>
      <c r="G23" s="23"/>
      <c r="H23" s="23"/>
      <c r="I23" s="23"/>
      <c r="J23" s="22"/>
      <c r="K23" s="23"/>
      <c r="L23" s="23"/>
      <c r="M23" s="23"/>
      <c r="N23" s="21"/>
      <c r="Q23" s="23"/>
      <c r="R23" s="21"/>
      <c r="V23" s="21"/>
      <c r="Y23" s="33">
        <v>0.18</v>
      </c>
    </row>
    <row r="24" spans="1:25" s="12" customFormat="1" x14ac:dyDescent="0.15">
      <c r="A24" s="12" t="s">
        <v>18</v>
      </c>
      <c r="B24" s="29"/>
      <c r="C24" s="29"/>
      <c r="D24" s="29"/>
      <c r="E24" s="29"/>
      <c r="F24" s="30">
        <f>IFERROR((F5/B5)-1,0)</f>
        <v>0</v>
      </c>
      <c r="G24" s="29">
        <f>IFERROR((G5/C5)-1,0)</f>
        <v>0</v>
      </c>
      <c r="H24" s="29">
        <f>IFERROR((H5/D5)-1,0)</f>
        <v>0</v>
      </c>
      <c r="I24" s="29">
        <f>IFERROR((I5/E5)-1,0)</f>
        <v>0</v>
      </c>
      <c r="J24" s="30">
        <f>IFERROR((J5/F5)-1,0)</f>
        <v>0</v>
      </c>
      <c r="K24" s="29">
        <f>IFERROR((K5/G5)-1,0)</f>
        <v>0</v>
      </c>
      <c r="L24" s="29">
        <f>IFERROR((L5/H5)-1,0)</f>
        <v>0</v>
      </c>
      <c r="M24" s="29">
        <f>IFERROR((M5/I5)-1,0)</f>
        <v>0</v>
      </c>
      <c r="N24" s="30">
        <f>IFERROR((N5/J5)-1,0)</f>
        <v>0</v>
      </c>
      <c r="O24" s="29">
        <f>IFERROR((O5/K5)-1,0)</f>
        <v>0</v>
      </c>
      <c r="P24" s="29">
        <f>IFERROR((P5/L5)-1,0)</f>
        <v>0</v>
      </c>
      <c r="Q24" s="29">
        <f>IFERROR((Q5/M5)-1,0)</f>
        <v>0</v>
      </c>
      <c r="R24" s="30">
        <f>IFERROR((R5/N5)-1,0)</f>
        <v>0</v>
      </c>
      <c r="S24" s="29">
        <f>IFERROR((S5/O5)-1,0)</f>
        <v>0</v>
      </c>
      <c r="T24" s="29">
        <f>IFERROR((T5/P5)-1,0)</f>
        <v>0</v>
      </c>
      <c r="U24" s="29">
        <f>IFERROR((U5/Q5)-1,0)</f>
        <v>0</v>
      </c>
      <c r="V24" s="30">
        <f>IFERROR((V5/R5)-1,0)</f>
        <v>0</v>
      </c>
      <c r="W24" s="29">
        <f>IFERROR((W5/S5)-1,0)</f>
        <v>0</v>
      </c>
      <c r="X24" s="29">
        <f>IFERROR((X5/T5)-1,0)</f>
        <v>0.28028040382099584</v>
      </c>
      <c r="Y24" s="29">
        <f>IFERROR((Y5/U5)-1,0)</f>
        <v>0</v>
      </c>
    </row>
    <row r="25" spans="1:25" s="12" customFormat="1" x14ac:dyDescent="0.15">
      <c r="A25" s="6" t="s">
        <v>38</v>
      </c>
      <c r="B25" s="31"/>
      <c r="C25" s="31"/>
      <c r="D25" s="31"/>
      <c r="E25" s="31"/>
      <c r="F25" s="32">
        <f>F8/B8-1</f>
        <v>0.10066864956915955</v>
      </c>
      <c r="G25" s="31">
        <f>G8/C8-1</f>
        <v>0.11745903569866423</v>
      </c>
      <c r="H25" s="31">
        <f>H8/D8-1</f>
        <v>0.13623890972285735</v>
      </c>
      <c r="I25" s="31">
        <f>I8/E8-1</f>
        <v>0.16930897811476808</v>
      </c>
      <c r="J25" s="32">
        <f>J8/F8-1</f>
        <v>0.20182206033625061</v>
      </c>
      <c r="K25" s="31">
        <f>K8/G8-1</f>
        <v>0.28783486175392725</v>
      </c>
      <c r="L25" s="31">
        <f>L8/H8-1</f>
        <v>0.27009458643590278</v>
      </c>
      <c r="M25" s="31">
        <f>M8/I8-1</f>
        <v>0.25665021000663191</v>
      </c>
      <c r="N25" s="32">
        <f>N8/J8-1</f>
        <v>0.22342033906628744</v>
      </c>
      <c r="O25" s="31">
        <f>O8/K8-1</f>
        <v>0.24958834472830738</v>
      </c>
      <c r="P25" s="31">
        <f>P8/L8-1</f>
        <v>0.26430257799749635</v>
      </c>
      <c r="Q25" s="31">
        <f>Q8/M8-1</f>
        <v>0.28371797324906023</v>
      </c>
      <c r="R25" s="32">
        <f>R8/N8-1</f>
        <v>0.33221989339648883</v>
      </c>
      <c r="S25" s="31">
        <f>S8/O8-1</f>
        <v>0.27217957490484546</v>
      </c>
      <c r="T25" s="31">
        <f>T8/P8-1</f>
        <v>-0.96490849891091024</v>
      </c>
      <c r="U25" s="31">
        <f>U8/Q8-1</f>
        <v>0.20157804393712819</v>
      </c>
      <c r="V25" s="32">
        <f>V8/R8-1</f>
        <v>0.14497984448074508</v>
      </c>
      <c r="W25" s="31">
        <f>W8/S8-1</f>
        <v>0.11774568344265668</v>
      </c>
      <c r="X25" s="31">
        <f>X8/T8-1</f>
        <v>0.35714285714285721</v>
      </c>
      <c r="Y25" s="31"/>
    </row>
    <row r="26" spans="1:25" s="12" customFormat="1" x14ac:dyDescent="0.15">
      <c r="A26" s="6" t="s">
        <v>39</v>
      </c>
      <c r="B26" s="31"/>
      <c r="C26" s="31"/>
      <c r="D26" s="31"/>
      <c r="E26" s="31"/>
      <c r="F26" s="32">
        <f>F9/B9-1</f>
        <v>0.20917092944204962</v>
      </c>
      <c r="G26" s="31">
        <f>G9/C9-1</f>
        <v>8.3820064730982358E-2</v>
      </c>
      <c r="H26" s="31">
        <f>H9/D9-1</f>
        <v>0.13137423554193894</v>
      </c>
      <c r="I26" s="31">
        <f>I9/E9-1</f>
        <v>0.12134404899970996</v>
      </c>
      <c r="J26" s="32">
        <f>J9/F9-1</f>
        <v>9.5613519734002228E-2</v>
      </c>
      <c r="K26" s="31">
        <f>K9/G9-1</f>
        <v>0.19514076609426745</v>
      </c>
      <c r="L26" s="31">
        <f>L9/H9-1</f>
        <v>0.15208754385046319</v>
      </c>
      <c r="M26" s="31">
        <f>M9/I9-1</f>
        <v>0.15970766116814339</v>
      </c>
      <c r="N26" s="32">
        <f>N9/J9-1</f>
        <v>0.11658725689365879</v>
      </c>
      <c r="O26" s="31">
        <f>O9/K9-1</f>
        <v>0.16835533666728164</v>
      </c>
      <c r="P26" s="31">
        <f>P9/L9-1</f>
        <v>0.21812857098708771</v>
      </c>
      <c r="Q26" s="31">
        <f>Q9/M9-1</f>
        <v>0.2603517829522175</v>
      </c>
      <c r="R26" s="32">
        <f>R9/N9-1</f>
        <v>0.34522520599631301</v>
      </c>
      <c r="S26" s="31">
        <f>S9/O9-1</f>
        <v>0.31369126374349099</v>
      </c>
      <c r="T26" s="31">
        <f>T9/P9-1</f>
        <v>-0.95522949361572573</v>
      </c>
      <c r="U26" s="31">
        <f>U9/Q9-1</f>
        <v>0.10781911431189384</v>
      </c>
      <c r="V26" s="32">
        <f>V9/R9-1</f>
        <v>9.6583827883682805E-2</v>
      </c>
      <c r="W26" s="31">
        <f>W9/S9-1</f>
        <v>6.1339785399686875E-2</v>
      </c>
      <c r="X26" s="31">
        <f>X9/T9-1</f>
        <v>-9.9999999999999978E-2</v>
      </c>
      <c r="Y26" s="31"/>
    </row>
    <row r="27" spans="1:25" s="12" customFormat="1" x14ac:dyDescent="0.15">
      <c r="A27" s="6" t="s">
        <v>40</v>
      </c>
      <c r="B27" s="31"/>
      <c r="C27" s="31"/>
      <c r="D27" s="31"/>
      <c r="E27" s="31"/>
      <c r="F27" s="32">
        <f>F10/B10-1</f>
        <v>2.3599076395958152E-2</v>
      </c>
      <c r="G27" s="31">
        <f>G10/C10-1</f>
        <v>5.9296265582546415E-2</v>
      </c>
      <c r="H27" s="31">
        <f>H10/D10-1</f>
        <v>0.18521056877485309</v>
      </c>
      <c r="I27" s="31">
        <f>I10/E10-1</f>
        <v>9.218138812629828E-2</v>
      </c>
      <c r="J27" s="32">
        <f>J10/F10-1</f>
        <v>3.0477230004244626E-2</v>
      </c>
      <c r="K27" s="31">
        <f>K10/G10-1</f>
        <v>0.12176198780534375</v>
      </c>
      <c r="L27" s="31">
        <f>L10/H10-1</f>
        <v>4.9031418658440629E-3</v>
      </c>
      <c r="M27" s="31">
        <f>M10/I10-1</f>
        <v>0.12934633935641782</v>
      </c>
      <c r="N27" s="32">
        <f>N10/J10-1</f>
        <v>0.10386263063741663</v>
      </c>
      <c r="O27" s="31">
        <f>O10/K10-1</f>
        <v>0.10746160261902205</v>
      </c>
      <c r="P27" s="31">
        <f>P10/L10-1</f>
        <v>0.24640052748306651</v>
      </c>
      <c r="Q27" s="31">
        <f>Q10/M10-1</f>
        <v>0.30296462738973595</v>
      </c>
      <c r="R27" s="32">
        <f>R10/N10-1</f>
        <v>0.40029106649749968</v>
      </c>
      <c r="S27" s="31">
        <f>S10/O10-1</f>
        <v>0.34413312225586501</v>
      </c>
      <c r="T27" s="31">
        <f>T10/P10-1</f>
        <v>-0.9326719150511934</v>
      </c>
      <c r="U27" s="31">
        <f>U10/Q10-1</f>
        <v>9.5190531907520581E-2</v>
      </c>
      <c r="V27" s="32">
        <f>V10/R10-1</f>
        <v>0.19158656134005891</v>
      </c>
      <c r="W27" s="31">
        <f>W10/S10-1</f>
        <v>6.2509528891598887E-3</v>
      </c>
      <c r="X27" s="31">
        <f>X10/T10-1</f>
        <v>0.14285714285714279</v>
      </c>
      <c r="Y27" s="31"/>
    </row>
    <row r="28" spans="1:25" x14ac:dyDescent="0.15">
      <c r="A28" s="6" t="s">
        <v>64</v>
      </c>
      <c r="J28" s="34">
        <f>J11/F11-1</f>
        <v>0.11209172125586497</v>
      </c>
      <c r="K28" s="33">
        <f>K11/G11-1</f>
        <v>0.20689683490323096</v>
      </c>
      <c r="L28" s="33">
        <f>L11/H11-1</f>
        <v>0.15756311235832832</v>
      </c>
      <c r="M28" s="33">
        <f>M11/I11-1</f>
        <v>0.18138656325747649</v>
      </c>
      <c r="N28" s="34">
        <f>N11/J11-1</f>
        <v>0.14559678461207204</v>
      </c>
      <c r="O28" s="33">
        <f>O11/K11-1</f>
        <v>0.18156438700245348</v>
      </c>
      <c r="P28" s="33">
        <f>P11/L11-1</f>
        <v>0.23680891989950403</v>
      </c>
      <c r="Q28" s="33">
        <f>Q11/M11-1</f>
        <v>0.27470514542293079</v>
      </c>
      <c r="R28" s="34">
        <f>R11/N11-1</f>
        <v>0.35041062836521952</v>
      </c>
      <c r="S28" s="33">
        <f>S11/O11-1</f>
        <v>0.30580272670731801</v>
      </c>
      <c r="T28" s="33">
        <f>T11/P11-1</f>
        <v>-0.95458026684876329</v>
      </c>
      <c r="U28" s="33">
        <f>U11/Q11-1</f>
        <v>0.13374465092163734</v>
      </c>
      <c r="V28" s="34">
        <f>V11/R11-1</f>
        <v>0.12802635154391151</v>
      </c>
      <c r="W28" s="33">
        <f>W11/S11-1</f>
        <v>6.9148115130304388E-2</v>
      </c>
      <c r="X28" s="33">
        <f>X11/T11-1</f>
        <v>6.8965517241379226E-2</v>
      </c>
      <c r="Y28" s="33"/>
    </row>
    <row r="29" spans="1:25" x14ac:dyDescent="0.15">
      <c r="J29" s="45"/>
      <c r="K29" s="44"/>
      <c r="L29" s="44"/>
      <c r="M29" s="44"/>
      <c r="Q29" s="44"/>
    </row>
    <row r="30" spans="1:25" s="17" customFormat="1" x14ac:dyDescent="0.15">
      <c r="A30" s="17" t="s">
        <v>26</v>
      </c>
      <c r="B30" s="23"/>
      <c r="C30" s="23"/>
      <c r="D30" s="23"/>
      <c r="E30" s="24">
        <f>E31-E32</f>
        <v>2080.8530000000001</v>
      </c>
      <c r="F30" s="22"/>
      <c r="G30" s="23"/>
      <c r="H30" s="23"/>
      <c r="I30" s="24">
        <f t="shared" ref="I30" si="29">I31-I32</f>
        <v>2859.232</v>
      </c>
      <c r="J30" s="22"/>
      <c r="K30" s="23"/>
      <c r="L30" s="23"/>
      <c r="M30" s="24">
        <f t="shared" ref="M30:P30" si="30">M31-M32</f>
        <v>3938.3530000000001</v>
      </c>
      <c r="N30" s="21"/>
      <c r="O30" s="20"/>
      <c r="P30" s="20"/>
      <c r="Q30" s="24">
        <f t="shared" ref="Q30:S30" si="31">Q31-Q32</f>
        <v>-895.83800000000019</v>
      </c>
      <c r="R30" s="21"/>
      <c r="S30" s="20"/>
      <c r="T30" s="20"/>
      <c r="U30" s="24">
        <f t="shared" ref="U30" si="32">U31-U32</f>
        <v>102</v>
      </c>
      <c r="V30" s="21"/>
      <c r="W30" s="20"/>
      <c r="X30" s="24">
        <f t="shared" ref="V30:X30" si="33">X31-X32</f>
        <v>407</v>
      </c>
      <c r="Y30" s="46"/>
    </row>
    <row r="31" spans="1:25" s="8" customFormat="1" x14ac:dyDescent="0.15">
      <c r="A31" s="8" t="s">
        <v>27</v>
      </c>
      <c r="B31" s="23"/>
      <c r="C31" s="23"/>
      <c r="D31" s="23"/>
      <c r="E31" s="23">
        <f>876.56+3111.524</f>
        <v>3988.0839999999998</v>
      </c>
      <c r="F31" s="22"/>
      <c r="G31" s="23"/>
      <c r="H31" s="23"/>
      <c r="I31" s="23">
        <f>1011.315+3749.985</f>
        <v>4761.3</v>
      </c>
      <c r="J31" s="22"/>
      <c r="K31" s="23"/>
      <c r="L31" s="23"/>
      <c r="M31" s="23">
        <f>2306.072+3513.702</f>
        <v>5819.7740000000003</v>
      </c>
      <c r="N31" s="21"/>
      <c r="O31" s="20"/>
      <c r="P31" s="20"/>
      <c r="Q31" s="23">
        <f>1642.775+1586.187</f>
        <v>3228.962</v>
      </c>
      <c r="R31" s="21"/>
      <c r="S31" s="20"/>
      <c r="T31" s="20"/>
      <c r="U31" s="23">
        <v>102</v>
      </c>
      <c r="V31" s="21"/>
      <c r="W31" s="20"/>
      <c r="X31" s="23">
        <v>407</v>
      </c>
      <c r="Y31" s="23"/>
    </row>
    <row r="32" spans="1:25" s="8" customFormat="1" x14ac:dyDescent="0.15">
      <c r="A32" s="8" t="s">
        <v>28</v>
      </c>
      <c r="B32" s="23"/>
      <c r="C32" s="23"/>
      <c r="D32" s="23"/>
      <c r="E32" s="23">
        <v>1907.231</v>
      </c>
      <c r="F32" s="22"/>
      <c r="G32" s="23"/>
      <c r="H32" s="23"/>
      <c r="I32" s="23">
        <v>1902.068</v>
      </c>
      <c r="J32" s="22"/>
      <c r="K32" s="23"/>
      <c r="L32" s="23"/>
      <c r="M32" s="23">
        <v>1881.421</v>
      </c>
      <c r="N32" s="21"/>
      <c r="O32" s="20"/>
      <c r="P32" s="20"/>
      <c r="Q32" s="23">
        <v>4124.8</v>
      </c>
      <c r="R32" s="21"/>
      <c r="S32" s="20"/>
      <c r="T32" s="20"/>
      <c r="U32" s="23">
        <v>0</v>
      </c>
      <c r="V32" s="21"/>
      <c r="W32" s="20"/>
      <c r="X32" s="23">
        <v>0</v>
      </c>
      <c r="Y32" s="23"/>
    </row>
    <row r="33" spans="1:25" s="8" customFormat="1" x14ac:dyDescent="0.15">
      <c r="B33" s="23"/>
      <c r="C33" s="23"/>
      <c r="D33" s="23"/>
      <c r="E33" s="23"/>
      <c r="F33" s="22"/>
      <c r="G33" s="23"/>
      <c r="H33" s="23"/>
      <c r="I33" s="23"/>
      <c r="J33" s="22"/>
      <c r="K33" s="23"/>
      <c r="L33" s="23"/>
      <c r="M33" s="23"/>
      <c r="N33" s="21"/>
      <c r="O33" s="20"/>
      <c r="P33" s="20"/>
      <c r="Q33" s="23"/>
      <c r="R33" s="21"/>
      <c r="S33" s="20"/>
      <c r="T33" s="20"/>
      <c r="U33" s="23"/>
      <c r="V33" s="21"/>
      <c r="W33" s="20"/>
      <c r="X33" s="23"/>
      <c r="Y33" s="23"/>
    </row>
    <row r="34" spans="1:25" s="8" customFormat="1" x14ac:dyDescent="0.15">
      <c r="A34" s="62" t="s">
        <v>52</v>
      </c>
      <c r="B34" s="23"/>
      <c r="C34" s="23"/>
      <c r="D34" s="23"/>
      <c r="E34" s="37">
        <f>5366.881+510.007</f>
        <v>5876.8879999999999</v>
      </c>
      <c r="F34" s="22"/>
      <c r="G34" s="23"/>
      <c r="H34" s="23"/>
      <c r="I34" s="37">
        <f>5406.474+414.405</f>
        <v>5820.8789999999999</v>
      </c>
      <c r="J34" s="22"/>
      <c r="K34" s="23"/>
      <c r="L34" s="23"/>
      <c r="M34" s="37">
        <f>5821.561+385.658</f>
        <v>6207.2190000000001</v>
      </c>
      <c r="N34" s="21"/>
      <c r="O34" s="20"/>
      <c r="P34" s="20"/>
      <c r="Q34" s="23">
        <f>10581.048+2069.001</f>
        <v>12650.049000000001</v>
      </c>
      <c r="R34" s="21"/>
      <c r="S34" s="20"/>
      <c r="T34" s="20"/>
      <c r="U34" s="23">
        <f>51+17</f>
        <v>68</v>
      </c>
      <c r="V34" s="21"/>
      <c r="W34" s="20"/>
      <c r="X34" s="23">
        <f>51+12</f>
        <v>63</v>
      </c>
      <c r="Y34" s="23"/>
    </row>
    <row r="35" spans="1:25" s="8" customFormat="1" x14ac:dyDescent="0.15">
      <c r="A35" s="62" t="s">
        <v>53</v>
      </c>
      <c r="B35" s="23"/>
      <c r="C35" s="23"/>
      <c r="D35" s="23"/>
      <c r="E35" s="37">
        <v>11726.472</v>
      </c>
      <c r="F35" s="22"/>
      <c r="G35" s="23"/>
      <c r="H35" s="23"/>
      <c r="I35" s="37">
        <v>12707.114</v>
      </c>
      <c r="J35" s="22"/>
      <c r="K35" s="23"/>
      <c r="L35" s="23"/>
      <c r="M35" s="37">
        <v>14535.556</v>
      </c>
      <c r="N35" s="21"/>
      <c r="O35" s="20"/>
      <c r="P35" s="20"/>
      <c r="Q35" s="23">
        <v>18768.682000000001</v>
      </c>
      <c r="R35" s="21"/>
      <c r="S35" s="20"/>
      <c r="T35" s="20"/>
      <c r="U35" s="23">
        <v>238</v>
      </c>
      <c r="V35" s="21"/>
      <c r="W35" s="20"/>
      <c r="X35" s="23">
        <v>564</v>
      </c>
      <c r="Y35" s="23"/>
    </row>
    <row r="36" spans="1:25" s="8" customFormat="1" x14ac:dyDescent="0.15">
      <c r="A36" s="62" t="s">
        <v>54</v>
      </c>
      <c r="B36" s="23"/>
      <c r="C36" s="23"/>
      <c r="D36" s="23"/>
      <c r="E36" s="37">
        <v>4724.8919999999998</v>
      </c>
      <c r="F36" s="22"/>
      <c r="G36" s="23"/>
      <c r="H36" s="23"/>
      <c r="I36" s="37">
        <v>5282.2790000000005</v>
      </c>
      <c r="J36" s="22"/>
      <c r="K36" s="23"/>
      <c r="L36" s="23"/>
      <c r="M36" s="37">
        <v>6075.6869999999999</v>
      </c>
      <c r="N36" s="21"/>
      <c r="O36" s="20"/>
      <c r="P36" s="20"/>
      <c r="Q36" s="23">
        <v>9406.5679999999993</v>
      </c>
      <c r="R36" s="21"/>
      <c r="S36" s="20"/>
      <c r="T36" s="20"/>
      <c r="U36" s="23">
        <v>118</v>
      </c>
      <c r="V36" s="21"/>
      <c r="W36" s="20"/>
      <c r="X36" s="23">
        <v>125</v>
      </c>
      <c r="Y36" s="23"/>
    </row>
    <row r="37" spans="1:25" s="8" customFormat="1" x14ac:dyDescent="0.15">
      <c r="B37" s="23"/>
      <c r="C37" s="23"/>
      <c r="D37" s="23"/>
      <c r="E37" s="37"/>
      <c r="F37" s="22"/>
      <c r="G37" s="23"/>
      <c r="H37" s="23"/>
      <c r="I37" s="37"/>
      <c r="J37" s="22"/>
      <c r="K37" s="23"/>
      <c r="L37" s="23"/>
      <c r="M37" s="37"/>
      <c r="N37" s="21"/>
      <c r="O37" s="20"/>
      <c r="P37" s="20"/>
      <c r="Q37" s="23"/>
      <c r="R37" s="21"/>
      <c r="S37" s="20"/>
      <c r="T37" s="20"/>
      <c r="U37" s="23"/>
      <c r="V37" s="21"/>
      <c r="W37" s="20"/>
      <c r="X37" s="23"/>
      <c r="Y37" s="23"/>
    </row>
    <row r="38" spans="1:25" s="8" customFormat="1" x14ac:dyDescent="0.15">
      <c r="A38" s="62" t="s">
        <v>55</v>
      </c>
      <c r="B38" s="23"/>
      <c r="C38" s="23"/>
      <c r="D38" s="23"/>
      <c r="E38" s="26">
        <f>E35-E31-E34</f>
        <v>1861.5</v>
      </c>
      <c r="F38" s="22"/>
      <c r="G38" s="23"/>
      <c r="H38" s="23"/>
      <c r="I38" s="26">
        <f t="shared" ref="I38:O38" si="34">I35-I31-I34</f>
        <v>2124.9349999999995</v>
      </c>
      <c r="J38" s="22"/>
      <c r="K38" s="23"/>
      <c r="L38" s="23"/>
      <c r="M38" s="26">
        <f t="shared" si="34"/>
        <v>2508.5629999999992</v>
      </c>
      <c r="N38" s="21"/>
      <c r="O38" s="20"/>
      <c r="P38" s="20"/>
      <c r="Q38" s="26">
        <f t="shared" ref="P38:V38" si="35">Q35-Q31-Q34</f>
        <v>2889.6710000000003</v>
      </c>
      <c r="R38" s="21"/>
      <c r="S38" s="20"/>
      <c r="T38" s="20"/>
      <c r="U38" s="26">
        <f t="shared" si="35"/>
        <v>68</v>
      </c>
      <c r="V38" s="21"/>
      <c r="W38" s="20"/>
      <c r="X38" s="26">
        <f t="shared" ref="W38:X38" si="36">X35-X31-X34</f>
        <v>94</v>
      </c>
      <c r="Y38" s="23"/>
    </row>
    <row r="39" spans="1:25" s="8" customFormat="1" x14ac:dyDescent="0.15">
      <c r="A39" s="62" t="s">
        <v>56</v>
      </c>
      <c r="B39" s="23"/>
      <c r="C39" s="23"/>
      <c r="D39" s="23"/>
      <c r="E39" s="26">
        <f>E35-E36</f>
        <v>7001.58</v>
      </c>
      <c r="F39" s="22"/>
      <c r="G39" s="23"/>
      <c r="H39" s="23"/>
      <c r="I39" s="26">
        <f>I35-I36</f>
        <v>7424.8349999999991</v>
      </c>
      <c r="J39" s="22"/>
      <c r="K39" s="23"/>
      <c r="L39" s="23"/>
      <c r="M39" s="26">
        <f t="shared" ref="M39:P39" si="37">M35-M36</f>
        <v>8459.8690000000006</v>
      </c>
      <c r="N39" s="21"/>
      <c r="O39" s="20"/>
      <c r="P39" s="20"/>
      <c r="Q39" s="26">
        <f t="shared" ref="Q39:S39" si="38">Q35-Q36</f>
        <v>9362.1140000000014</v>
      </c>
      <c r="R39" s="21"/>
      <c r="S39" s="20"/>
      <c r="T39" s="20"/>
      <c r="U39" s="26">
        <f>U35-U36</f>
        <v>120</v>
      </c>
      <c r="V39" s="21"/>
      <c r="W39" s="20"/>
      <c r="X39" s="26">
        <f>X35-X36</f>
        <v>439</v>
      </c>
      <c r="Y39" s="23"/>
    </row>
    <row r="40" spans="1:25" s="8" customFormat="1" x14ac:dyDescent="0.15">
      <c r="B40" s="23"/>
      <c r="C40" s="23"/>
      <c r="D40" s="23"/>
      <c r="E40" s="37"/>
      <c r="F40" s="22"/>
      <c r="G40" s="23"/>
      <c r="H40" s="23"/>
      <c r="I40" s="37"/>
      <c r="J40" s="22"/>
      <c r="K40" s="23"/>
      <c r="L40" s="23"/>
      <c r="M40" s="37"/>
      <c r="N40" s="21"/>
      <c r="O40" s="20"/>
      <c r="P40" s="20"/>
      <c r="Q40" s="23"/>
      <c r="R40" s="21"/>
      <c r="S40" s="20"/>
      <c r="T40" s="20"/>
      <c r="U40" s="23"/>
      <c r="V40" s="21"/>
      <c r="W40" s="20"/>
      <c r="X40" s="23"/>
      <c r="Y40" s="23"/>
    </row>
    <row r="41" spans="1:25" s="17" customFormat="1" x14ac:dyDescent="0.15">
      <c r="A41" s="63" t="s">
        <v>57</v>
      </c>
      <c r="B41" s="46"/>
      <c r="C41" s="46"/>
      <c r="D41" s="46"/>
      <c r="E41" s="24">
        <f>SUM(B16:E16)</f>
        <v>-4165.96</v>
      </c>
      <c r="F41" s="22"/>
      <c r="G41" s="23"/>
      <c r="H41" s="23"/>
      <c r="I41" s="24">
        <f>SUM(F16:I16)</f>
        <v>-4685.6480000000001</v>
      </c>
      <c r="J41" s="22"/>
      <c r="K41" s="23"/>
      <c r="L41" s="23"/>
      <c r="M41" s="24">
        <f t="shared" ref="M41:U41" si="39">SUM(J16:M16)</f>
        <v>-5607.5510000000004</v>
      </c>
      <c r="N41" s="21"/>
      <c r="O41" s="20"/>
      <c r="P41" s="20"/>
      <c r="Q41" s="24">
        <f t="shared" si="39"/>
        <v>-6439.2340000000004</v>
      </c>
      <c r="R41" s="21"/>
      <c r="S41" s="20"/>
      <c r="T41" s="20"/>
      <c r="U41" s="24">
        <f t="shared" si="39"/>
        <v>-6206.174</v>
      </c>
      <c r="V41" s="21"/>
      <c r="W41" s="20"/>
      <c r="X41" s="24">
        <f>SUM(U16:X16)</f>
        <v>-6327.8160000000007</v>
      </c>
      <c r="Y41" s="46"/>
    </row>
    <row r="42" spans="1:25" x14ac:dyDescent="0.15">
      <c r="A42" s="18" t="s">
        <v>58</v>
      </c>
      <c r="E42" s="33">
        <f>E16/E39</f>
        <v>-0.15477920697899614</v>
      </c>
      <c r="I42" s="33">
        <f t="shared" ref="I42:O42" si="40">I41/I39</f>
        <v>-0.63107772765320724</v>
      </c>
      <c r="J42" s="22"/>
      <c r="K42" s="23"/>
      <c r="L42" s="23"/>
      <c r="M42" s="33">
        <f t="shared" si="40"/>
        <v>-0.66284135132588928</v>
      </c>
      <c r="Q42" s="33">
        <f t="shared" ref="P42:V42" si="41">Q41/Q39</f>
        <v>-0.68779700823980561</v>
      </c>
      <c r="U42" s="33">
        <f t="shared" si="41"/>
        <v>-51.718116666666667</v>
      </c>
      <c r="X42" s="33">
        <f t="shared" ref="W42:X42" si="42">X41/X39</f>
        <v>-14.414159453302963</v>
      </c>
    </row>
    <row r="43" spans="1:25" x14ac:dyDescent="0.15">
      <c r="A43" s="18" t="s">
        <v>59</v>
      </c>
      <c r="E43" s="33">
        <f>E16/E35</f>
        <v>-9.2414751853754473E-2</v>
      </c>
      <c r="I43" s="33">
        <f t="shared" ref="I43:O43" si="43">I41/I35</f>
        <v>-0.36874210776734989</v>
      </c>
      <c r="J43" s="22"/>
      <c r="K43" s="23"/>
      <c r="L43" s="23"/>
      <c r="M43" s="33">
        <f t="shared" si="43"/>
        <v>-0.3857816653177904</v>
      </c>
      <c r="Q43" s="33">
        <f t="shared" ref="P43:V43" si="44">Q41/Q35</f>
        <v>-0.34308397361093335</v>
      </c>
      <c r="U43" s="33">
        <f t="shared" si="44"/>
        <v>-26.076361344537816</v>
      </c>
      <c r="X43" s="33">
        <f t="shared" ref="W43:X43" si="45">X41/X35</f>
        <v>-11.219531914893619</v>
      </c>
    </row>
    <row r="44" spans="1:25" x14ac:dyDescent="0.15">
      <c r="A44" s="18" t="s">
        <v>60</v>
      </c>
      <c r="E44" s="33">
        <f>E16/(E39-E34)</f>
        <v>-0.96355179907032307</v>
      </c>
      <c r="I44" s="33">
        <f t="shared" ref="I44:O44" si="46">I41/(I39-I34)</f>
        <v>-2.9213070682736948</v>
      </c>
      <c r="J44" s="22"/>
      <c r="K44" s="23"/>
      <c r="L44" s="23"/>
      <c r="M44" s="33">
        <f t="shared" si="46"/>
        <v>-2.4893130313186687</v>
      </c>
      <c r="Q44" s="33">
        <f t="shared" ref="P44:V44" si="47">Q41/(Q39-Q34)</f>
        <v>1.9584432173993711</v>
      </c>
      <c r="U44" s="33">
        <f t="shared" si="47"/>
        <v>-119.34950000000001</v>
      </c>
      <c r="X44" s="33">
        <f t="shared" ref="W44:X44" si="48">X41/(X39-X34)</f>
        <v>-16.829297872340426</v>
      </c>
    </row>
    <row r="45" spans="1:25" x14ac:dyDescent="0.15">
      <c r="A45" s="18" t="s">
        <v>61</v>
      </c>
      <c r="E45" s="33">
        <f>E16/E38</f>
        <v>-0.58216438356164379</v>
      </c>
      <c r="I45" s="33">
        <f t="shared" ref="I45:O45" si="49">I41/I38</f>
        <v>-2.2050782729824685</v>
      </c>
      <c r="J45" s="22"/>
      <c r="K45" s="23"/>
      <c r="L45" s="23"/>
      <c r="M45" s="33">
        <f t="shared" si="49"/>
        <v>-2.235363831803308</v>
      </c>
      <c r="Q45" s="33">
        <f t="shared" ref="P45:V45" si="50">Q41/Q38</f>
        <v>-2.2283623291371231</v>
      </c>
      <c r="U45" s="33">
        <f t="shared" si="50"/>
        <v>-91.267264705882354</v>
      </c>
      <c r="X45" s="33">
        <f t="shared" ref="W45:X45" si="51">X41/X38</f>
        <v>-67.317191489361704</v>
      </c>
    </row>
    <row r="47" spans="1:25" x14ac:dyDescent="0.15">
      <c r="A47" s="6" t="s">
        <v>80</v>
      </c>
      <c r="F47" s="34" t="e">
        <f>F3/B3-1</f>
        <v>#DIV/0!</v>
      </c>
      <c r="G47" s="33" t="e">
        <f>G3/C3-1</f>
        <v>#DIV/0!</v>
      </c>
      <c r="H47" s="33" t="e">
        <f>H3/D3-1</f>
        <v>#DIV/0!</v>
      </c>
      <c r="I47" s="33" t="e">
        <f>I3/E3-1</f>
        <v>#DIV/0!</v>
      </c>
      <c r="J47" s="34" t="e">
        <f>J3/F3-1</f>
        <v>#DIV/0!</v>
      </c>
      <c r="K47" s="33" t="e">
        <f>K3/G3-1</f>
        <v>#DIV/0!</v>
      </c>
      <c r="L47" s="33" t="e">
        <f>L3/H3-1</f>
        <v>#DIV/0!</v>
      </c>
      <c r="M47" s="33" t="e">
        <f>M3/I3-1</f>
        <v>#DIV/0!</v>
      </c>
      <c r="N47" s="34" t="e">
        <f>N3/J3-1</f>
        <v>#DIV/0!</v>
      </c>
      <c r="O47" s="33" t="e">
        <f>O3/K3-1</f>
        <v>#DIV/0!</v>
      </c>
      <c r="P47" s="33" t="e">
        <f>P3/L3-1</f>
        <v>#DIV/0!</v>
      </c>
      <c r="Q47" s="33" t="e">
        <f>Q3/M3-1</f>
        <v>#DIV/0!</v>
      </c>
      <c r="R47" s="34" t="e">
        <f>R3/N3-1</f>
        <v>#DIV/0!</v>
      </c>
      <c r="S47" s="33" t="e">
        <f>S3/O3-1</f>
        <v>#DIV/0!</v>
      </c>
      <c r="T47" s="33" t="e">
        <f>T3/P3-1</f>
        <v>#DIV/0!</v>
      </c>
      <c r="U47" s="33" t="e">
        <f>U3/Q3-1</f>
        <v>#DIV/0!</v>
      </c>
      <c r="V47" s="34" t="e">
        <f>V3/R3-1</f>
        <v>#DIV/0!</v>
      </c>
      <c r="W47" s="33" t="e">
        <f>W3/S3-1</f>
        <v>#DIV/0!</v>
      </c>
      <c r="X47" s="33">
        <f>X3/T3-1</f>
        <v>0.28028040382099584</v>
      </c>
      <c r="Y47" s="33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6"/>
  <sheetViews>
    <sheetView zoomScale="130" zoomScaleNormal="130" workbookViewId="0">
      <selection activeCell="B7" sqref="B7"/>
    </sheetView>
  </sheetViews>
  <sheetFormatPr baseColWidth="10" defaultRowHeight="13" x14ac:dyDescent="0.15"/>
  <cols>
    <col min="1" max="1" width="10.83203125" style="3"/>
    <col min="2" max="2" width="10.5" style="3" bestFit="1" customWidth="1"/>
    <col min="3" max="16384" width="10.83203125" style="3"/>
  </cols>
  <sheetData>
    <row r="4" spans="2:3" x14ac:dyDescent="0.15">
      <c r="B4" s="68" t="s">
        <v>81</v>
      </c>
    </row>
    <row r="6" spans="2:3" x14ac:dyDescent="0.15">
      <c r="B6" s="3" t="s">
        <v>82</v>
      </c>
      <c r="C6" s="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2021-01-28T23:06:15Z</dcterms:modified>
</cp:coreProperties>
</file>