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FFFCABE7-7BFD-0349-BF6C-F2889A5E41CF}" xr6:coauthVersionLast="46" xr6:coauthVersionMax="46" xr10:uidLastSave="{00000000-0000-0000-0000-000000000000}"/>
  <bookViews>
    <workbookView xWindow="-68800" yWindow="-5940" windowWidth="28240" windowHeight="26740" tabRatio="500" xr2:uid="{00000000-000D-0000-FFFF-FFFF00000000}"/>
  </bookViews>
  <sheets>
    <sheet name="Main" sheetId="2" r:id="rId1"/>
    <sheet name="Reports" sheetId="1" r:id="rId2"/>
    <sheet name="Product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8" i="2" l="1"/>
  <c r="T18" i="2" s="1"/>
  <c r="U18" i="2" s="1"/>
  <c r="V18" i="2" s="1"/>
  <c r="R18" i="2"/>
  <c r="S17" i="2"/>
  <c r="T17" i="2" s="1"/>
  <c r="U17" i="2" s="1"/>
  <c r="V17" i="2" s="1"/>
  <c r="R17" i="2"/>
  <c r="M18" i="2"/>
  <c r="N17" i="2"/>
  <c r="O17" i="2"/>
  <c r="P17" i="2"/>
  <c r="Q17" i="2"/>
  <c r="N18" i="2"/>
  <c r="O18" i="2" s="1"/>
  <c r="P18" i="2" s="1"/>
  <c r="Q18" i="2" s="1"/>
  <c r="N19" i="2"/>
  <c r="O19" i="2"/>
  <c r="P19" i="2"/>
  <c r="Q19" i="2"/>
  <c r="M19" i="2"/>
  <c r="I19" i="2"/>
  <c r="J19" i="2" s="1"/>
  <c r="K19" i="2" s="1"/>
  <c r="L19" i="2" s="1"/>
  <c r="I18" i="2"/>
  <c r="J18" i="2" s="1"/>
  <c r="K18" i="2" s="1"/>
  <c r="L18" i="2" s="1"/>
  <c r="I17" i="2"/>
  <c r="J17" i="2" s="1"/>
  <c r="K17" i="2" s="1"/>
  <c r="L17" i="2" s="1"/>
  <c r="H17" i="2"/>
  <c r="H18" i="2"/>
  <c r="Q14" i="2"/>
  <c r="H19" i="2"/>
  <c r="L14" i="2"/>
  <c r="I12" i="2"/>
  <c r="J12" i="2" s="1"/>
  <c r="K12" i="2" s="1"/>
  <c r="L12" i="2" s="1"/>
  <c r="H12" i="2"/>
  <c r="I11" i="2"/>
  <c r="J11" i="2" s="1"/>
  <c r="K11" i="2" s="1"/>
  <c r="L11" i="2" s="1"/>
  <c r="H11" i="2"/>
  <c r="I10" i="2"/>
  <c r="J10" i="2" s="1"/>
  <c r="K10" i="2" s="1"/>
  <c r="L10" i="2" s="1"/>
  <c r="H10" i="2"/>
  <c r="V27" i="2"/>
  <c r="V9" i="2"/>
  <c r="G45" i="2"/>
  <c r="G44" i="2"/>
  <c r="G48" i="2" s="1"/>
  <c r="G43" i="2"/>
  <c r="G41" i="2"/>
  <c r="G39" i="2" s="1"/>
  <c r="G40" i="2"/>
  <c r="G27" i="2"/>
  <c r="G20" i="2"/>
  <c r="G14" i="2"/>
  <c r="G16" i="2" s="1"/>
  <c r="G24" i="2"/>
  <c r="G22" i="2"/>
  <c r="G19" i="2"/>
  <c r="G18" i="2"/>
  <c r="G17" i="2"/>
  <c r="G15" i="2"/>
  <c r="G12" i="2"/>
  <c r="G11" i="2"/>
  <c r="G10" i="2"/>
  <c r="C5" i="2"/>
  <c r="C3" i="2"/>
  <c r="Y52" i="1"/>
  <c r="Y51" i="1"/>
  <c r="Y50" i="1"/>
  <c r="Y44" i="1"/>
  <c r="Y48" i="1" s="1"/>
  <c r="Y42" i="1"/>
  <c r="Y41" i="1"/>
  <c r="Y37" i="1"/>
  <c r="Y34" i="1"/>
  <c r="Y17" i="1"/>
  <c r="Y18" i="1" s="1"/>
  <c r="Y33" i="1"/>
  <c r="Y31" i="1"/>
  <c r="Y30" i="1"/>
  <c r="Y29" i="1"/>
  <c r="Y28" i="1"/>
  <c r="Y27" i="1"/>
  <c r="Y24" i="1"/>
  <c r="Y23" i="1"/>
  <c r="Y16" i="1"/>
  <c r="Y15" i="1"/>
  <c r="Y13" i="1"/>
  <c r="Y14" i="1" s="1"/>
  <c r="Y12" i="1"/>
  <c r="Y9" i="1"/>
  <c r="Y7" i="1"/>
  <c r="F4" i="2"/>
  <c r="G21" i="2" l="1"/>
  <c r="G23" i="2" s="1"/>
  <c r="G47" i="2"/>
  <c r="Y45" i="1"/>
  <c r="Y46" i="1"/>
  <c r="Y47" i="1"/>
  <c r="Y19" i="1"/>
  <c r="Y20" i="1" s="1"/>
  <c r="Y25" i="1"/>
  <c r="L57" i="2"/>
  <c r="M17" i="2"/>
  <c r="L55" i="2"/>
  <c r="X52" i="1"/>
  <c r="X51" i="1"/>
  <c r="X50" i="1"/>
  <c r="X42" i="1"/>
  <c r="X37" i="1"/>
  <c r="X34" i="1"/>
  <c r="X33" i="1" s="1"/>
  <c r="X29" i="1"/>
  <c r="X28" i="1"/>
  <c r="X12" i="1"/>
  <c r="X13" i="1" s="1"/>
  <c r="X7" i="1"/>
  <c r="X9" i="1" s="1"/>
  <c r="Q34" i="2" l="1"/>
  <c r="X14" i="1"/>
  <c r="X23" i="1"/>
  <c r="X41" i="1"/>
  <c r="W52" i="1"/>
  <c r="W51" i="1"/>
  <c r="W50" i="1"/>
  <c r="W42" i="1"/>
  <c r="W37" i="1"/>
  <c r="W34" i="1"/>
  <c r="W33" i="1"/>
  <c r="W29" i="1"/>
  <c r="W28" i="1"/>
  <c r="W15" i="1"/>
  <c r="W12" i="1"/>
  <c r="W7" i="1"/>
  <c r="W9" i="1" s="1"/>
  <c r="W23" i="1" s="1"/>
  <c r="R34" i="2" l="1"/>
  <c r="W41" i="1"/>
  <c r="W13" i="1"/>
  <c r="X16" i="1"/>
  <c r="X24" i="1"/>
  <c r="F45" i="2"/>
  <c r="F44" i="2"/>
  <c r="F27" i="2"/>
  <c r="F24" i="2"/>
  <c r="F22" i="2"/>
  <c r="F18" i="2"/>
  <c r="F17" i="2"/>
  <c r="F15" i="2"/>
  <c r="F12" i="2"/>
  <c r="F11" i="2"/>
  <c r="G56" i="2" s="1"/>
  <c r="F10" i="2"/>
  <c r="V37" i="1"/>
  <c r="V34" i="1"/>
  <c r="V12" i="1"/>
  <c r="U37" i="1"/>
  <c r="U35" i="1"/>
  <c r="U34" i="1"/>
  <c r="F40" i="2" s="1"/>
  <c r="U12" i="1"/>
  <c r="U52" i="1"/>
  <c r="U51" i="1"/>
  <c r="U50" i="1"/>
  <c r="U42" i="1"/>
  <c r="U29" i="1"/>
  <c r="U28" i="1"/>
  <c r="U13" i="1"/>
  <c r="U7" i="1"/>
  <c r="V34" i="2" l="1"/>
  <c r="F48" i="2"/>
  <c r="U33" i="1"/>
  <c r="V41" i="1"/>
  <c r="X19" i="1"/>
  <c r="X20" i="1" s="1"/>
  <c r="X25" i="1"/>
  <c r="U41" i="1"/>
  <c r="F41" i="2"/>
  <c r="F39" i="2" s="1"/>
  <c r="W14" i="1"/>
  <c r="U9" i="1"/>
  <c r="U23" i="1" s="1"/>
  <c r="F43" i="2"/>
  <c r="G34" i="2"/>
  <c r="F14" i="2"/>
  <c r="L56" i="2"/>
  <c r="T34" i="2" l="1"/>
  <c r="S34" i="2"/>
  <c r="U34" i="2"/>
  <c r="W24" i="1"/>
  <c r="W16" i="1"/>
  <c r="U14" i="1"/>
  <c r="F47" i="2"/>
  <c r="F16" i="2"/>
  <c r="U24" i="1" l="1"/>
  <c r="U16" i="1"/>
  <c r="W25" i="1"/>
  <c r="W19" i="1"/>
  <c r="W20" i="1" s="1"/>
  <c r="Q35" i="2" l="1"/>
  <c r="U19" i="1"/>
  <c r="U25" i="1"/>
  <c r="R35" i="2" l="1"/>
  <c r="U20" i="1"/>
  <c r="T42" i="1"/>
  <c r="T37" i="1"/>
  <c r="T35" i="1"/>
  <c r="T34" i="1"/>
  <c r="T52" i="1"/>
  <c r="T51" i="1"/>
  <c r="T50" i="1"/>
  <c r="T12" i="1"/>
  <c r="X30" i="1" s="1"/>
  <c r="T7" i="1"/>
  <c r="X27" i="1" s="1"/>
  <c r="V52" i="1"/>
  <c r="V51" i="1"/>
  <c r="V50" i="1"/>
  <c r="V42" i="1"/>
  <c r="V29" i="1"/>
  <c r="V28" i="1"/>
  <c r="V13" i="1"/>
  <c r="V7" i="1"/>
  <c r="S35" i="2" l="1"/>
  <c r="T9" i="1"/>
  <c r="T13" i="1"/>
  <c r="T33" i="1"/>
  <c r="T41" i="1"/>
  <c r="V9" i="1"/>
  <c r="V33" i="1"/>
  <c r="C4" i="2"/>
  <c r="T28" i="1"/>
  <c r="T29" i="1"/>
  <c r="S37" i="1"/>
  <c r="S35" i="1"/>
  <c r="S34" i="1"/>
  <c r="S12" i="1"/>
  <c r="W30" i="1" s="1"/>
  <c r="S52" i="1"/>
  <c r="S51" i="1"/>
  <c r="S50" i="1"/>
  <c r="S42" i="1"/>
  <c r="S29" i="1"/>
  <c r="S28" i="1"/>
  <c r="S7" i="1"/>
  <c r="E18" i="2"/>
  <c r="E17" i="2"/>
  <c r="E15" i="2"/>
  <c r="E12" i="2"/>
  <c r="F57" i="2" s="1"/>
  <c r="E11" i="2"/>
  <c r="F56" i="2" s="1"/>
  <c r="E10" i="2"/>
  <c r="F55" i="2" s="1"/>
  <c r="D24" i="2"/>
  <c r="D22" i="2"/>
  <c r="D17" i="2"/>
  <c r="D18" i="2"/>
  <c r="D15" i="2"/>
  <c r="D12" i="2"/>
  <c r="D11" i="2"/>
  <c r="D10" i="2"/>
  <c r="C18" i="2"/>
  <c r="C17" i="2"/>
  <c r="C15" i="2"/>
  <c r="C12" i="2"/>
  <c r="C11" i="2"/>
  <c r="C10" i="2"/>
  <c r="C14" i="2" s="1"/>
  <c r="B24" i="2"/>
  <c r="B22" i="2"/>
  <c r="B18" i="2"/>
  <c r="B17" i="2"/>
  <c r="B15" i="2"/>
  <c r="B12" i="2"/>
  <c r="B11" i="2"/>
  <c r="B10" i="2"/>
  <c r="B12" i="1"/>
  <c r="B13" i="1" s="1"/>
  <c r="F12" i="1"/>
  <c r="C12" i="1"/>
  <c r="C13" i="1" s="1"/>
  <c r="G12" i="1"/>
  <c r="G13" i="1" s="1"/>
  <c r="C7" i="1"/>
  <c r="C9" i="1" s="1"/>
  <c r="C14" i="1" s="1"/>
  <c r="F7" i="1"/>
  <c r="F9" i="1" s="1"/>
  <c r="G7" i="1"/>
  <c r="G27" i="1" s="1"/>
  <c r="F50" i="1"/>
  <c r="G50" i="1"/>
  <c r="H50" i="1"/>
  <c r="F51" i="1"/>
  <c r="G51" i="1"/>
  <c r="H51" i="1"/>
  <c r="F52" i="1"/>
  <c r="G52" i="1"/>
  <c r="H52" i="1"/>
  <c r="D12" i="1"/>
  <c r="D13" i="1" s="1"/>
  <c r="H12" i="1"/>
  <c r="H13" i="1" s="1"/>
  <c r="H7" i="1"/>
  <c r="E37" i="1"/>
  <c r="B43" i="2" s="1"/>
  <c r="E34" i="1"/>
  <c r="B40" i="2" s="1"/>
  <c r="I37" i="1"/>
  <c r="I34" i="1"/>
  <c r="C40" i="2" s="1"/>
  <c r="E12" i="1"/>
  <c r="E13" i="1" s="1"/>
  <c r="I12" i="1"/>
  <c r="I13" i="1" s="1"/>
  <c r="J12" i="1"/>
  <c r="N37" i="1"/>
  <c r="N34" i="1"/>
  <c r="N33" i="1" s="1"/>
  <c r="O37" i="1"/>
  <c r="O34" i="1"/>
  <c r="O33" i="1" s="1"/>
  <c r="K12" i="1"/>
  <c r="O12" i="1"/>
  <c r="O13" i="1" s="1"/>
  <c r="P37" i="1"/>
  <c r="P34" i="1"/>
  <c r="P33" i="1" s="1"/>
  <c r="L12" i="1"/>
  <c r="L13" i="1" s="1"/>
  <c r="L31" i="1" s="1"/>
  <c r="P12" i="1"/>
  <c r="P13" i="1" s="1"/>
  <c r="M37" i="1"/>
  <c r="D43" i="2" s="1"/>
  <c r="M34" i="1"/>
  <c r="D40" i="2" s="1"/>
  <c r="M12" i="1"/>
  <c r="M13" i="1" s="1"/>
  <c r="M31" i="1" s="1"/>
  <c r="Q12" i="1"/>
  <c r="U30" i="1" s="1"/>
  <c r="Q37" i="1"/>
  <c r="Q34" i="1"/>
  <c r="E40" i="2" s="1"/>
  <c r="R37" i="1"/>
  <c r="R35" i="1"/>
  <c r="R34" i="1"/>
  <c r="R41" i="1" s="1"/>
  <c r="R52" i="1"/>
  <c r="R51" i="1"/>
  <c r="R50" i="1"/>
  <c r="Q7" i="1"/>
  <c r="P7" i="1"/>
  <c r="P9" i="1" s="1"/>
  <c r="P23" i="1" s="1"/>
  <c r="O7" i="1"/>
  <c r="O9" i="1" s="1"/>
  <c r="R42" i="1"/>
  <c r="N12" i="1"/>
  <c r="N13" i="1" s="1"/>
  <c r="R29" i="1"/>
  <c r="R28" i="1"/>
  <c r="N7" i="1"/>
  <c r="N9" i="1" s="1"/>
  <c r="N23" i="1" s="1"/>
  <c r="R7" i="1"/>
  <c r="R9" i="1"/>
  <c r="R12" i="1"/>
  <c r="V30" i="1" s="1"/>
  <c r="J13" i="1"/>
  <c r="E44" i="2"/>
  <c r="E43" i="2"/>
  <c r="E22" i="2"/>
  <c r="E24" i="2"/>
  <c r="Q42" i="1"/>
  <c r="E41" i="2"/>
  <c r="E45" i="2"/>
  <c r="E27" i="2"/>
  <c r="M7" i="1"/>
  <c r="M9" i="1"/>
  <c r="I7" i="1"/>
  <c r="D41" i="2"/>
  <c r="Q52" i="1"/>
  <c r="P52" i="1"/>
  <c r="O52" i="1"/>
  <c r="N52" i="1"/>
  <c r="M52" i="1"/>
  <c r="L52" i="1"/>
  <c r="K52" i="1"/>
  <c r="J52" i="1"/>
  <c r="I52" i="1"/>
  <c r="Q51" i="1"/>
  <c r="P51" i="1"/>
  <c r="O51" i="1"/>
  <c r="N51" i="1"/>
  <c r="M51" i="1"/>
  <c r="L51" i="1"/>
  <c r="K51" i="1"/>
  <c r="J51" i="1"/>
  <c r="I51" i="1"/>
  <c r="Q50" i="1"/>
  <c r="P50" i="1"/>
  <c r="O50" i="1"/>
  <c r="N50" i="1"/>
  <c r="M50" i="1"/>
  <c r="L50" i="1"/>
  <c r="K50" i="1"/>
  <c r="J50" i="1"/>
  <c r="I50" i="1"/>
  <c r="E7" i="1"/>
  <c r="E9" i="1" s="1"/>
  <c r="E42" i="1"/>
  <c r="B44" i="2"/>
  <c r="B45" i="2"/>
  <c r="P42" i="1"/>
  <c r="C22" i="2"/>
  <c r="C24" i="2"/>
  <c r="C44" i="2"/>
  <c r="C45" i="2"/>
  <c r="B41" i="2"/>
  <c r="B27" i="2"/>
  <c r="C41" i="2"/>
  <c r="D44" i="2"/>
  <c r="D45" i="2"/>
  <c r="J7" i="1"/>
  <c r="J9" i="1"/>
  <c r="K7" i="1"/>
  <c r="L7" i="1"/>
  <c r="I42" i="1"/>
  <c r="M42" i="1"/>
  <c r="B7" i="1"/>
  <c r="B9" i="1"/>
  <c r="B23" i="1" s="1"/>
  <c r="D7" i="1"/>
  <c r="D9" i="1" s="1"/>
  <c r="O42" i="1"/>
  <c r="N41" i="1"/>
  <c r="N42" i="1"/>
  <c r="Q29" i="1"/>
  <c r="Q28" i="1"/>
  <c r="N29" i="1"/>
  <c r="N28" i="1"/>
  <c r="O29" i="1"/>
  <c r="O28" i="1"/>
  <c r="P29" i="1"/>
  <c r="P28" i="1"/>
  <c r="D27" i="2"/>
  <c r="C27" i="2"/>
  <c r="H27" i="2"/>
  <c r="I27" i="2" s="1"/>
  <c r="J27" i="2" s="1"/>
  <c r="K27" i="2" s="1"/>
  <c r="L27" i="2" s="1"/>
  <c r="M27" i="2" s="1"/>
  <c r="N27" i="2" s="1"/>
  <c r="O27" i="2" s="1"/>
  <c r="P27" i="2" s="1"/>
  <c r="Q27" i="2" s="1"/>
  <c r="R27" i="2" s="1"/>
  <c r="S27" i="2" s="1"/>
  <c r="T27" i="2" s="1"/>
  <c r="U27" i="2" s="1"/>
  <c r="F28" i="1"/>
  <c r="I28" i="1"/>
  <c r="M28" i="1"/>
  <c r="K28" i="1"/>
  <c r="J28" i="1"/>
  <c r="H28" i="1"/>
  <c r="L28" i="1"/>
  <c r="H29" i="1"/>
  <c r="I29" i="1"/>
  <c r="J29" i="1"/>
  <c r="K29" i="1"/>
  <c r="L29" i="1"/>
  <c r="M29" i="1"/>
  <c r="L30" i="1"/>
  <c r="G29" i="1"/>
  <c r="G28" i="1"/>
  <c r="F29" i="1"/>
  <c r="M23" i="1"/>
  <c r="I27" i="1"/>
  <c r="E9" i="2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U9" i="2" s="1"/>
  <c r="T35" i="2" l="1"/>
  <c r="S41" i="1"/>
  <c r="S33" i="1"/>
  <c r="R27" i="1"/>
  <c r="L27" i="1"/>
  <c r="Q41" i="1"/>
  <c r="J30" i="1"/>
  <c r="B14" i="2"/>
  <c r="B16" i="2" s="1"/>
  <c r="B29" i="2" s="1"/>
  <c r="M30" i="1"/>
  <c r="I33" i="1"/>
  <c r="S9" i="1"/>
  <c r="S23" i="1" s="1"/>
  <c r="W27" i="1"/>
  <c r="Q9" i="1"/>
  <c r="Q23" i="1" s="1"/>
  <c r="U27" i="1"/>
  <c r="P41" i="1"/>
  <c r="D14" i="2"/>
  <c r="D16" i="2" s="1"/>
  <c r="D29" i="2" s="1"/>
  <c r="D19" i="2"/>
  <c r="D20" i="2" s="1"/>
  <c r="K27" i="1"/>
  <c r="R13" i="1"/>
  <c r="V31" i="1" s="1"/>
  <c r="F19" i="2"/>
  <c r="I30" i="1"/>
  <c r="P30" i="1"/>
  <c r="H9" i="1"/>
  <c r="H23" i="1" s="1"/>
  <c r="F27" i="1"/>
  <c r="N30" i="1"/>
  <c r="J27" i="1"/>
  <c r="Q13" i="1"/>
  <c r="J14" i="1"/>
  <c r="J24" i="1" s="1"/>
  <c r="C35" i="2"/>
  <c r="V27" i="1"/>
  <c r="P27" i="1"/>
  <c r="G30" i="1"/>
  <c r="Q30" i="1"/>
  <c r="T14" i="1"/>
  <c r="T16" i="1" s="1"/>
  <c r="T19" i="1" s="1"/>
  <c r="X31" i="1"/>
  <c r="C48" i="2"/>
  <c r="E34" i="2"/>
  <c r="E39" i="2"/>
  <c r="E56" i="2"/>
  <c r="B39" i="2"/>
  <c r="E57" i="2"/>
  <c r="D48" i="2"/>
  <c r="C56" i="2"/>
  <c r="E35" i="2"/>
  <c r="V14" i="1"/>
  <c r="V23" i="1"/>
  <c r="O14" i="1"/>
  <c r="O16" i="1" s="1"/>
  <c r="O23" i="1"/>
  <c r="C39" i="2"/>
  <c r="E55" i="2"/>
  <c r="O30" i="1"/>
  <c r="K30" i="1"/>
  <c r="D57" i="2"/>
  <c r="M27" i="1"/>
  <c r="E48" i="2"/>
  <c r="E47" i="2"/>
  <c r="O41" i="1"/>
  <c r="M14" i="1"/>
  <c r="M24" i="1" s="1"/>
  <c r="D55" i="2"/>
  <c r="B19" i="2"/>
  <c r="B20" i="2" s="1"/>
  <c r="R33" i="1"/>
  <c r="D35" i="2"/>
  <c r="M41" i="1"/>
  <c r="D39" i="2"/>
  <c r="I41" i="1"/>
  <c r="D56" i="2"/>
  <c r="J23" i="1"/>
  <c r="B48" i="2"/>
  <c r="N27" i="1"/>
  <c r="C57" i="2"/>
  <c r="Q33" i="1"/>
  <c r="P31" i="1"/>
  <c r="E33" i="1"/>
  <c r="D34" i="2"/>
  <c r="E23" i="1"/>
  <c r="E14" i="1"/>
  <c r="D23" i="1"/>
  <c r="D14" i="1"/>
  <c r="N31" i="1"/>
  <c r="T30" i="1"/>
  <c r="F23" i="1"/>
  <c r="D47" i="2"/>
  <c r="C16" i="1"/>
  <c r="C24" i="1"/>
  <c r="P14" i="1"/>
  <c r="F30" i="1"/>
  <c r="Q27" i="1"/>
  <c r="C55" i="2"/>
  <c r="B14" i="1"/>
  <c r="B47" i="2"/>
  <c r="C43" i="2"/>
  <c r="E14" i="2"/>
  <c r="C23" i="1"/>
  <c r="L9" i="1"/>
  <c r="N14" i="1"/>
  <c r="K13" i="1"/>
  <c r="K31" i="1" s="1"/>
  <c r="G9" i="1"/>
  <c r="M33" i="1"/>
  <c r="S27" i="1"/>
  <c r="S13" i="1"/>
  <c r="E41" i="1"/>
  <c r="C19" i="2"/>
  <c r="E19" i="2"/>
  <c r="H27" i="1"/>
  <c r="C16" i="2"/>
  <c r="R30" i="1"/>
  <c r="C6" i="2"/>
  <c r="C7" i="2" s="1"/>
  <c r="K9" i="1"/>
  <c r="R23" i="1"/>
  <c r="F13" i="1"/>
  <c r="J31" i="1" s="1"/>
  <c r="S30" i="1"/>
  <c r="I9" i="1"/>
  <c r="H30" i="1"/>
  <c r="O27" i="1"/>
  <c r="C34" i="2"/>
  <c r="T31" i="1"/>
  <c r="V35" i="2" l="1"/>
  <c r="U35" i="2"/>
  <c r="E36" i="2"/>
  <c r="C33" i="2"/>
  <c r="J16" i="1"/>
  <c r="Q14" i="1"/>
  <c r="O24" i="1"/>
  <c r="F20" i="2"/>
  <c r="F21" i="2" s="1"/>
  <c r="F23" i="2" s="1"/>
  <c r="T20" i="1"/>
  <c r="H14" i="1"/>
  <c r="R14" i="1"/>
  <c r="R16" i="1" s="1"/>
  <c r="U31" i="1"/>
  <c r="Q31" i="1"/>
  <c r="R31" i="1"/>
  <c r="B21" i="2"/>
  <c r="B30" i="2" s="1"/>
  <c r="S31" i="1"/>
  <c r="W31" i="1"/>
  <c r="D33" i="2"/>
  <c r="C47" i="2"/>
  <c r="C36" i="2"/>
  <c r="V24" i="1"/>
  <c r="V16" i="1"/>
  <c r="H56" i="2"/>
  <c r="F14" i="1"/>
  <c r="O31" i="1"/>
  <c r="M16" i="1"/>
  <c r="O19" i="1"/>
  <c r="O25" i="1"/>
  <c r="T27" i="1"/>
  <c r="I23" i="1"/>
  <c r="I14" i="1"/>
  <c r="H24" i="1"/>
  <c r="H16" i="1"/>
  <c r="F24" i="1"/>
  <c r="F16" i="1"/>
  <c r="K14" i="1"/>
  <c r="K23" i="1"/>
  <c r="J19" i="1"/>
  <c r="J25" i="1"/>
  <c r="D21" i="2"/>
  <c r="D16" i="1"/>
  <c r="D24" i="1"/>
  <c r="E24" i="1"/>
  <c r="E16" i="1"/>
  <c r="R25" i="1"/>
  <c r="R19" i="1"/>
  <c r="C19" i="1"/>
  <c r="C20" i="1" s="1"/>
  <c r="C25" i="1"/>
  <c r="N24" i="1"/>
  <c r="N16" i="1"/>
  <c r="L23" i="1"/>
  <c r="L14" i="1"/>
  <c r="C29" i="2"/>
  <c r="B24" i="1"/>
  <c r="B16" i="1"/>
  <c r="F35" i="2"/>
  <c r="G14" i="1"/>
  <c r="G23" i="1"/>
  <c r="Q24" i="1"/>
  <c r="Q16" i="1"/>
  <c r="M19" i="1"/>
  <c r="M25" i="1"/>
  <c r="P16" i="1"/>
  <c r="P24" i="1"/>
  <c r="E33" i="2"/>
  <c r="E16" i="2"/>
  <c r="D36" i="2"/>
  <c r="S14" i="1"/>
  <c r="E20" i="2"/>
  <c r="E37" i="2" s="1"/>
  <c r="C20" i="2"/>
  <c r="C37" i="2" s="1"/>
  <c r="G57" i="2"/>
  <c r="N20" i="2" l="1"/>
  <c r="B23" i="2"/>
  <c r="R20" i="1"/>
  <c r="R24" i="1"/>
  <c r="I56" i="2"/>
  <c r="V19" i="1"/>
  <c r="V25" i="1"/>
  <c r="F34" i="2"/>
  <c r="B25" i="2"/>
  <c r="B31" i="2"/>
  <c r="I24" i="1"/>
  <c r="I16" i="1"/>
  <c r="F25" i="1"/>
  <c r="F19" i="1"/>
  <c r="H19" i="1"/>
  <c r="H20" i="1" s="1"/>
  <c r="H25" i="1"/>
  <c r="S16" i="1"/>
  <c r="S24" i="1"/>
  <c r="D19" i="1"/>
  <c r="D20" i="1" s="1"/>
  <c r="D25" i="1"/>
  <c r="G24" i="1"/>
  <c r="G16" i="1"/>
  <c r="G35" i="2"/>
  <c r="C21" i="2"/>
  <c r="D30" i="2"/>
  <c r="D23" i="2"/>
  <c r="B25" i="1"/>
  <c r="B19" i="1"/>
  <c r="P19" i="1"/>
  <c r="P25" i="1"/>
  <c r="D37" i="2"/>
  <c r="T23" i="1"/>
  <c r="H57" i="2"/>
  <c r="L24" i="1"/>
  <c r="L16" i="1"/>
  <c r="M20" i="1"/>
  <c r="J20" i="1"/>
  <c r="F36" i="2"/>
  <c r="E21" i="2"/>
  <c r="E29" i="2"/>
  <c r="N25" i="1"/>
  <c r="N19" i="1"/>
  <c r="Q25" i="1"/>
  <c r="Q19" i="1"/>
  <c r="E25" i="1"/>
  <c r="E19" i="1"/>
  <c r="K24" i="1"/>
  <c r="K16" i="1"/>
  <c r="O20" i="1"/>
  <c r="F37" i="2"/>
  <c r="O20" i="2" l="1"/>
  <c r="Q20" i="1"/>
  <c r="X44" i="1"/>
  <c r="W44" i="1"/>
  <c r="J56" i="2"/>
  <c r="V20" i="1"/>
  <c r="T24" i="1"/>
  <c r="G36" i="2"/>
  <c r="H20" i="2"/>
  <c r="G55" i="2"/>
  <c r="S25" i="1"/>
  <c r="S19" i="1"/>
  <c r="E44" i="1"/>
  <c r="B20" i="1"/>
  <c r="E20" i="1"/>
  <c r="E48" i="1"/>
  <c r="E47" i="1"/>
  <c r="E46" i="1"/>
  <c r="E45" i="1"/>
  <c r="I19" i="1"/>
  <c r="I20" i="1" s="1"/>
  <c r="I25" i="1"/>
  <c r="D25" i="2"/>
  <c r="D31" i="2"/>
  <c r="C30" i="2"/>
  <c r="C23" i="2"/>
  <c r="H35" i="2"/>
  <c r="F33" i="2"/>
  <c r="P20" i="1"/>
  <c r="K19" i="1"/>
  <c r="K25" i="1"/>
  <c r="L25" i="1"/>
  <c r="L19" i="1"/>
  <c r="N20" i="1"/>
  <c r="Q44" i="1"/>
  <c r="E30" i="2"/>
  <c r="E23" i="2"/>
  <c r="R44" i="1"/>
  <c r="P44" i="1"/>
  <c r="F20" i="1"/>
  <c r="G37" i="2"/>
  <c r="I57" i="2"/>
  <c r="G19" i="1"/>
  <c r="G20" i="1" s="1"/>
  <c r="G25" i="1"/>
  <c r="B50" i="2"/>
  <c r="B26" i="2"/>
  <c r="B51" i="2"/>
  <c r="B53" i="2"/>
  <c r="B52" i="2"/>
  <c r="P20" i="2" l="1"/>
  <c r="S20" i="1"/>
  <c r="U44" i="1"/>
  <c r="W48" i="1"/>
  <c r="W45" i="1"/>
  <c r="W47" i="1"/>
  <c r="W46" i="1"/>
  <c r="I44" i="1"/>
  <c r="I48" i="1" s="1"/>
  <c r="X48" i="1"/>
  <c r="X46" i="1"/>
  <c r="X47" i="1"/>
  <c r="X45" i="1"/>
  <c r="T44" i="1"/>
  <c r="J57" i="2"/>
  <c r="K57" i="2"/>
  <c r="K56" i="2"/>
  <c r="H37" i="2"/>
  <c r="H34" i="2"/>
  <c r="F29" i="2"/>
  <c r="D53" i="2"/>
  <c r="D50" i="2"/>
  <c r="D52" i="2"/>
  <c r="D26" i="2"/>
  <c r="D51" i="2"/>
  <c r="H55" i="2"/>
  <c r="H14" i="2"/>
  <c r="H36" i="2"/>
  <c r="P48" i="1"/>
  <c r="P45" i="1"/>
  <c r="P47" i="1"/>
  <c r="P46" i="1"/>
  <c r="I35" i="2"/>
  <c r="C31" i="2"/>
  <c r="C25" i="2"/>
  <c r="G33" i="2"/>
  <c r="R47" i="1"/>
  <c r="R46" i="1"/>
  <c r="R45" i="1"/>
  <c r="R48" i="1"/>
  <c r="E31" i="2"/>
  <c r="E25" i="2"/>
  <c r="Q48" i="1"/>
  <c r="Q47" i="1"/>
  <c r="Q46" i="1"/>
  <c r="Q45" i="1"/>
  <c r="L20" i="1"/>
  <c r="O44" i="1"/>
  <c r="N44" i="1"/>
  <c r="K20" i="1"/>
  <c r="M44" i="1"/>
  <c r="S44" i="1"/>
  <c r="Q20" i="2" l="1"/>
  <c r="Q36" i="2"/>
  <c r="R19" i="2"/>
  <c r="I47" i="1"/>
  <c r="I46" i="1"/>
  <c r="T47" i="1"/>
  <c r="T45" i="1"/>
  <c r="T48" i="1"/>
  <c r="T46" i="1"/>
  <c r="U48" i="1"/>
  <c r="U46" i="1"/>
  <c r="U47" i="1"/>
  <c r="U45" i="1"/>
  <c r="I45" i="1"/>
  <c r="C51" i="2"/>
  <c r="C50" i="2"/>
  <c r="C52" i="2"/>
  <c r="I20" i="2"/>
  <c r="I37" i="2" s="1"/>
  <c r="E53" i="2"/>
  <c r="E52" i="2"/>
  <c r="E50" i="2"/>
  <c r="I34" i="2"/>
  <c r="M48" i="1"/>
  <c r="M47" i="1"/>
  <c r="M46" i="1"/>
  <c r="M45" i="1"/>
  <c r="H33" i="2"/>
  <c r="O48" i="1"/>
  <c r="O47" i="1"/>
  <c r="O46" i="1"/>
  <c r="O45" i="1"/>
  <c r="I55" i="2"/>
  <c r="I14" i="2"/>
  <c r="T25" i="1"/>
  <c r="E26" i="2"/>
  <c r="E51" i="2"/>
  <c r="J35" i="2"/>
  <c r="S47" i="1"/>
  <c r="S46" i="1"/>
  <c r="S45" i="1"/>
  <c r="S48" i="1"/>
  <c r="C53" i="2"/>
  <c r="C26" i="2"/>
  <c r="F30" i="2"/>
  <c r="I36" i="2"/>
  <c r="N48" i="1"/>
  <c r="N47" i="1"/>
  <c r="N46" i="1"/>
  <c r="N45" i="1"/>
  <c r="R36" i="2" l="1"/>
  <c r="S19" i="2"/>
  <c r="R20" i="2"/>
  <c r="R37" i="2" s="1"/>
  <c r="G30" i="2"/>
  <c r="G29" i="2"/>
  <c r="H16" i="2" s="1"/>
  <c r="H15" i="2" s="1"/>
  <c r="J20" i="2"/>
  <c r="J37" i="2" s="1"/>
  <c r="K55" i="2"/>
  <c r="K14" i="2"/>
  <c r="M14" i="2" s="1"/>
  <c r="N14" i="2" s="1"/>
  <c r="O14" i="2" s="1"/>
  <c r="P14" i="2" s="1"/>
  <c r="R14" i="2" s="1"/>
  <c r="S14" i="2" s="1"/>
  <c r="T14" i="2" s="1"/>
  <c r="U14" i="2" s="1"/>
  <c r="V14" i="2" s="1"/>
  <c r="J34" i="2"/>
  <c r="F31" i="2"/>
  <c r="I33" i="2"/>
  <c r="K35" i="2"/>
  <c r="J36" i="2"/>
  <c r="J14" i="2"/>
  <c r="J55" i="2"/>
  <c r="S36" i="2" l="1"/>
  <c r="S20" i="2"/>
  <c r="S37" i="2" s="1"/>
  <c r="T19" i="2"/>
  <c r="V33" i="2"/>
  <c r="H29" i="2"/>
  <c r="I16" i="2" s="1"/>
  <c r="I15" i="2" s="1"/>
  <c r="H21" i="2"/>
  <c r="H30" i="2" s="1"/>
  <c r="F25" i="2"/>
  <c r="V44" i="1"/>
  <c r="K34" i="2"/>
  <c r="J33" i="2"/>
  <c r="K36" i="2"/>
  <c r="K20" i="2"/>
  <c r="K37" i="2" s="1"/>
  <c r="L35" i="2"/>
  <c r="T36" i="2" l="1"/>
  <c r="U19" i="2"/>
  <c r="T20" i="2"/>
  <c r="T37" i="2" s="1"/>
  <c r="I29" i="2"/>
  <c r="J16" i="2" s="1"/>
  <c r="I21" i="2"/>
  <c r="V47" i="1"/>
  <c r="V48" i="1"/>
  <c r="F26" i="2"/>
  <c r="F50" i="2"/>
  <c r="F52" i="2"/>
  <c r="F51" i="2"/>
  <c r="F53" i="2"/>
  <c r="V46" i="1"/>
  <c r="V45" i="1"/>
  <c r="L34" i="2"/>
  <c r="M20" i="2"/>
  <c r="L36" i="2"/>
  <c r="J21" i="2"/>
  <c r="J29" i="2"/>
  <c r="K16" i="2" s="1"/>
  <c r="K15" i="2" s="1"/>
  <c r="K33" i="2"/>
  <c r="J15" i="2"/>
  <c r="L20" i="2"/>
  <c r="L37" i="2" s="1"/>
  <c r="M35" i="2"/>
  <c r="I30" i="2"/>
  <c r="V19" i="2" l="1"/>
  <c r="U36" i="2"/>
  <c r="U20" i="2"/>
  <c r="U37" i="2" s="1"/>
  <c r="M34" i="2"/>
  <c r="J30" i="2"/>
  <c r="G31" i="2"/>
  <c r="K21" i="2"/>
  <c r="K29" i="2"/>
  <c r="L16" i="2" s="1"/>
  <c r="L33" i="2"/>
  <c r="M37" i="2"/>
  <c r="N35" i="2"/>
  <c r="M36" i="2"/>
  <c r="V36" i="2" l="1"/>
  <c r="V20" i="2"/>
  <c r="V37" i="2" s="1"/>
  <c r="G25" i="2"/>
  <c r="N34" i="2"/>
  <c r="M33" i="2"/>
  <c r="O35" i="2"/>
  <c r="L21" i="2"/>
  <c r="L29" i="2"/>
  <c r="M16" i="2" s="1"/>
  <c r="K30" i="2"/>
  <c r="L15" i="2"/>
  <c r="N36" i="2"/>
  <c r="N37" i="2"/>
  <c r="G53" i="2" l="1"/>
  <c r="G52" i="2"/>
  <c r="G51" i="2"/>
  <c r="G50" i="2"/>
  <c r="G26" i="2"/>
  <c r="O34" i="2"/>
  <c r="M21" i="2"/>
  <c r="M29" i="2"/>
  <c r="N16" i="2" s="1"/>
  <c r="M15" i="2"/>
  <c r="O36" i="2"/>
  <c r="L30" i="2"/>
  <c r="O37" i="2"/>
  <c r="P35" i="2"/>
  <c r="Q37" i="2"/>
  <c r="N33" i="2"/>
  <c r="P34" i="2" l="1"/>
  <c r="N29" i="2"/>
  <c r="O16" i="2" s="1"/>
  <c r="O15" i="2" s="1"/>
  <c r="N21" i="2"/>
  <c r="N15" i="2"/>
  <c r="O33" i="2"/>
  <c r="P37" i="2"/>
  <c r="H22" i="2"/>
  <c r="H23" i="2" s="1"/>
  <c r="P36" i="2"/>
  <c r="M30" i="2"/>
  <c r="Q33" i="2" l="1"/>
  <c r="H24" i="2"/>
  <c r="H31" i="2" s="1"/>
  <c r="N30" i="2"/>
  <c r="P33" i="2"/>
  <c r="O21" i="2"/>
  <c r="O29" i="2"/>
  <c r="P16" i="2" s="1"/>
  <c r="R33" i="2" l="1"/>
  <c r="H25" i="2"/>
  <c r="P21" i="2"/>
  <c r="P29" i="2"/>
  <c r="Q16" i="2" s="1"/>
  <c r="P15" i="2"/>
  <c r="O30" i="2"/>
  <c r="Q21" i="2" l="1"/>
  <c r="Q29" i="2"/>
  <c r="R16" i="2" s="1"/>
  <c r="Q15" i="2"/>
  <c r="S33" i="2"/>
  <c r="H26" i="2"/>
  <c r="H39" i="2"/>
  <c r="I22" i="2" s="1"/>
  <c r="I23" i="2" s="1"/>
  <c r="P30" i="2"/>
  <c r="T33" i="2" l="1"/>
  <c r="R29" i="2"/>
  <c r="S16" i="2" s="1"/>
  <c r="R21" i="2"/>
  <c r="R15" i="2"/>
  <c r="Q30" i="2"/>
  <c r="I24" i="2"/>
  <c r="I31" i="2" s="1"/>
  <c r="R30" i="2" l="1"/>
  <c r="S29" i="2"/>
  <c r="T16" i="2" s="1"/>
  <c r="S21" i="2"/>
  <c r="S15" i="2"/>
  <c r="U33" i="2"/>
  <c r="I25" i="2"/>
  <c r="I39" i="2" l="1"/>
  <c r="S30" i="2"/>
  <c r="T15" i="2"/>
  <c r="T29" i="2"/>
  <c r="U16" i="2" s="1"/>
  <c r="T21" i="2"/>
  <c r="I26" i="2"/>
  <c r="J22" i="2"/>
  <c r="J23" i="2" s="1"/>
  <c r="T30" i="2" l="1"/>
  <c r="U29" i="2"/>
  <c r="V16" i="2" s="1"/>
  <c r="U21" i="2"/>
  <c r="U15" i="2"/>
  <c r="J24" i="2"/>
  <c r="J31" i="2" s="1"/>
  <c r="V21" i="2" l="1"/>
  <c r="V29" i="2"/>
  <c r="V15" i="2"/>
  <c r="U30" i="2"/>
  <c r="J25" i="2"/>
  <c r="V30" i="2" l="1"/>
  <c r="J26" i="2"/>
  <c r="J39" i="2"/>
  <c r="K22" i="2" s="1"/>
  <c r="K23" i="2" s="1"/>
  <c r="K24" i="2" l="1"/>
  <c r="K31" i="2" s="1"/>
  <c r="K25" i="2" l="1"/>
  <c r="K26" i="2"/>
  <c r="K39" i="2"/>
  <c r="L22" i="2" l="1"/>
  <c r="L23" i="2" s="1"/>
  <c r="L24" i="2" l="1"/>
  <c r="L31" i="2" s="1"/>
  <c r="L25" i="2" l="1"/>
  <c r="L26" i="2"/>
  <c r="L39" i="2"/>
  <c r="M22" i="2" l="1"/>
  <c r="M23" i="2" s="1"/>
  <c r="M24" i="2" l="1"/>
  <c r="M31" i="2" s="1"/>
  <c r="M25" i="2" l="1"/>
  <c r="M26" i="2" l="1"/>
  <c r="M39" i="2"/>
  <c r="N22" i="2" l="1"/>
  <c r="N23" i="2" s="1"/>
  <c r="N24" i="2" l="1"/>
  <c r="N31" i="2" s="1"/>
  <c r="N25" i="2" l="1"/>
  <c r="N26" i="2" s="1"/>
  <c r="N39" i="2"/>
  <c r="O22" i="2" l="1"/>
  <c r="O23" i="2" s="1"/>
  <c r="O24" i="2" l="1"/>
  <c r="O31" i="2" s="1"/>
  <c r="O25" i="2" l="1"/>
  <c r="O26" i="2" s="1"/>
  <c r="O39" i="2"/>
  <c r="P22" i="2" l="1"/>
  <c r="P23" i="2" s="1"/>
  <c r="P24" i="2" l="1"/>
  <c r="P31" i="2" s="1"/>
  <c r="P25" i="2" l="1"/>
  <c r="P26" i="2" l="1"/>
  <c r="P39" i="2"/>
  <c r="Q22" i="2" l="1"/>
  <c r="Q23" i="2" s="1"/>
  <c r="Q24" i="2" l="1"/>
  <c r="Q31" i="2" s="1"/>
  <c r="Q25" i="2"/>
  <c r="Q26" i="2" l="1"/>
  <c r="Q39" i="2"/>
  <c r="R22" i="2" l="1"/>
  <c r="R23" i="2" s="1"/>
  <c r="R24" i="2" l="1"/>
  <c r="R31" i="2" s="1"/>
  <c r="R25" i="2"/>
  <c r="R26" i="2" l="1"/>
  <c r="R39" i="2"/>
  <c r="S22" i="2" l="1"/>
  <c r="S23" i="2" s="1"/>
  <c r="S24" i="2" l="1"/>
  <c r="S31" i="2" s="1"/>
  <c r="S25" i="2" l="1"/>
  <c r="S26" i="2" l="1"/>
  <c r="S39" i="2"/>
  <c r="T22" i="2" l="1"/>
  <c r="T23" i="2" s="1"/>
  <c r="T24" i="2" l="1"/>
  <c r="T31" i="2" s="1"/>
  <c r="T25" i="2" l="1"/>
  <c r="T26" i="2" s="1"/>
  <c r="T39" i="2"/>
  <c r="U22" i="2" l="1"/>
  <c r="U23" i="2" s="1"/>
  <c r="U24" i="2" l="1"/>
  <c r="U31" i="2" s="1"/>
  <c r="U25" i="2" l="1"/>
  <c r="U26" i="2" l="1"/>
  <c r="U39" i="2"/>
  <c r="V22" i="2" l="1"/>
  <c r="V23" i="2" s="1"/>
  <c r="V24" i="2" l="1"/>
  <c r="V31" i="2" s="1"/>
  <c r="V25" i="2"/>
  <c r="V26" i="2" l="1"/>
  <c r="W25" i="2"/>
  <c r="X25" i="2" s="1"/>
  <c r="Y25" i="2" s="1"/>
  <c r="Z25" i="2" s="1"/>
  <c r="AA25" i="2" s="1"/>
  <c r="AB25" i="2" s="1"/>
  <c r="AC25" i="2" s="1"/>
  <c r="AD25" i="2" s="1"/>
  <c r="AE25" i="2" s="1"/>
  <c r="AF25" i="2" s="1"/>
  <c r="AG25" i="2" s="1"/>
  <c r="AH25" i="2" s="1"/>
  <c r="AI25" i="2" s="1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Y25" i="2" s="1"/>
  <c r="AZ25" i="2" s="1"/>
  <c r="BA25" i="2" s="1"/>
  <c r="BB25" i="2" s="1"/>
  <c r="BC25" i="2" s="1"/>
  <c r="BD25" i="2" s="1"/>
  <c r="BE25" i="2" s="1"/>
  <c r="BF25" i="2" s="1"/>
  <c r="BG25" i="2" s="1"/>
  <c r="BH25" i="2" s="1"/>
  <c r="BI25" i="2" s="1"/>
  <c r="BJ25" i="2" s="1"/>
  <c r="BK25" i="2" s="1"/>
  <c r="BL25" i="2" s="1"/>
  <c r="BM25" i="2" s="1"/>
  <c r="BN25" i="2" s="1"/>
  <c r="BO25" i="2" s="1"/>
  <c r="BP25" i="2" s="1"/>
  <c r="BQ25" i="2" s="1"/>
  <c r="BR25" i="2" s="1"/>
  <c r="BS25" i="2" s="1"/>
  <c r="BT25" i="2" s="1"/>
  <c r="BU25" i="2" s="1"/>
  <c r="BV25" i="2" s="1"/>
  <c r="BW25" i="2" s="1"/>
  <c r="BX25" i="2" s="1"/>
  <c r="BY25" i="2" s="1"/>
  <c r="BZ25" i="2" s="1"/>
  <c r="CA25" i="2" s="1"/>
  <c r="CB25" i="2" s="1"/>
  <c r="CC25" i="2" s="1"/>
  <c r="CD25" i="2" s="1"/>
  <c r="CE25" i="2" s="1"/>
  <c r="CF25" i="2" s="1"/>
  <c r="CG25" i="2" s="1"/>
  <c r="CH25" i="2" s="1"/>
  <c r="CI25" i="2" s="1"/>
  <c r="CJ25" i="2" s="1"/>
  <c r="CK25" i="2" s="1"/>
  <c r="CL25" i="2" s="1"/>
  <c r="CM25" i="2" s="1"/>
  <c r="CN25" i="2" s="1"/>
  <c r="CO25" i="2" s="1"/>
  <c r="CP25" i="2" s="1"/>
  <c r="CQ25" i="2" s="1"/>
  <c r="CR25" i="2" s="1"/>
  <c r="CS25" i="2" s="1"/>
  <c r="CT25" i="2" s="1"/>
  <c r="CU25" i="2" s="1"/>
  <c r="CV25" i="2" s="1"/>
  <c r="CW25" i="2" s="1"/>
  <c r="CX25" i="2" s="1"/>
  <c r="CY25" i="2" s="1"/>
  <c r="CZ25" i="2" s="1"/>
  <c r="DA25" i="2" s="1"/>
  <c r="DB25" i="2" s="1"/>
  <c r="DC25" i="2" s="1"/>
  <c r="DD25" i="2" s="1"/>
  <c r="DE25" i="2" s="1"/>
  <c r="DF25" i="2" s="1"/>
  <c r="DG25" i="2" s="1"/>
  <c r="DH25" i="2" s="1"/>
  <c r="DI25" i="2" s="1"/>
  <c r="DJ25" i="2" s="1"/>
  <c r="DK25" i="2" s="1"/>
  <c r="DL25" i="2" s="1"/>
  <c r="DM25" i="2" s="1"/>
  <c r="DN25" i="2" s="1"/>
  <c r="DO25" i="2" s="1"/>
  <c r="DP25" i="2" s="1"/>
  <c r="DQ25" i="2" s="1"/>
  <c r="DR25" i="2" s="1"/>
  <c r="DS25" i="2" s="1"/>
  <c r="DT25" i="2" s="1"/>
  <c r="DU25" i="2" s="1"/>
  <c r="DV25" i="2" s="1"/>
  <c r="DW25" i="2" s="1"/>
  <c r="DX25" i="2" s="1"/>
  <c r="DY25" i="2" s="1"/>
  <c r="DZ25" i="2" s="1"/>
  <c r="EA25" i="2" s="1"/>
  <c r="EB25" i="2" s="1"/>
  <c r="EC25" i="2" s="1"/>
  <c r="ED25" i="2" s="1"/>
  <c r="EE25" i="2" s="1"/>
  <c r="EF25" i="2" s="1"/>
  <c r="EG25" i="2" s="1"/>
  <c r="EH25" i="2" s="1"/>
  <c r="EI25" i="2" s="1"/>
  <c r="EJ25" i="2" s="1"/>
  <c r="EK25" i="2" s="1"/>
  <c r="EL25" i="2" s="1"/>
  <c r="EM25" i="2" s="1"/>
  <c r="EN25" i="2" s="1"/>
  <c r="EO25" i="2" s="1"/>
  <c r="EP25" i="2" s="1"/>
  <c r="EQ25" i="2" s="1"/>
  <c r="ER25" i="2" s="1"/>
  <c r="ES25" i="2" s="1"/>
  <c r="ET25" i="2" s="1"/>
  <c r="EU25" i="2" s="1"/>
  <c r="EV25" i="2" s="1"/>
  <c r="EW25" i="2" s="1"/>
  <c r="EX25" i="2" s="1"/>
  <c r="EY25" i="2" s="1"/>
  <c r="EZ25" i="2" s="1"/>
  <c r="FA25" i="2" s="1"/>
  <c r="FB25" i="2" s="1"/>
  <c r="FC25" i="2" s="1"/>
  <c r="FD25" i="2" s="1"/>
  <c r="FE25" i="2" s="1"/>
  <c r="FF25" i="2" s="1"/>
  <c r="FG25" i="2" s="1"/>
  <c r="FH25" i="2" s="1"/>
  <c r="FI25" i="2" s="1"/>
  <c r="FJ25" i="2" s="1"/>
  <c r="FK25" i="2" s="1"/>
  <c r="FL25" i="2" s="1"/>
  <c r="FM25" i="2" s="1"/>
  <c r="FN25" i="2" s="1"/>
  <c r="FO25" i="2" s="1"/>
  <c r="FP25" i="2" s="1"/>
  <c r="FQ25" i="2" s="1"/>
  <c r="FR25" i="2" s="1"/>
  <c r="FS25" i="2" s="1"/>
  <c r="FT25" i="2" s="1"/>
  <c r="FU25" i="2" s="1"/>
  <c r="FV25" i="2" s="1"/>
  <c r="FW25" i="2" s="1"/>
  <c r="FX25" i="2" s="1"/>
  <c r="FY25" i="2" s="1"/>
  <c r="FZ25" i="2" s="1"/>
  <c r="GA25" i="2" s="1"/>
  <c r="GB25" i="2" s="1"/>
  <c r="GC25" i="2" s="1"/>
  <c r="GD25" i="2" s="1"/>
  <c r="GE25" i="2" s="1"/>
  <c r="GF25" i="2" s="1"/>
  <c r="GG25" i="2" s="1"/>
  <c r="GH25" i="2" s="1"/>
  <c r="GI25" i="2" s="1"/>
  <c r="GJ25" i="2" s="1"/>
  <c r="GK25" i="2" s="1"/>
  <c r="GL25" i="2" s="1"/>
  <c r="GM25" i="2" s="1"/>
  <c r="GN25" i="2" s="1"/>
  <c r="GO25" i="2" s="1"/>
  <c r="GP25" i="2" s="1"/>
  <c r="GQ25" i="2" s="1"/>
  <c r="GR25" i="2" s="1"/>
  <c r="V39" i="2"/>
  <c r="F5" i="2" l="1"/>
  <c r="F6" i="2" s="1"/>
  <c r="F7" i="2" s="1"/>
  <c r="G7" i="2" s="1"/>
</calcChain>
</file>

<file path=xl/sharedStrings.xml><?xml version="1.0" encoding="utf-8"?>
<sst xmlns="http://schemas.openxmlformats.org/spreadsheetml/2006/main" count="166" uniqueCount="121">
  <si>
    <t>Q117</t>
  </si>
  <si>
    <t>Q217</t>
  </si>
  <si>
    <t>Q317</t>
  </si>
  <si>
    <t>Q417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</si>
  <si>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</si>
  <si>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</si>
  <si>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</si>
  <si>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</si>
  <si>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</si>
  <si>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</si>
  <si>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</si>
  <si>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</si>
  <si>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</si>
  <si>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</si>
  <si>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</si>
  <si>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</si>
  <si>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</si>
  <si>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</si>
  <si>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</si>
  <si>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</si>
  <si>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</si>
  <si>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</si>
  <si>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Q116</t>
  </si>
  <si>
    <t>Q216</t>
  </si>
  <si>
    <t>Q316</t>
  </si>
  <si>
    <t>Q416</t>
  </si>
  <si>
    <t>Net Cash</t>
  </si>
  <si>
    <t>Cash</t>
  </si>
  <si>
    <t>Debt</t>
  </si>
  <si>
    <t>Maturity</t>
  </si>
  <si>
    <t>ROIC</t>
  </si>
  <si>
    <t>Discount</t>
  </si>
  <si>
    <t>NPV</t>
  </si>
  <si>
    <t>Value</t>
  </si>
  <si>
    <t>Q118</t>
  </si>
  <si>
    <t>Q218</t>
  </si>
  <si>
    <t>Q318</t>
  </si>
  <si>
    <t>Q418</t>
  </si>
  <si>
    <t>Q115</t>
  </si>
  <si>
    <t>Q215</t>
  </si>
  <si>
    <t>Q315</t>
  </si>
  <si>
    <t>Q415</t>
  </si>
  <si>
    <t>R&amp;D y/y</t>
  </si>
  <si>
    <t>S&amp;M y/y</t>
  </si>
  <si>
    <t>G&amp;A y/y</t>
  </si>
  <si>
    <t>EDGAR</t>
  </si>
  <si>
    <t>CEO</t>
  </si>
  <si>
    <t>Founder</t>
  </si>
  <si>
    <t>Price</t>
  </si>
  <si>
    <t>Market Cap</t>
  </si>
  <si>
    <t>EV</t>
  </si>
  <si>
    <t>per share</t>
  </si>
  <si>
    <t>Q119</t>
  </si>
  <si>
    <t>Q219</t>
  </si>
  <si>
    <t>Q319</t>
  </si>
  <si>
    <t>Q419</t>
  </si>
  <si>
    <t>Intangibles</t>
  </si>
  <si>
    <t>Total assets</t>
  </si>
  <si>
    <t>Total liabilities</t>
  </si>
  <si>
    <t>TWC</t>
  </si>
  <si>
    <t>Equity</t>
  </si>
  <si>
    <t>NI 12M</t>
  </si>
  <si>
    <t>ROE</t>
  </si>
  <si>
    <t>ROA</t>
  </si>
  <si>
    <t>ROTB</t>
  </si>
  <si>
    <t>ROTWC</t>
  </si>
  <si>
    <t>Investor Relations</t>
  </si>
  <si>
    <t>Expected return on invested capital (innovation grade)</t>
  </si>
  <si>
    <t>Tax anomaly</t>
  </si>
  <si>
    <t>Adobe Inc (ADBE)</t>
  </si>
  <si>
    <t>John Warnock</t>
  </si>
  <si>
    <t>Charles Geschke</t>
  </si>
  <si>
    <t>Shantanu Narayen</t>
  </si>
  <si>
    <t>Subscription</t>
  </si>
  <si>
    <t>Product</t>
  </si>
  <si>
    <t>Servcies and support</t>
  </si>
  <si>
    <t>Subscription y/y</t>
  </si>
  <si>
    <t>Product y/y</t>
  </si>
  <si>
    <t>Servcies and support y/y</t>
  </si>
  <si>
    <t>30/11/2018</t>
  </si>
  <si>
    <t>1/3/2019</t>
  </si>
  <si>
    <t>2/3/2018</t>
  </si>
  <si>
    <t>Operating Expenses y/y</t>
  </si>
  <si>
    <t>1/12/2017</t>
  </si>
  <si>
    <t>31/8/2018</t>
  </si>
  <si>
    <t>1/9/2017</t>
  </si>
  <si>
    <t>1/6/2018</t>
  </si>
  <si>
    <t>2/6/2017</t>
  </si>
  <si>
    <t>3/3/2017</t>
  </si>
  <si>
    <t>2/12/2016</t>
  </si>
  <si>
    <t>27/11/2015</t>
  </si>
  <si>
    <t>2/9/2016</t>
  </si>
  <si>
    <t>28/8/2015</t>
  </si>
  <si>
    <t>3/6/2016</t>
  </si>
  <si>
    <t>29/5/2015</t>
  </si>
  <si>
    <t>4/3/2016</t>
  </si>
  <si>
    <t>27/2/2015</t>
  </si>
  <si>
    <t>31/5/2019</t>
  </si>
  <si>
    <t>Q120</t>
  </si>
  <si>
    <t>Q420</t>
  </si>
  <si>
    <t>30/8/2019</t>
  </si>
  <si>
    <t>29/11/2019</t>
  </si>
  <si>
    <t>Acrobat</t>
  </si>
  <si>
    <t>Allegorithmic</t>
  </si>
  <si>
    <t>Behance</t>
  </si>
  <si>
    <t>Creative Cloud</t>
  </si>
  <si>
    <t>Magento</t>
  </si>
  <si>
    <t>Marketo</t>
  </si>
  <si>
    <t>Reader</t>
  </si>
  <si>
    <t>Risk-free rate + market premium (opportunity cost)</t>
  </si>
  <si>
    <t>http://www.worldgovernmentbonds.com/country/united-states/</t>
  </si>
  <si>
    <t>Net present value on future net income (terminal value)</t>
  </si>
  <si>
    <t>Q220</t>
  </si>
  <si>
    <t>Q320</t>
  </si>
  <si>
    <t>PRODUCTS</t>
  </si>
  <si>
    <t>Adobe Suite</t>
  </si>
  <si>
    <t>Photoshop, Lightroom, Illustrator, etc.</t>
  </si>
  <si>
    <t>Q121</t>
  </si>
  <si>
    <t>Q221</t>
  </si>
  <si>
    <t>Q321</t>
  </si>
  <si>
    <t>Q421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</si>
</sst>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0.0%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5">
    <xf numFmtId="0" fontId="0" fillId="0" borderId="0" xfId="0"/>
    <xf numFmtId="0" fontId="4" fillId="0" borderId="0" xfId="4" applyFont="1" applyBorder="1"/>
    <xf numFmtId="0" fontId="5" fillId="0" borderId="0" xfId="0" applyFont="1"/>
    <xf numFmtId="0" fontId="6" fillId="0" borderId="0" xfId="0" applyFont="1"/>
    <xf numFmtId="4" fontId="6" fillId="0" borderId="0" xfId="0" applyNumberFormat="1" applyFont="1" applyBorder="1"/>
    <xf numFmtId="0" fontId="7" fillId="0" borderId="0" xfId="0" applyFont="1"/>
    <xf numFmtId="0" fontId="6" fillId="0" borderId="0" xfId="0" applyFont="1" applyBorder="1"/>
    <xf numFmtId="10" fontId="6" fillId="0" borderId="0" xfId="0" applyNumberFormat="1" applyFont="1"/>
    <xf numFmtId="3" fontId="6" fillId="0" borderId="0" xfId="0" applyNumberFormat="1" applyFont="1" applyBorder="1"/>
    <xf numFmtId="0" fontId="4" fillId="0" borderId="0" xfId="4" applyFont="1"/>
    <xf numFmtId="3" fontId="6" fillId="2" borderId="0" xfId="0" applyNumberFormat="1" applyFont="1" applyFill="1" applyBorder="1"/>
    <xf numFmtId="164" fontId="6" fillId="2" borderId="0" xfId="0" applyNumberFormat="1" applyFont="1" applyFill="1"/>
    <xf numFmtId="0" fontId="5" fillId="0" borderId="0" xfId="0" applyFont="1" applyBorder="1"/>
    <xf numFmtId="164" fontId="5" fillId="2" borderId="0" xfId="0" applyNumberFormat="1" applyFont="1" applyFill="1"/>
    <xf numFmtId="0" fontId="7" fillId="0" borderId="0" xfId="0" applyFont="1" applyBorder="1"/>
    <xf numFmtId="164" fontId="6" fillId="0" borderId="0" xfId="0" applyNumberFormat="1" applyFont="1"/>
    <xf numFmtId="3" fontId="6" fillId="0" borderId="0" xfId="0" applyNumberFormat="1" applyFont="1"/>
    <xf numFmtId="3" fontId="5" fillId="0" borderId="0" xfId="0" applyNumberFormat="1" applyFont="1" applyBorder="1"/>
    <xf numFmtId="0" fontId="6" fillId="0" borderId="0" xfId="0" applyFont="1" applyFill="1" applyBorder="1"/>
    <xf numFmtId="9" fontId="6" fillId="0" borderId="0" xfId="0" applyNumberFormat="1" applyFont="1"/>
    <xf numFmtId="0" fontId="6" fillId="0" borderId="0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3" fontId="5" fillId="2" borderId="0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3" fontId="6" fillId="2" borderId="0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right"/>
    </xf>
    <xf numFmtId="2" fontId="6" fillId="2" borderId="0" xfId="0" applyNumberFormat="1" applyFont="1" applyFill="1" applyBorder="1" applyAlignment="1">
      <alignment horizontal="right"/>
    </xf>
    <xf numFmtId="9" fontId="5" fillId="0" borderId="0" xfId="1" applyNumberFormat="1" applyFont="1" applyBorder="1" applyAlignment="1">
      <alignment horizontal="right"/>
    </xf>
    <xf numFmtId="9" fontId="5" fillId="0" borderId="1" xfId="1" applyNumberFormat="1" applyFont="1" applyBorder="1" applyAlignment="1">
      <alignment horizontal="right"/>
    </xf>
    <xf numFmtId="9" fontId="6" fillId="0" borderId="0" xfId="1" applyNumberFormat="1" applyFont="1" applyBorder="1" applyAlignment="1">
      <alignment horizontal="right"/>
    </xf>
    <xf numFmtId="9" fontId="6" fillId="0" borderId="1" xfId="1" applyNumberFormat="1" applyFont="1" applyBorder="1" applyAlignment="1">
      <alignment horizontal="right"/>
    </xf>
    <xf numFmtId="9" fontId="6" fillId="0" borderId="0" xfId="0" applyNumberFormat="1" applyFont="1" applyBorder="1" applyAlignment="1">
      <alignment horizontal="right"/>
    </xf>
    <xf numFmtId="9" fontId="6" fillId="0" borderId="1" xfId="0" applyNumberFormat="1" applyFont="1" applyBorder="1" applyAlignment="1">
      <alignment horizontal="right"/>
    </xf>
    <xf numFmtId="9" fontId="6" fillId="0" borderId="0" xfId="1" applyFont="1" applyBorder="1" applyAlignment="1">
      <alignment horizontal="right"/>
    </xf>
    <xf numFmtId="9" fontId="6" fillId="0" borderId="1" xfId="1" applyFont="1" applyBorder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3" fontId="7" fillId="0" borderId="0" xfId="0" applyNumberFormat="1" applyFont="1" applyBorder="1" applyAlignment="1">
      <alignment horizontal="right"/>
    </xf>
    <xf numFmtId="3" fontId="7" fillId="0" borderId="1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4" fontId="6" fillId="2" borderId="0" xfId="0" applyNumberFormat="1" applyFont="1" applyFill="1"/>
    <xf numFmtId="4" fontId="6" fillId="2" borderId="0" xfId="0" applyNumberFormat="1" applyFont="1" applyFill="1" applyBorder="1"/>
    <xf numFmtId="9" fontId="7" fillId="0" borderId="0" xfId="0" applyNumberFormat="1" applyFont="1" applyBorder="1" applyAlignment="1">
      <alignment horizontal="right"/>
    </xf>
    <xf numFmtId="9" fontId="7" fillId="0" borderId="1" xfId="0" applyNumberFormat="1" applyFont="1" applyBorder="1" applyAlignment="1">
      <alignment horizontal="right"/>
    </xf>
    <xf numFmtId="3" fontId="5" fillId="0" borderId="0" xfId="0" applyNumberFormat="1" applyFont="1" applyBorder="1" applyAlignment="1">
      <alignment horizontal="right"/>
    </xf>
    <xf numFmtId="2" fontId="6" fillId="0" borderId="0" xfId="0" applyNumberFormat="1" applyFont="1" applyBorder="1" applyAlignment="1">
      <alignment horizontal="right"/>
    </xf>
    <xf numFmtId="9" fontId="5" fillId="0" borderId="0" xfId="1" applyFont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165" fontId="6" fillId="0" borderId="0" xfId="0" applyNumberFormat="1" applyFont="1" applyFill="1" applyAlignment="1">
      <alignment horizontal="right"/>
    </xf>
    <xf numFmtId="165" fontId="6" fillId="0" borderId="0" xfId="0" applyNumberFormat="1" applyFont="1" applyAlignment="1">
      <alignment horizontal="right"/>
    </xf>
    <xf numFmtId="3" fontId="6" fillId="0" borderId="0" xfId="0" applyNumberFormat="1" applyFont="1" applyFill="1" applyAlignment="1">
      <alignment horizontal="right"/>
    </xf>
    <xf numFmtId="3" fontId="6" fillId="2" borderId="0" xfId="0" applyNumberFormat="1" applyFont="1" applyFill="1" applyAlignment="1">
      <alignment horizontal="right"/>
    </xf>
    <xf numFmtId="9" fontId="6" fillId="0" borderId="0" xfId="0" applyNumberFormat="1" applyFont="1" applyAlignment="1">
      <alignment horizontal="right"/>
    </xf>
    <xf numFmtId="0" fontId="7" fillId="0" borderId="1" xfId="0" applyFont="1" applyBorder="1" applyAlignment="1">
      <alignment horizontal="right"/>
    </xf>
    <xf numFmtId="14" fontId="6" fillId="0" borderId="0" xfId="0" applyNumberFormat="1" applyFont="1" applyBorder="1" applyAlignment="1">
      <alignment horizontal="right"/>
    </xf>
    <xf numFmtId="14" fontId="6" fillId="0" borderId="1" xfId="0" applyNumberFormat="1" applyFont="1" applyBorder="1" applyAlignment="1">
      <alignment horizontal="right"/>
    </xf>
    <xf numFmtId="4" fontId="6" fillId="2" borderId="0" xfId="0" applyNumberFormat="1" applyFont="1" applyFill="1" applyBorder="1" applyAlignment="1">
      <alignment horizontal="right"/>
    </xf>
    <xf numFmtId="4" fontId="6" fillId="2" borderId="1" xfId="0" applyNumberFormat="1" applyFont="1" applyFill="1" applyBorder="1" applyAlignment="1">
      <alignment horizontal="right"/>
    </xf>
    <xf numFmtId="14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8" fillId="0" borderId="0" xfId="0" applyFont="1"/>
    <xf numFmtId="0" fontId="4" fillId="0" borderId="0" xfId="4" applyFont="1" applyBorder="1" applyAlignment="1">
      <alignment horizontal="left"/>
    </xf>
    <xf numFmtId="3" fontId="6" fillId="0" borderId="0" xfId="0" applyNumberFormat="1" applyFont="1" applyBorder="1" applyAlignment="1">
      <alignment horizontal="left"/>
    </xf>
    <xf numFmtId="3" fontId="5" fillId="0" borderId="0" xfId="0" applyNumberFormat="1" applyFont="1" applyBorder="1" applyAlignment="1">
      <alignment horizontal="left"/>
    </xf>
    <xf numFmtId="4" fontId="6" fillId="0" borderId="0" xfId="0" applyNumberFormat="1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3" fontId="6" fillId="0" borderId="0" xfId="0" applyNumberFormat="1" applyFont="1" applyFill="1" applyBorder="1" applyAlignment="1">
      <alignment horizontal="left"/>
    </xf>
    <xf numFmtId="3" fontId="5" fillId="0" borderId="0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</cellXfs>
  <cellStyles count="5">
    <cellStyle name="Followed Hyperlink" xfId="3" builtinId="9" hidden="1"/>
    <cellStyle name="Hyperlink" xfId="2" builtinId="8" hidden="1"/>
    <cellStyle name="Hyperlink" xfId="4" builtinId="8" customBuiltin="1"/>
    <cellStyle name="Normal" xfId="0" builtinId="0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144780</xdr:colOff>
      <xdr:row>7</xdr:row>
      <xdr:rowOff>152400</xdr:rowOff>
    </xdr:from>
    <xdr:to>
      <xdr:col>7</xdr:col>
      <xdr:colOff>144780</xdr:colOff>
      <xdr:row>58</xdr:row>
      <xdr:rowOff>12700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6637020" y="1290320"/>
          <a:ext cx="0" cy="896366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246380</xdr:colOff>
      <xdr:row>0</xdr:row>
      <xdr:rowOff>152400</xdr:rowOff>
    </xdr:from>
    <xdr:to>
      <xdr:col>25</xdr:col>
      <xdr:colOff>246380</xdr:colOff>
      <xdr:row>53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21551900" y="152400"/>
          <a:ext cx="0" cy="846328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Charles_Geschke" TargetMode="External"/><Relationship Id="rId2" Type="http://schemas.openxmlformats.org/officeDocument/2006/relationships/hyperlink" Target="https://en.wikipedia.org/wiki/John_Warnock" TargetMode="External"/><Relationship Id="rId1" Type="http://schemas.openxmlformats.org/officeDocument/2006/relationships/hyperlink" Target="https://www.adobe.com/investor-relations.html?promoid=2XBSC4VN&amp;mv=other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://www.worldgovernmentbonds.com/country/united-states/" TargetMode="External"/><Relationship Id="rId4" Type="http://schemas.openxmlformats.org/officeDocument/2006/relationships/hyperlink" Target="https://en.wikipedia.org/wiki/Shantanu_Naraye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CIK=ADB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R57"/>
  <sheetViews>
    <sheetView tabSelected="1" zoomScale="125" zoomScaleNormal="125" workbookViewId="0">
      <pane xSplit="1" ySplit="9" topLeftCell="B10" activePane="bottomRight" state="frozen"/>
      <selection pane="topRight" activeCell="B1" sqref="B1"/>
      <selection pane="bottomLeft" activeCell="A11" sqref="A11"/>
      <selection pane="bottomRight" activeCell="J50" sqref="J50"/>
    </sheetView>
  </sheetViews>
  <sheetFormatPr baseColWidth="10" defaultRowHeight="13" x14ac:dyDescent="0.15"/>
  <cols>
    <col min="1" max="1" width="20.33203125" style="3" bestFit="1" customWidth="1"/>
    <col min="2" max="16384" width="10.83203125" style="3"/>
  </cols>
  <sheetData>
    <row r="1" spans="1:117" x14ac:dyDescent="0.15">
      <c r="A1" s="1" t="s">
        <v>66</v>
      </c>
      <c r="B1" s="2" t="s">
        <v>69</v>
      </c>
    </row>
    <row r="2" spans="1:117" x14ac:dyDescent="0.15">
      <c r="B2" s="3" t="s">
        <v>48</v>
      </c>
      <c r="C2" s="4">
        <v>494.86</v>
      </c>
      <c r="D2" s="62">
        <v>44239</v>
      </c>
      <c r="E2" s="6" t="s">
        <v>29</v>
      </c>
      <c r="F2" s="7">
        <v>-0.01</v>
      </c>
      <c r="I2" s="16"/>
      <c r="L2" s="2"/>
    </row>
    <row r="3" spans="1:117" x14ac:dyDescent="0.15">
      <c r="A3" s="2" t="s">
        <v>46</v>
      </c>
      <c r="B3" s="3" t="s">
        <v>17</v>
      </c>
      <c r="C3" s="8">
        <f>Reports!Y21</f>
        <v>484</v>
      </c>
      <c r="D3" s="63" t="s">
        <v>99</v>
      </c>
      <c r="E3" s="6" t="s">
        <v>30</v>
      </c>
      <c r="F3" s="7">
        <v>0.02</v>
      </c>
      <c r="G3" s="5" t="s">
        <v>67</v>
      </c>
      <c r="I3" s="16"/>
    </row>
    <row r="4" spans="1:117" x14ac:dyDescent="0.15">
      <c r="A4" s="9" t="s">
        <v>72</v>
      </c>
      <c r="B4" s="3" t="s">
        <v>49</v>
      </c>
      <c r="C4" s="10">
        <f>C2*C3</f>
        <v>239512.24000000002</v>
      </c>
      <c r="D4" s="63"/>
      <c r="E4" s="6" t="s">
        <v>31</v>
      </c>
      <c r="F4" s="7">
        <f>5%</f>
        <v>0.05</v>
      </c>
      <c r="G4" s="5" t="s">
        <v>109</v>
      </c>
      <c r="I4" s="19"/>
      <c r="L4" s="9" t="s">
        <v>110</v>
      </c>
    </row>
    <row r="5" spans="1:117" x14ac:dyDescent="0.15">
      <c r="B5" s="3" t="s">
        <v>26</v>
      </c>
      <c r="C5" s="8">
        <f>Reports!Y33</f>
        <v>1875</v>
      </c>
      <c r="D5" s="63" t="s">
        <v>99</v>
      </c>
      <c r="E5" s="6" t="s">
        <v>32</v>
      </c>
      <c r="F5" s="11">
        <f>NPV(F4,H25:GR25)</f>
        <v>365401.30404750502</v>
      </c>
      <c r="G5" s="5" t="s">
        <v>111</v>
      </c>
      <c r="I5" s="19"/>
    </row>
    <row r="6" spans="1:117" x14ac:dyDescent="0.15">
      <c r="A6" s="2" t="s">
        <v>47</v>
      </c>
      <c r="B6" s="3" t="s">
        <v>50</v>
      </c>
      <c r="C6" s="10">
        <f>C4-C5</f>
        <v>237637.24000000002</v>
      </c>
      <c r="D6" s="63"/>
      <c r="E6" s="12" t="s">
        <v>33</v>
      </c>
      <c r="F6" s="13">
        <f>F5+C5</f>
        <v>367276.30404750502</v>
      </c>
      <c r="I6" s="19"/>
    </row>
    <row r="7" spans="1:117" x14ac:dyDescent="0.15">
      <c r="A7" s="9" t="s">
        <v>70</v>
      </c>
      <c r="B7" s="5" t="s">
        <v>51</v>
      </c>
      <c r="C7" s="44">
        <f>C6/C3</f>
        <v>490.98603305785127</v>
      </c>
      <c r="D7" s="63"/>
      <c r="E7" s="14" t="s">
        <v>51</v>
      </c>
      <c r="F7" s="43">
        <f>F6/C3</f>
        <v>758.83533894112611</v>
      </c>
      <c r="G7" s="19">
        <f>F7/C2-1</f>
        <v>0.5334343833430184</v>
      </c>
    </row>
    <row r="8" spans="1:117" x14ac:dyDescent="0.15">
      <c r="A8" s="9" t="s">
        <v>71</v>
      </c>
      <c r="E8" s="6"/>
      <c r="F8" s="15"/>
    </row>
    <row r="9" spans="1:117" x14ac:dyDescent="0.15">
      <c r="B9" s="39">
        <v>2015</v>
      </c>
      <c r="C9" s="39">
        <v>2016</v>
      </c>
      <c r="D9" s="39">
        <v>2017</v>
      </c>
      <c r="E9" s="39">
        <f>D9+1</f>
        <v>2018</v>
      </c>
      <c r="F9" s="39">
        <f t="shared" ref="F9:V9" si="0">E9+1</f>
        <v>2019</v>
      </c>
      <c r="G9" s="39">
        <f t="shared" si="0"/>
        <v>2020</v>
      </c>
      <c r="H9" s="39">
        <f t="shared" si="0"/>
        <v>2021</v>
      </c>
      <c r="I9" s="39">
        <f t="shared" si="0"/>
        <v>2022</v>
      </c>
      <c r="J9" s="39">
        <f t="shared" si="0"/>
        <v>2023</v>
      </c>
      <c r="K9" s="39">
        <f t="shared" si="0"/>
        <v>2024</v>
      </c>
      <c r="L9" s="39">
        <f t="shared" si="0"/>
        <v>2025</v>
      </c>
      <c r="M9" s="39">
        <f t="shared" si="0"/>
        <v>2026</v>
      </c>
      <c r="N9" s="39">
        <f t="shared" si="0"/>
        <v>2027</v>
      </c>
      <c r="O9" s="39">
        <f t="shared" si="0"/>
        <v>2028</v>
      </c>
      <c r="P9" s="39">
        <f t="shared" si="0"/>
        <v>2029</v>
      </c>
      <c r="Q9" s="39">
        <f t="shared" si="0"/>
        <v>2030</v>
      </c>
      <c r="R9" s="39">
        <f t="shared" si="0"/>
        <v>2031</v>
      </c>
      <c r="S9" s="39">
        <f t="shared" si="0"/>
        <v>2032</v>
      </c>
      <c r="T9" s="39">
        <f t="shared" si="0"/>
        <v>2033</v>
      </c>
      <c r="U9" s="39">
        <f t="shared" si="0"/>
        <v>2034</v>
      </c>
      <c r="V9" s="39">
        <f t="shared" si="0"/>
        <v>2035</v>
      </c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39"/>
      <c r="CM9" s="39"/>
      <c r="CN9" s="39"/>
      <c r="CO9" s="39"/>
      <c r="CP9" s="39"/>
      <c r="CQ9" s="39"/>
      <c r="CR9" s="39"/>
      <c r="CS9" s="39"/>
      <c r="CT9" s="39"/>
      <c r="CU9" s="39"/>
      <c r="CV9" s="39"/>
      <c r="CW9" s="39"/>
      <c r="CX9" s="39"/>
      <c r="CY9" s="39"/>
      <c r="CZ9" s="39"/>
      <c r="DA9" s="39"/>
      <c r="DB9" s="39"/>
      <c r="DC9" s="39"/>
      <c r="DD9" s="39"/>
      <c r="DE9" s="39"/>
      <c r="DF9" s="39"/>
      <c r="DG9" s="39"/>
      <c r="DH9" s="39"/>
      <c r="DI9" s="39"/>
      <c r="DJ9" s="39"/>
      <c r="DK9" s="39"/>
      <c r="DL9" s="39"/>
      <c r="DM9" s="39"/>
    </row>
    <row r="10" spans="1:117" x14ac:dyDescent="0.15">
      <c r="A10" s="8" t="s">
        <v>73</v>
      </c>
      <c r="B10" s="23">
        <f>SUM(Reports!B3:E3)</f>
        <v>3223.9040000000005</v>
      </c>
      <c r="C10" s="23">
        <f>SUM(Reports!F3:I3)</f>
        <v>4584.8330000000005</v>
      </c>
      <c r="D10" s="38">
        <f>SUM(Reports!J3:M3)</f>
        <v>6133.8690000000006</v>
      </c>
      <c r="E10" s="38">
        <f>SUM(Reports!N3:Q3)</f>
        <v>7922.152</v>
      </c>
      <c r="F10" s="38">
        <f>SUM(Reports!R3:U3)</f>
        <v>9994.4639999999999</v>
      </c>
      <c r="G10" s="38">
        <f>SUM(Reports!V3:Y3)</f>
        <v>11814</v>
      </c>
      <c r="H10" s="38">
        <f>G10*1.15</f>
        <v>13586.099999999999</v>
      </c>
      <c r="I10" s="38">
        <f t="shared" ref="I10:L10" si="1">H10*1.15</f>
        <v>15624.014999999998</v>
      </c>
      <c r="J10" s="38">
        <f t="shared" si="1"/>
        <v>17967.617249999996</v>
      </c>
      <c r="K10" s="38">
        <f t="shared" si="1"/>
        <v>20662.759837499994</v>
      </c>
      <c r="L10" s="38">
        <f t="shared" si="1"/>
        <v>23762.173813124991</v>
      </c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  <c r="CH10" s="38"/>
      <c r="CI10" s="38"/>
      <c r="CJ10" s="38"/>
      <c r="CK10" s="38"/>
      <c r="CL10" s="38"/>
      <c r="CM10" s="38"/>
      <c r="CN10" s="38"/>
      <c r="CO10" s="38"/>
      <c r="CP10" s="38"/>
      <c r="CQ10" s="38"/>
      <c r="CR10" s="38"/>
      <c r="CS10" s="38"/>
      <c r="CT10" s="38"/>
      <c r="CU10" s="38"/>
      <c r="CV10" s="38"/>
      <c r="CW10" s="38"/>
      <c r="CX10" s="38"/>
      <c r="CY10" s="38"/>
      <c r="CZ10" s="38"/>
      <c r="DA10" s="38"/>
      <c r="DB10" s="38"/>
      <c r="DC10" s="38"/>
      <c r="DD10" s="38"/>
      <c r="DE10" s="38"/>
      <c r="DF10" s="38"/>
      <c r="DG10" s="38"/>
      <c r="DH10" s="38"/>
      <c r="DI10" s="38"/>
      <c r="DJ10" s="38"/>
      <c r="DK10" s="38"/>
      <c r="DL10" s="38"/>
      <c r="DM10" s="38"/>
    </row>
    <row r="11" spans="1:117" x14ac:dyDescent="0.15">
      <c r="A11" s="8" t="s">
        <v>74</v>
      </c>
      <c r="B11" s="23">
        <f>SUM(Reports!B4:E4)</f>
        <v>1125.1460000000002</v>
      </c>
      <c r="C11" s="23">
        <f>SUM(Reports!F4:I4)</f>
        <v>800.49800000000005</v>
      </c>
      <c r="D11" s="38">
        <f>SUM(Reports!J4:M4)</f>
        <v>706.76699999999994</v>
      </c>
      <c r="E11" s="38">
        <f>SUM(Reports!N4:Q4)</f>
        <v>622.15300000000002</v>
      </c>
      <c r="F11" s="38">
        <f>SUM(Reports!R4:U4)</f>
        <v>647.78800000000001</v>
      </c>
      <c r="G11" s="38">
        <f>SUM(Reports!V4:Y4)</f>
        <v>507</v>
      </c>
      <c r="H11" s="38">
        <f>G11*0.9</f>
        <v>456.3</v>
      </c>
      <c r="I11" s="38">
        <f t="shared" ref="I11:L11" si="2">H11*0.9</f>
        <v>410.67</v>
      </c>
      <c r="J11" s="38">
        <f t="shared" si="2"/>
        <v>369.60300000000001</v>
      </c>
      <c r="K11" s="38">
        <f t="shared" si="2"/>
        <v>332.64269999999999</v>
      </c>
      <c r="L11" s="38">
        <f t="shared" si="2"/>
        <v>299.37842999999998</v>
      </c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  <c r="CH11" s="38"/>
      <c r="CI11" s="38"/>
      <c r="CJ11" s="38"/>
      <c r="CK11" s="38"/>
      <c r="CL11" s="38"/>
      <c r="CM11" s="38"/>
      <c r="CN11" s="38"/>
      <c r="CO11" s="38"/>
      <c r="CP11" s="38"/>
      <c r="CQ11" s="38"/>
      <c r="CR11" s="38"/>
      <c r="CS11" s="38"/>
      <c r="CT11" s="38"/>
      <c r="CU11" s="38"/>
      <c r="CV11" s="38"/>
      <c r="CW11" s="38"/>
      <c r="CX11" s="38"/>
      <c r="CY11" s="38"/>
      <c r="CZ11" s="38"/>
      <c r="DA11" s="38"/>
      <c r="DB11" s="38"/>
      <c r="DC11" s="38"/>
      <c r="DD11" s="38"/>
      <c r="DE11" s="38"/>
      <c r="DF11" s="38"/>
      <c r="DG11" s="38"/>
      <c r="DH11" s="38"/>
      <c r="DI11" s="38"/>
      <c r="DJ11" s="38"/>
      <c r="DK11" s="38"/>
      <c r="DL11" s="38"/>
      <c r="DM11" s="38"/>
    </row>
    <row r="12" spans="1:117" x14ac:dyDescent="0.15">
      <c r="A12" s="8" t="s">
        <v>75</v>
      </c>
      <c r="B12" s="23">
        <f>SUM(Reports!B5:E5)</f>
        <v>446.46100000000001</v>
      </c>
      <c r="C12" s="23">
        <f>SUM(Reports!F5:I5)</f>
        <v>469.09900000000005</v>
      </c>
      <c r="D12" s="38">
        <f>SUM(Reports!J5:M5)</f>
        <v>460.86900000000003</v>
      </c>
      <c r="E12" s="38">
        <f>SUM(Reports!N5:Q5)</f>
        <v>485.70299999999997</v>
      </c>
      <c r="F12" s="38">
        <f>SUM(Reports!R5:U5)</f>
        <v>529.04399999999998</v>
      </c>
      <c r="G12" s="38">
        <f>SUM(Reports!V5:Y5)</f>
        <v>547</v>
      </c>
      <c r="H12" s="38">
        <f>G12*1.05</f>
        <v>574.35</v>
      </c>
      <c r="I12" s="38">
        <f t="shared" ref="I12:L12" si="3">H12*1.05</f>
        <v>603.0675</v>
      </c>
      <c r="J12" s="38">
        <f t="shared" si="3"/>
        <v>633.22087499999998</v>
      </c>
      <c r="K12" s="38">
        <f t="shared" si="3"/>
        <v>664.88191874999995</v>
      </c>
      <c r="L12" s="38">
        <f t="shared" si="3"/>
        <v>698.12601468749995</v>
      </c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</row>
    <row r="13" spans="1:117" s="39" customFormat="1" x14ac:dyDescent="0.15">
      <c r="F13" s="38">
        <v>11150</v>
      </c>
      <c r="H13" s="38">
        <v>15150</v>
      </c>
      <c r="I13" s="38"/>
    </row>
    <row r="14" spans="1:117" x14ac:dyDescent="0.15">
      <c r="A14" s="2" t="s">
        <v>4</v>
      </c>
      <c r="B14" s="24">
        <f t="shared" ref="B14:L14" si="4">SUM(B10:B12)</f>
        <v>4795.5110000000013</v>
      </c>
      <c r="C14" s="24">
        <f t="shared" si="4"/>
        <v>5854.43</v>
      </c>
      <c r="D14" s="24">
        <f t="shared" si="4"/>
        <v>7301.5050000000001</v>
      </c>
      <c r="E14" s="24">
        <f t="shared" si="4"/>
        <v>9030.0079999999998</v>
      </c>
      <c r="F14" s="24">
        <f t="shared" si="4"/>
        <v>11171.296</v>
      </c>
      <c r="G14" s="24">
        <f t="shared" si="4"/>
        <v>12868</v>
      </c>
      <c r="H14" s="47">
        <f t="shared" si="4"/>
        <v>14616.749999999998</v>
      </c>
      <c r="I14" s="47">
        <f t="shared" si="4"/>
        <v>16637.752499999999</v>
      </c>
      <c r="J14" s="47">
        <f t="shared" si="4"/>
        <v>18970.441124999994</v>
      </c>
      <c r="K14" s="47">
        <f t="shared" si="4"/>
        <v>21660.284456249996</v>
      </c>
      <c r="L14" s="47">
        <f t="shared" si="4"/>
        <v>24759.678257812491</v>
      </c>
      <c r="M14" s="47">
        <f t="shared" ref="M14:Q14" si="5">L14*1.1</f>
        <v>27235.646083593743</v>
      </c>
      <c r="N14" s="47">
        <f t="shared" si="5"/>
        <v>29959.210691953122</v>
      </c>
      <c r="O14" s="47">
        <f t="shared" si="5"/>
        <v>32955.131761148434</v>
      </c>
      <c r="P14" s="47">
        <f t="shared" si="5"/>
        <v>36250.644937263278</v>
      </c>
      <c r="Q14" s="47">
        <f t="shared" si="5"/>
        <v>39875.709430989606</v>
      </c>
      <c r="R14" s="47">
        <f t="shared" ref="Q14:V14" si="6">Q14*1.05</f>
        <v>41869.494902539089</v>
      </c>
      <c r="S14" s="47">
        <f t="shared" si="6"/>
        <v>43962.969647666047</v>
      </c>
      <c r="T14" s="47">
        <f t="shared" si="6"/>
        <v>46161.118130049348</v>
      </c>
      <c r="U14" s="47">
        <f t="shared" si="6"/>
        <v>48469.17403655182</v>
      </c>
      <c r="V14" s="47">
        <f t="shared" si="6"/>
        <v>50892.632738379412</v>
      </c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9"/>
      <c r="CO14" s="39"/>
      <c r="CP14" s="39"/>
      <c r="CQ14" s="39"/>
      <c r="CR14" s="39"/>
      <c r="CS14" s="39"/>
      <c r="CT14" s="39"/>
      <c r="CU14" s="39"/>
      <c r="CV14" s="39"/>
      <c r="CW14" s="39"/>
      <c r="CX14" s="39"/>
      <c r="CY14" s="39"/>
      <c r="CZ14" s="39"/>
      <c r="DA14" s="39"/>
      <c r="DB14" s="39"/>
      <c r="DC14" s="39"/>
      <c r="DD14" s="39"/>
      <c r="DE14" s="39"/>
      <c r="DF14" s="39"/>
      <c r="DG14" s="39"/>
      <c r="DH14" s="39"/>
      <c r="DI14" s="39"/>
      <c r="DJ14" s="39"/>
      <c r="DK14" s="39"/>
      <c r="DL14" s="39"/>
      <c r="DM14" s="39"/>
    </row>
    <row r="15" spans="1:117" x14ac:dyDescent="0.15">
      <c r="A15" s="3" t="s">
        <v>5</v>
      </c>
      <c r="B15" s="23">
        <f>SUM(Reports!B8:E8)</f>
        <v>744.31700000000001</v>
      </c>
      <c r="C15" s="23">
        <f>SUM(Reports!F8:I8)</f>
        <v>819.90800000000002</v>
      </c>
      <c r="D15" s="38">
        <f>SUM(Reports!J8:M8)</f>
        <v>1010.491</v>
      </c>
      <c r="E15" s="38">
        <f>SUM(Reports!N8:Q8)</f>
        <v>1194.999</v>
      </c>
      <c r="F15" s="38">
        <f>SUM(Reports!R8:U8)</f>
        <v>1672.72</v>
      </c>
      <c r="G15" s="38">
        <f>SUM(Reports!V8:Y8)</f>
        <v>1722</v>
      </c>
      <c r="H15" s="23">
        <f t="shared" ref="H15" si="7">H14-H16</f>
        <v>1956.0183012123089</v>
      </c>
      <c r="I15" s="23">
        <f t="shared" ref="I15:P15" si="8">I14-I16</f>
        <v>2226.4695216816908</v>
      </c>
      <c r="J15" s="23">
        <f t="shared" si="8"/>
        <v>2538.630682099003</v>
      </c>
      <c r="K15" s="23">
        <f>K14-K16</f>
        <v>2898.5864029889999</v>
      </c>
      <c r="L15" s="23">
        <f t="shared" si="8"/>
        <v>3313.3483027629045</v>
      </c>
      <c r="M15" s="23">
        <f t="shared" si="8"/>
        <v>3644.6831330391979</v>
      </c>
      <c r="N15" s="23">
        <f t="shared" si="8"/>
        <v>4009.1514463431158</v>
      </c>
      <c r="O15" s="23">
        <f t="shared" si="8"/>
        <v>4410.0665909774289</v>
      </c>
      <c r="P15" s="23">
        <f t="shared" si="8"/>
        <v>4851.0732500751728</v>
      </c>
      <c r="Q15" s="23">
        <f t="shared" ref="Q15:U15" si="9">Q14-Q16</f>
        <v>5336.1805750826898</v>
      </c>
      <c r="R15" s="23">
        <f t="shared" si="9"/>
        <v>5602.9896038368242</v>
      </c>
      <c r="S15" s="23">
        <f t="shared" si="9"/>
        <v>5883.1390840286622</v>
      </c>
      <c r="T15" s="23">
        <f t="shared" si="9"/>
        <v>6177.2960382300953</v>
      </c>
      <c r="U15" s="23">
        <f t="shared" si="9"/>
        <v>6486.1608401416015</v>
      </c>
      <c r="V15" s="23">
        <f t="shared" ref="V15" si="10">V14-V16</f>
        <v>6810.4688821486852</v>
      </c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  <c r="DI15" s="39"/>
      <c r="DJ15" s="39"/>
      <c r="DK15" s="39"/>
      <c r="DL15" s="39"/>
      <c r="DM15" s="39"/>
    </row>
    <row r="16" spans="1:117" x14ac:dyDescent="0.15">
      <c r="A16" s="3" t="s">
        <v>6</v>
      </c>
      <c r="B16" s="27">
        <f>B14-B15</f>
        <v>4051.1940000000013</v>
      </c>
      <c r="C16" s="27">
        <f>C14-C15</f>
        <v>5034.5219999999999</v>
      </c>
      <c r="D16" s="27">
        <f>D14-D15</f>
        <v>6291.0140000000001</v>
      </c>
      <c r="E16" s="27">
        <f>E14-E15</f>
        <v>7835.009</v>
      </c>
      <c r="F16" s="27">
        <f>F14-F15</f>
        <v>9498.5760000000009</v>
      </c>
      <c r="G16" s="27">
        <f>G14-G15</f>
        <v>11146</v>
      </c>
      <c r="H16" s="23">
        <f t="shared" ref="H16:V16" si="11">H14*G29</f>
        <v>12660.731698787689</v>
      </c>
      <c r="I16" s="23">
        <f t="shared" si="11"/>
        <v>14411.282978318308</v>
      </c>
      <c r="J16" s="23">
        <f t="shared" si="11"/>
        <v>16431.810442900991</v>
      </c>
      <c r="K16" s="23">
        <f>K14*J29</f>
        <v>18761.698053260996</v>
      </c>
      <c r="L16" s="23">
        <f t="shared" si="11"/>
        <v>21446.329955049587</v>
      </c>
      <c r="M16" s="23">
        <f t="shared" si="11"/>
        <v>23590.962950554545</v>
      </c>
      <c r="N16" s="23">
        <f t="shared" si="11"/>
        <v>25950.059245610006</v>
      </c>
      <c r="O16" s="23">
        <f t="shared" si="11"/>
        <v>28545.065170171005</v>
      </c>
      <c r="P16" s="23">
        <f t="shared" si="11"/>
        <v>31399.571687188105</v>
      </c>
      <c r="Q16" s="23">
        <f t="shared" si="11"/>
        <v>34539.528855906916</v>
      </c>
      <c r="R16" s="23">
        <f t="shared" si="11"/>
        <v>36266.505298702265</v>
      </c>
      <c r="S16" s="23">
        <f t="shared" si="11"/>
        <v>38079.830563637384</v>
      </c>
      <c r="T16" s="23">
        <f t="shared" si="11"/>
        <v>39983.822091819253</v>
      </c>
      <c r="U16" s="23">
        <f t="shared" si="11"/>
        <v>41983.013196410218</v>
      </c>
      <c r="V16" s="23">
        <f t="shared" si="11"/>
        <v>44082.163856230727</v>
      </c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39"/>
      <c r="CM16" s="39"/>
      <c r="CN16" s="39"/>
      <c r="CO16" s="39"/>
      <c r="CP16" s="39"/>
      <c r="CQ16" s="39"/>
      <c r="CR16" s="39"/>
      <c r="CS16" s="39"/>
      <c r="CT16" s="39"/>
      <c r="CU16" s="39"/>
      <c r="CV16" s="39"/>
      <c r="CW16" s="39"/>
      <c r="CX16" s="39"/>
      <c r="CY16" s="39"/>
      <c r="CZ16" s="39"/>
      <c r="DA16" s="39"/>
      <c r="DB16" s="39"/>
      <c r="DC16" s="39"/>
      <c r="DD16" s="39"/>
      <c r="DE16" s="39"/>
      <c r="DF16" s="39"/>
      <c r="DG16" s="39"/>
      <c r="DH16" s="39"/>
      <c r="DI16" s="39"/>
      <c r="DJ16" s="39"/>
      <c r="DK16" s="39"/>
      <c r="DL16" s="39"/>
      <c r="DM16" s="39"/>
    </row>
    <row r="17" spans="1:200" x14ac:dyDescent="0.15">
      <c r="A17" s="3" t="s">
        <v>7</v>
      </c>
      <c r="B17" s="23">
        <f>SUM(Reports!B10:E10)</f>
        <v>862.73</v>
      </c>
      <c r="C17" s="23">
        <f>SUM(Reports!F10:I10)</f>
        <v>975.98699999999985</v>
      </c>
      <c r="D17" s="38">
        <f>SUM(Reports!J10:M10)</f>
        <v>1224.0590000000002</v>
      </c>
      <c r="E17" s="38">
        <f>SUM(Reports!N10:Q10)</f>
        <v>1537.8119999999999</v>
      </c>
      <c r="F17" s="38">
        <f>SUM(Reports!R10:U10)</f>
        <v>1930.2280000000001</v>
      </c>
      <c r="G17" s="38">
        <f>SUM(Reports!V10:Y10)</f>
        <v>2188</v>
      </c>
      <c r="H17" s="23">
        <f>G17*1.15</f>
        <v>2516.1999999999998</v>
      </c>
      <c r="I17" s="23">
        <f t="shared" ref="I17:L17" si="12">H17*1.15</f>
        <v>2893.6299999999997</v>
      </c>
      <c r="J17" s="23">
        <f t="shared" si="12"/>
        <v>3327.6744999999992</v>
      </c>
      <c r="K17" s="23">
        <f t="shared" si="12"/>
        <v>3826.8256749999987</v>
      </c>
      <c r="L17" s="23">
        <f t="shared" si="12"/>
        <v>4400.8495262499982</v>
      </c>
      <c r="M17" s="23">
        <f t="shared" ref="M17:P17" si="13">L17*1.1</f>
        <v>4840.9344788749986</v>
      </c>
      <c r="N17" s="23">
        <f t="shared" ref="N17" si="14">M17*1.1</f>
        <v>5325.0279267624992</v>
      </c>
      <c r="O17" s="23">
        <f t="shared" ref="O17" si="15">N17*1.1</f>
        <v>5857.5307194387497</v>
      </c>
      <c r="P17" s="23">
        <f t="shared" ref="P17" si="16">O17*1.1</f>
        <v>6443.2837913826252</v>
      </c>
      <c r="Q17" s="23">
        <f t="shared" ref="Q17" si="17">P17*1.1</f>
        <v>7087.612170520888</v>
      </c>
      <c r="R17" s="23">
        <f>Q17*1.05</f>
        <v>7441.9927790469328</v>
      </c>
      <c r="S17" s="23">
        <f t="shared" ref="S17:V17" si="18">R17*1.05</f>
        <v>7814.0924179992799</v>
      </c>
      <c r="T17" s="23">
        <f t="shared" si="18"/>
        <v>8204.7970388992435</v>
      </c>
      <c r="U17" s="23">
        <f t="shared" si="18"/>
        <v>8615.0368908442069</v>
      </c>
      <c r="V17" s="23">
        <f t="shared" si="18"/>
        <v>9045.7887353864171</v>
      </c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</row>
    <row r="18" spans="1:200" x14ac:dyDescent="0.15">
      <c r="A18" s="3" t="s">
        <v>8</v>
      </c>
      <c r="B18" s="23">
        <f>SUM(Reports!B11:E11)</f>
        <v>1683.242</v>
      </c>
      <c r="C18" s="23">
        <f>SUM(Reports!F11:I11)</f>
        <v>1910.1970000000001</v>
      </c>
      <c r="D18" s="38">
        <f>SUM(Reports!J11:M11)</f>
        <v>2197.5919999999996</v>
      </c>
      <c r="E18" s="38">
        <f>SUM(Reports!N11:Q11)</f>
        <v>2620.8289999999997</v>
      </c>
      <c r="F18" s="38">
        <f>SUM(Reports!R11:U11)</f>
        <v>3244.3469999999998</v>
      </c>
      <c r="G18" s="38">
        <f>SUM(Reports!V11:Y11)</f>
        <v>3591</v>
      </c>
      <c r="H18" s="23">
        <f>G18*1.1</f>
        <v>3950.1000000000004</v>
      </c>
      <c r="I18" s="23">
        <f t="shared" ref="I18:L18" si="19">H18*1.1</f>
        <v>4345.1100000000006</v>
      </c>
      <c r="J18" s="23">
        <f t="shared" si="19"/>
        <v>4779.621000000001</v>
      </c>
      <c r="K18" s="23">
        <f t="shared" si="19"/>
        <v>5257.5831000000017</v>
      </c>
      <c r="L18" s="23">
        <f t="shared" si="19"/>
        <v>5783.3414100000027</v>
      </c>
      <c r="M18" s="23">
        <f t="shared" ref="M18" si="20">L18*1.05</f>
        <v>6072.5084805000033</v>
      </c>
      <c r="N18" s="23">
        <f t="shared" ref="N18:N19" si="21">M18*1.05</f>
        <v>6376.1339045250033</v>
      </c>
      <c r="O18" s="23">
        <f t="shared" ref="O18:O19" si="22">N18*1.05</f>
        <v>6694.940599751254</v>
      </c>
      <c r="P18" s="23">
        <f t="shared" ref="P18:P19" si="23">O18*1.05</f>
        <v>7029.6876297388171</v>
      </c>
      <c r="Q18" s="23">
        <f t="shared" ref="Q18:Q19" si="24">P18*1.05</f>
        <v>7381.1720112257581</v>
      </c>
      <c r="R18" s="23">
        <f>Q18*0.95</f>
        <v>7012.1134106644695</v>
      </c>
      <c r="S18" s="23">
        <f t="shared" ref="S18:V18" si="25">R18*0.95</f>
        <v>6661.5077401312456</v>
      </c>
      <c r="T18" s="23">
        <f t="shared" si="25"/>
        <v>6328.4323531246828</v>
      </c>
      <c r="U18" s="23">
        <f t="shared" si="25"/>
        <v>6012.0107354684487</v>
      </c>
      <c r="V18" s="23">
        <f t="shared" si="25"/>
        <v>5711.4101986950263</v>
      </c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39"/>
      <c r="CM18" s="39"/>
      <c r="CN18" s="39"/>
      <c r="CO18" s="39"/>
      <c r="CP18" s="39"/>
      <c r="CQ18" s="39"/>
      <c r="CR18" s="39"/>
      <c r="CS18" s="39"/>
      <c r="CT18" s="39"/>
      <c r="CU18" s="39"/>
      <c r="CV18" s="39"/>
      <c r="CW18" s="39"/>
      <c r="CX18" s="39"/>
      <c r="CY18" s="39"/>
      <c r="CZ18" s="39"/>
      <c r="DA18" s="39"/>
      <c r="DB18" s="39"/>
      <c r="DC18" s="39"/>
      <c r="DD18" s="39"/>
      <c r="DE18" s="39"/>
      <c r="DF18" s="39"/>
      <c r="DG18" s="39"/>
      <c r="DH18" s="39"/>
      <c r="DI18" s="39"/>
      <c r="DJ18" s="39"/>
      <c r="DK18" s="39"/>
      <c r="DL18" s="39"/>
      <c r="DM18" s="39"/>
    </row>
    <row r="19" spans="1:200" x14ac:dyDescent="0.15">
      <c r="A19" s="3" t="s">
        <v>9</v>
      </c>
      <c r="B19" s="23">
        <f>SUM(Reports!B12:E12)</f>
        <v>602.12699999999995</v>
      </c>
      <c r="C19" s="23">
        <f>SUM(Reports!F12:I12)</f>
        <v>654.7360000000001</v>
      </c>
      <c r="D19" s="38">
        <f>SUM(Reports!J12:M12)</f>
        <v>701.26799999999992</v>
      </c>
      <c r="E19" s="38">
        <f>SUM(Reports!N12:Q12)</f>
        <v>835.99900000000002</v>
      </c>
      <c r="F19" s="38">
        <f>SUM(Reports!R12:U12)</f>
        <v>1055.8810000000001</v>
      </c>
      <c r="G19" s="38">
        <f>SUM(Reports!V12:Y12)</f>
        <v>1130</v>
      </c>
      <c r="H19" s="23">
        <f>G19*1.05</f>
        <v>1186.5</v>
      </c>
      <c r="I19" s="23">
        <f t="shared" ref="I19:L19" si="26">H19*1.05</f>
        <v>1245.825</v>
      </c>
      <c r="J19" s="23">
        <f t="shared" si="26"/>
        <v>1308.11625</v>
      </c>
      <c r="K19" s="23">
        <f t="shared" si="26"/>
        <v>1373.5220625000002</v>
      </c>
      <c r="L19" s="23">
        <f t="shared" si="26"/>
        <v>1442.1981656250002</v>
      </c>
      <c r="M19" s="23">
        <f t="shared" ref="M19" si="27">L19*1.05</f>
        <v>1514.3080739062502</v>
      </c>
      <c r="N19" s="23">
        <f t="shared" si="21"/>
        <v>1590.0234776015627</v>
      </c>
      <c r="O19" s="23">
        <f t="shared" si="22"/>
        <v>1669.5246514816408</v>
      </c>
      <c r="P19" s="23">
        <f t="shared" si="23"/>
        <v>1753.000884055723</v>
      </c>
      <c r="Q19" s="23">
        <f t="shared" si="24"/>
        <v>1840.6509282585091</v>
      </c>
      <c r="R19" s="23">
        <f t="shared" ref="Q19:V19" si="28">Q19*0.98</f>
        <v>1803.8379096933388</v>
      </c>
      <c r="S19" s="23">
        <f t="shared" si="28"/>
        <v>1767.7611514994719</v>
      </c>
      <c r="T19" s="23">
        <f t="shared" si="28"/>
        <v>1732.4059284694824</v>
      </c>
      <c r="U19" s="23">
        <f t="shared" si="28"/>
        <v>1697.7578099000928</v>
      </c>
      <c r="V19" s="23">
        <f t="shared" si="28"/>
        <v>1663.8026537020908</v>
      </c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  <c r="DG19" s="39"/>
      <c r="DH19" s="39"/>
      <c r="DI19" s="39"/>
      <c r="DJ19" s="39"/>
      <c r="DK19" s="39"/>
      <c r="DL19" s="39"/>
      <c r="DM19" s="39"/>
    </row>
    <row r="20" spans="1:200" x14ac:dyDescent="0.15">
      <c r="A20" s="3" t="s">
        <v>10</v>
      </c>
      <c r="B20" s="27">
        <f>SUM(B17:B19)</f>
        <v>3148.0989999999997</v>
      </c>
      <c r="C20" s="27">
        <f>SUM(C17:C19)</f>
        <v>3540.92</v>
      </c>
      <c r="D20" s="27">
        <f>SUM(D17:D19)</f>
        <v>4122.9189999999999</v>
      </c>
      <c r="E20" s="27">
        <f>SUM(E17:E19)</f>
        <v>4994.6399999999994</v>
      </c>
      <c r="F20" s="27">
        <f>SUM(F17:F19)</f>
        <v>6230.4560000000001</v>
      </c>
      <c r="G20" s="27">
        <f>SUM(G17:G19)</f>
        <v>6909</v>
      </c>
      <c r="H20" s="23">
        <f t="shared" ref="H20" si="29">SUM(H17:H19)</f>
        <v>7652.8</v>
      </c>
      <c r="I20" s="23">
        <f t="shared" ref="I20:P20" si="30">SUM(I17:I19)</f>
        <v>8484.5650000000005</v>
      </c>
      <c r="J20" s="23">
        <f t="shared" si="30"/>
        <v>9415.4117499999993</v>
      </c>
      <c r="K20" s="23">
        <f t="shared" si="30"/>
        <v>10457.9308375</v>
      </c>
      <c r="L20" s="23">
        <f t="shared" si="30"/>
        <v>11626.389101875002</v>
      </c>
      <c r="M20" s="23">
        <f t="shared" si="30"/>
        <v>12427.751033281253</v>
      </c>
      <c r="N20" s="23">
        <f t="shared" ref="N20:Q20" si="31">SUM(N17:N19)</f>
        <v>13291.185308889066</v>
      </c>
      <c r="O20" s="23">
        <f t="shared" si="31"/>
        <v>14221.995970671645</v>
      </c>
      <c r="P20" s="23">
        <f t="shared" si="31"/>
        <v>15225.972305177165</v>
      </c>
      <c r="Q20" s="23">
        <f t="shared" si="31"/>
        <v>16309.435110005155</v>
      </c>
      <c r="R20" s="23">
        <f t="shared" ref="Q20:U20" si="32">SUM(R17:R19)</f>
        <v>16257.94409940474</v>
      </c>
      <c r="S20" s="23">
        <f t="shared" si="32"/>
        <v>16243.361309629996</v>
      </c>
      <c r="T20" s="23">
        <f t="shared" si="32"/>
        <v>16265.635320493409</v>
      </c>
      <c r="U20" s="23">
        <f t="shared" si="32"/>
        <v>16324.805436212748</v>
      </c>
      <c r="V20" s="23">
        <f t="shared" ref="V20" si="33">SUM(V17:V19)</f>
        <v>16421.001587783536</v>
      </c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</row>
    <row r="21" spans="1:200" x14ac:dyDescent="0.15">
      <c r="A21" s="3" t="s">
        <v>11</v>
      </c>
      <c r="B21" s="27">
        <f>B16-B20</f>
        <v>903.09500000000162</v>
      </c>
      <c r="C21" s="27">
        <f>C16-C20</f>
        <v>1493.6019999999999</v>
      </c>
      <c r="D21" s="27">
        <f>D16-D20</f>
        <v>2168.0950000000003</v>
      </c>
      <c r="E21" s="27">
        <f>E16-E20</f>
        <v>2840.3690000000006</v>
      </c>
      <c r="F21" s="27">
        <f>F16-F20</f>
        <v>3268.1200000000008</v>
      </c>
      <c r="G21" s="27">
        <f>G16-G20</f>
        <v>4237</v>
      </c>
      <c r="H21" s="23">
        <f t="shared" ref="H21" si="34">H16-H20</f>
        <v>5007.9316987876891</v>
      </c>
      <c r="I21" s="23">
        <f t="shared" ref="I21:P21" si="35">I16-I20</f>
        <v>5926.7179783183074</v>
      </c>
      <c r="J21" s="23">
        <f t="shared" si="35"/>
        <v>7016.3986929009916</v>
      </c>
      <c r="K21" s="23">
        <f t="shared" si="35"/>
        <v>8303.7672157609959</v>
      </c>
      <c r="L21" s="23">
        <f t="shared" si="35"/>
        <v>9819.9408531745848</v>
      </c>
      <c r="M21" s="23">
        <f t="shared" si="35"/>
        <v>11163.211917273293</v>
      </c>
      <c r="N21" s="23">
        <f t="shared" si="35"/>
        <v>12658.87393672094</v>
      </c>
      <c r="O21" s="23">
        <f t="shared" si="35"/>
        <v>14323.069199499359</v>
      </c>
      <c r="P21" s="23">
        <f t="shared" si="35"/>
        <v>16173.59938201094</v>
      </c>
      <c r="Q21" s="23">
        <f t="shared" ref="Q21:U21" si="36">Q16-Q20</f>
        <v>18230.093745901759</v>
      </c>
      <c r="R21" s="23">
        <f t="shared" si="36"/>
        <v>20008.561199297525</v>
      </c>
      <c r="S21" s="23">
        <f t="shared" si="36"/>
        <v>21836.469254007388</v>
      </c>
      <c r="T21" s="23">
        <f t="shared" si="36"/>
        <v>23718.186771325843</v>
      </c>
      <c r="U21" s="23">
        <f t="shared" si="36"/>
        <v>25658.207760197471</v>
      </c>
      <c r="V21" s="23">
        <f t="shared" ref="V21" si="37">V16-V20</f>
        <v>27661.162268447191</v>
      </c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</row>
    <row r="22" spans="1:200" x14ac:dyDescent="0.15">
      <c r="A22" s="3" t="s">
        <v>12</v>
      </c>
      <c r="B22" s="23">
        <f>SUM(Reports!B15:E15)</f>
        <v>-29.314</v>
      </c>
      <c r="C22" s="23">
        <f>SUM(Reports!F15:I15)</f>
        <v>-58.463999999999999</v>
      </c>
      <c r="D22" s="38">
        <f>SUM(Reports!J15:M15)</f>
        <v>-30.454000000000004</v>
      </c>
      <c r="E22" s="23">
        <f>SUM(Reports!N15:Q15)</f>
        <v>-46.493000000000002</v>
      </c>
      <c r="F22" s="38">
        <f>SUM(Reports!R15:U15)</f>
        <v>-63.378999999999998</v>
      </c>
      <c r="G22" s="38">
        <f>SUM(Reports!V15:Y15)</f>
        <v>-61</v>
      </c>
      <c r="H22" s="23">
        <f t="shared" ref="H22:V22" si="38">G39*$F$3</f>
        <v>37.5</v>
      </c>
      <c r="I22" s="23">
        <f t="shared" si="38"/>
        <v>128.3177705781784</v>
      </c>
      <c r="J22" s="23">
        <f t="shared" si="38"/>
        <v>237.30841405831515</v>
      </c>
      <c r="K22" s="23">
        <f t="shared" si="38"/>
        <v>367.87514198358264</v>
      </c>
      <c r="L22" s="23">
        <f t="shared" si="38"/>
        <v>523.96470442298505</v>
      </c>
      <c r="M22" s="23">
        <f t="shared" si="38"/>
        <v>710.15500445974135</v>
      </c>
      <c r="N22" s="23">
        <f t="shared" si="38"/>
        <v>923.87560905093596</v>
      </c>
      <c r="O22" s="23">
        <f t="shared" si="38"/>
        <v>1168.3651008748297</v>
      </c>
      <c r="P22" s="23">
        <f t="shared" si="38"/>
        <v>1447.210918281565</v>
      </c>
      <c r="Q22" s="23">
        <f t="shared" si="38"/>
        <v>1764.3855036868301</v>
      </c>
      <c r="R22" s="23">
        <f t="shared" si="38"/>
        <v>2124.2861301794246</v>
      </c>
      <c r="S22" s="23">
        <f t="shared" si="38"/>
        <v>2522.6773821100101</v>
      </c>
      <c r="T22" s="23">
        <f t="shared" si="38"/>
        <v>2961.1420215601229</v>
      </c>
      <c r="U22" s="23">
        <f t="shared" si="38"/>
        <v>3441.3699398320705</v>
      </c>
      <c r="V22" s="23">
        <f t="shared" si="38"/>
        <v>3965.1623384326022</v>
      </c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  <c r="DI22" s="39"/>
      <c r="DJ22" s="39"/>
      <c r="DK22" s="39"/>
      <c r="DL22" s="39"/>
      <c r="DM22" s="39"/>
    </row>
    <row r="23" spans="1:200" x14ac:dyDescent="0.15">
      <c r="A23" s="3" t="s">
        <v>13</v>
      </c>
      <c r="B23" s="27">
        <f>B21+B22</f>
        <v>873.78100000000165</v>
      </c>
      <c r="C23" s="27">
        <f>C21+C22</f>
        <v>1435.1379999999999</v>
      </c>
      <c r="D23" s="27">
        <f>D21+D22</f>
        <v>2137.6410000000001</v>
      </c>
      <c r="E23" s="27">
        <f>E21+E22</f>
        <v>2793.8760000000007</v>
      </c>
      <c r="F23" s="27">
        <f>F21+F22</f>
        <v>3204.7410000000009</v>
      </c>
      <c r="G23" s="27">
        <f>G21+G22</f>
        <v>4176</v>
      </c>
      <c r="H23" s="23">
        <f t="shared" ref="H23" si="39">H21+H22</f>
        <v>5045.4316987876891</v>
      </c>
      <c r="I23" s="23">
        <f t="shared" ref="I23" si="40">I21+I22</f>
        <v>6055.0357488964855</v>
      </c>
      <c r="J23" s="23">
        <f t="shared" ref="J23" si="41">J21+J22</f>
        <v>7253.7071069593067</v>
      </c>
      <c r="K23" s="23">
        <f t="shared" ref="K23" si="42">K21+K22</f>
        <v>8671.6423577445785</v>
      </c>
      <c r="L23" s="23">
        <f t="shared" ref="L23" si="43">L21+L22</f>
        <v>10343.905557597569</v>
      </c>
      <c r="M23" s="23">
        <f t="shared" ref="M23" si="44">M21+M22</f>
        <v>11873.366921733033</v>
      </c>
      <c r="N23" s="23">
        <f t="shared" ref="N23" si="45">N21+N22</f>
        <v>13582.749545771876</v>
      </c>
      <c r="O23" s="23">
        <f t="shared" ref="O23" si="46">O21+O22</f>
        <v>15491.434300374189</v>
      </c>
      <c r="P23" s="23">
        <f t="shared" ref="P23:Q23" si="47">P21+P22</f>
        <v>17620.810300292505</v>
      </c>
      <c r="Q23" s="23">
        <f t="shared" si="47"/>
        <v>19994.479249588589</v>
      </c>
      <c r="R23" s="23">
        <f t="shared" ref="R23:U23" si="48">R21+R22</f>
        <v>22132.84732947695</v>
      </c>
      <c r="S23" s="23">
        <f t="shared" si="48"/>
        <v>24359.146636117399</v>
      </c>
      <c r="T23" s="23">
        <f t="shared" si="48"/>
        <v>26679.328792885965</v>
      </c>
      <c r="U23" s="23">
        <f t="shared" si="48"/>
        <v>29099.577700029542</v>
      </c>
      <c r="V23" s="23">
        <f t="shared" ref="V23" si="49">V21+V22</f>
        <v>31626.324606879793</v>
      </c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  <c r="DI23" s="39"/>
      <c r="DJ23" s="39"/>
      <c r="DK23" s="39"/>
      <c r="DL23" s="39"/>
      <c r="DM23" s="39"/>
    </row>
    <row r="24" spans="1:200" x14ac:dyDescent="0.15">
      <c r="A24" s="3" t="s">
        <v>14</v>
      </c>
      <c r="B24" s="23">
        <f>SUM(Reports!B17:E17)</f>
        <v>244.23000000000002</v>
      </c>
      <c r="C24" s="23">
        <f>SUM(Reports!F17:I17)</f>
        <v>266.35599999999999</v>
      </c>
      <c r="D24" s="38">
        <f>SUM(Reports!J17:M17)</f>
        <v>443.68700000000001</v>
      </c>
      <c r="E24" s="23">
        <f>SUM(Reports!N17:Q17)</f>
        <v>203.102</v>
      </c>
      <c r="F24" s="38">
        <f>SUM(Reports!R17:U17)</f>
        <v>253.28300000000002</v>
      </c>
      <c r="G24" s="38">
        <f>SUM(Reports!V17:Y17)</f>
        <v>100.66978739942763</v>
      </c>
      <c r="H24" s="23">
        <f t="shared" ref="H24:P24" si="50">H23*0.1</f>
        <v>504.54316987876894</v>
      </c>
      <c r="I24" s="23">
        <f t="shared" si="50"/>
        <v>605.50357488964858</v>
      </c>
      <c r="J24" s="23">
        <f t="shared" si="50"/>
        <v>725.37071069593071</v>
      </c>
      <c r="K24" s="23">
        <f t="shared" si="50"/>
        <v>867.16423577445789</v>
      </c>
      <c r="L24" s="23">
        <f t="shared" si="50"/>
        <v>1034.390555759757</v>
      </c>
      <c r="M24" s="23">
        <f t="shared" si="50"/>
        <v>1187.3366921733034</v>
      </c>
      <c r="N24" s="23">
        <f t="shared" si="50"/>
        <v>1358.2749545771876</v>
      </c>
      <c r="O24" s="23">
        <f t="shared" si="50"/>
        <v>1549.143430037419</v>
      </c>
      <c r="P24" s="23">
        <f t="shared" si="50"/>
        <v>1762.0810300292505</v>
      </c>
      <c r="Q24" s="23">
        <f t="shared" ref="Q24:U24" si="51">Q23*0.1</f>
        <v>1999.4479249588589</v>
      </c>
      <c r="R24" s="23">
        <f t="shared" si="51"/>
        <v>2213.2847329476949</v>
      </c>
      <c r="S24" s="23">
        <f t="shared" si="51"/>
        <v>2435.9146636117398</v>
      </c>
      <c r="T24" s="23">
        <f t="shared" si="51"/>
        <v>2667.9328792885967</v>
      </c>
      <c r="U24" s="23">
        <f t="shared" si="51"/>
        <v>2909.9577700029545</v>
      </c>
      <c r="V24" s="23">
        <f t="shared" ref="V24" si="52">V23*0.1</f>
        <v>3162.6324606879793</v>
      </c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39"/>
    </row>
    <row r="25" spans="1:200" s="2" customFormat="1" x14ac:dyDescent="0.15">
      <c r="A25" s="2" t="s">
        <v>15</v>
      </c>
      <c r="B25" s="24">
        <f>B23-B24</f>
        <v>629.55100000000164</v>
      </c>
      <c r="C25" s="24">
        <f>C23-C24</f>
        <v>1168.7819999999999</v>
      </c>
      <c r="D25" s="24">
        <f>D23-D24</f>
        <v>1693.9540000000002</v>
      </c>
      <c r="E25" s="24">
        <f>E23-E24</f>
        <v>2590.7740000000008</v>
      </c>
      <c r="F25" s="24">
        <f t="shared" ref="F25:H25" si="53">F23-F24</f>
        <v>2951.458000000001</v>
      </c>
      <c r="G25" s="24">
        <f>G23-G24</f>
        <v>4075.3302126005724</v>
      </c>
      <c r="H25" s="24">
        <f t="shared" si="53"/>
        <v>4540.8885289089203</v>
      </c>
      <c r="I25" s="24">
        <f t="shared" ref="I25:P25" si="54">I23-I24</f>
        <v>5449.5321740068366</v>
      </c>
      <c r="J25" s="24">
        <f t="shared" si="54"/>
        <v>6528.3363962633757</v>
      </c>
      <c r="K25" s="24">
        <f t="shared" si="54"/>
        <v>7804.4781219701208</v>
      </c>
      <c r="L25" s="24">
        <f t="shared" si="54"/>
        <v>9309.5150018378117</v>
      </c>
      <c r="M25" s="24">
        <f t="shared" si="54"/>
        <v>10686.03022955973</v>
      </c>
      <c r="N25" s="24">
        <f t="shared" si="54"/>
        <v>12224.474591194688</v>
      </c>
      <c r="O25" s="24">
        <f t="shared" si="54"/>
        <v>13942.29087033677</v>
      </c>
      <c r="P25" s="24">
        <f t="shared" si="54"/>
        <v>15858.729270263255</v>
      </c>
      <c r="Q25" s="24">
        <f t="shared" ref="Q25:U25" si="55">Q23-Q24</f>
        <v>17995.03132462973</v>
      </c>
      <c r="R25" s="24">
        <f t="shared" si="55"/>
        <v>19919.562596529257</v>
      </c>
      <c r="S25" s="24">
        <f t="shared" si="55"/>
        <v>21923.231972505659</v>
      </c>
      <c r="T25" s="24">
        <f t="shared" si="55"/>
        <v>24011.395913597367</v>
      </c>
      <c r="U25" s="24">
        <f t="shared" si="55"/>
        <v>26189.619930026587</v>
      </c>
      <c r="V25" s="24">
        <f t="shared" ref="V25" si="56">V23-V24</f>
        <v>28463.692146191814</v>
      </c>
      <c r="W25" s="24">
        <f t="shared" ref="V25:BY25" si="57">V25*($F$2+1)</f>
        <v>28179.055224729895</v>
      </c>
      <c r="X25" s="24">
        <f t="shared" si="57"/>
        <v>27897.264672482597</v>
      </c>
      <c r="Y25" s="24">
        <f t="shared" si="57"/>
        <v>27618.292025757772</v>
      </c>
      <c r="Z25" s="24">
        <f t="shared" si="57"/>
        <v>27342.109105500193</v>
      </c>
      <c r="AA25" s="24">
        <f t="shared" si="57"/>
        <v>27068.68801444519</v>
      </c>
      <c r="AB25" s="24">
        <f t="shared" si="57"/>
        <v>26798.001134300739</v>
      </c>
      <c r="AC25" s="24">
        <f t="shared" si="57"/>
        <v>26530.021122957733</v>
      </c>
      <c r="AD25" s="24">
        <f t="shared" si="57"/>
        <v>26264.720911728156</v>
      </c>
      <c r="AE25" s="24">
        <f t="shared" si="57"/>
        <v>26002.073702610876</v>
      </c>
      <c r="AF25" s="24">
        <f t="shared" si="57"/>
        <v>25742.052965584768</v>
      </c>
      <c r="AG25" s="24">
        <f t="shared" si="57"/>
        <v>25484.632435928921</v>
      </c>
      <c r="AH25" s="24">
        <f t="shared" si="57"/>
        <v>25229.786111569632</v>
      </c>
      <c r="AI25" s="24">
        <f t="shared" si="57"/>
        <v>24977.488250453935</v>
      </c>
      <c r="AJ25" s="24">
        <f t="shared" si="57"/>
        <v>24727.713367949396</v>
      </c>
      <c r="AK25" s="24">
        <f t="shared" si="57"/>
        <v>24480.436234269902</v>
      </c>
      <c r="AL25" s="24">
        <f t="shared" si="57"/>
        <v>24235.631871927202</v>
      </c>
      <c r="AM25" s="24">
        <f t="shared" si="57"/>
        <v>23993.275553207928</v>
      </c>
      <c r="AN25" s="24">
        <f t="shared" si="57"/>
        <v>23753.34279767585</v>
      </c>
      <c r="AO25" s="24">
        <f t="shared" si="57"/>
        <v>23515.809369699091</v>
      </c>
      <c r="AP25" s="24">
        <f t="shared" si="57"/>
        <v>23280.6512760021</v>
      </c>
      <c r="AQ25" s="24">
        <f t="shared" si="57"/>
        <v>23047.844763242079</v>
      </c>
      <c r="AR25" s="24">
        <f t="shared" si="57"/>
        <v>22817.366315609659</v>
      </c>
      <c r="AS25" s="24">
        <f t="shared" si="57"/>
        <v>22589.192652453563</v>
      </c>
      <c r="AT25" s="24">
        <f t="shared" si="57"/>
        <v>22363.300725929028</v>
      </c>
      <c r="AU25" s="24">
        <f t="shared" si="57"/>
        <v>22139.667718669738</v>
      </c>
      <c r="AV25" s="24">
        <f t="shared" si="57"/>
        <v>21918.27104148304</v>
      </c>
      <c r="AW25" s="24">
        <f t="shared" si="57"/>
        <v>21699.088331068207</v>
      </c>
      <c r="AX25" s="24">
        <f t="shared" si="57"/>
        <v>21482.097447757526</v>
      </c>
      <c r="AY25" s="24">
        <f t="shared" si="57"/>
        <v>21267.276473279951</v>
      </c>
      <c r="AZ25" s="24">
        <f t="shared" si="57"/>
        <v>21054.603708547151</v>
      </c>
      <c r="BA25" s="24">
        <f t="shared" si="57"/>
        <v>20844.05767146168</v>
      </c>
      <c r="BB25" s="24">
        <f t="shared" si="57"/>
        <v>20635.617094747064</v>
      </c>
      <c r="BC25" s="24">
        <f t="shared" si="57"/>
        <v>20429.260923799593</v>
      </c>
      <c r="BD25" s="24">
        <f t="shared" si="57"/>
        <v>20224.968314561596</v>
      </c>
      <c r="BE25" s="24">
        <f t="shared" si="57"/>
        <v>20022.718631415981</v>
      </c>
      <c r="BF25" s="24">
        <f t="shared" si="57"/>
        <v>19822.491445101819</v>
      </c>
      <c r="BG25" s="24">
        <f t="shared" si="57"/>
        <v>19624.266530650802</v>
      </c>
      <c r="BH25" s="24">
        <f t="shared" si="57"/>
        <v>19428.023865344294</v>
      </c>
      <c r="BI25" s="24">
        <f t="shared" si="57"/>
        <v>19233.743626690852</v>
      </c>
      <c r="BJ25" s="24">
        <f t="shared" si="57"/>
        <v>19041.406190423942</v>
      </c>
      <c r="BK25" s="24">
        <f t="shared" si="57"/>
        <v>18850.992128519702</v>
      </c>
      <c r="BL25" s="24">
        <f t="shared" si="57"/>
        <v>18662.482207234505</v>
      </c>
      <c r="BM25" s="24">
        <f t="shared" si="57"/>
        <v>18475.857385162159</v>
      </c>
      <c r="BN25" s="24">
        <f t="shared" si="57"/>
        <v>18291.098811310538</v>
      </c>
      <c r="BO25" s="24">
        <f t="shared" si="57"/>
        <v>18108.187823197433</v>
      </c>
      <c r="BP25" s="24">
        <f t="shared" si="57"/>
        <v>17927.10594496546</v>
      </c>
      <c r="BQ25" s="24">
        <f t="shared" si="57"/>
        <v>17747.834885515807</v>
      </c>
      <c r="BR25" s="24">
        <f t="shared" si="57"/>
        <v>17570.356536660649</v>
      </c>
      <c r="BS25" s="24">
        <f t="shared" si="57"/>
        <v>17394.652971294043</v>
      </c>
      <c r="BT25" s="24">
        <f t="shared" si="57"/>
        <v>17220.706441581104</v>
      </c>
      <c r="BU25" s="24">
        <f t="shared" si="57"/>
        <v>17048.499377165292</v>
      </c>
      <c r="BV25" s="24">
        <f t="shared" si="57"/>
        <v>16878.014383393638</v>
      </c>
      <c r="BW25" s="24">
        <f t="shared" si="57"/>
        <v>16709.234239559701</v>
      </c>
      <c r="BX25" s="24">
        <f t="shared" si="57"/>
        <v>16542.141897164103</v>
      </c>
      <c r="BY25" s="24">
        <f t="shared" si="57"/>
        <v>16376.720478192463</v>
      </c>
      <c r="BZ25" s="24">
        <f t="shared" ref="BZ25:DM25" si="58">BY25*($F$2+1)</f>
        <v>16212.953273410538</v>
      </c>
      <c r="CA25" s="24">
        <f t="shared" si="58"/>
        <v>16050.823740676433</v>
      </c>
      <c r="CB25" s="24">
        <f t="shared" si="58"/>
        <v>15890.315503269669</v>
      </c>
      <c r="CC25" s="24">
        <f t="shared" si="58"/>
        <v>15731.412348236972</v>
      </c>
      <c r="CD25" s="24">
        <f t="shared" si="58"/>
        <v>15574.098224754602</v>
      </c>
      <c r="CE25" s="24">
        <f t="shared" si="58"/>
        <v>15418.357242507056</v>
      </c>
      <c r="CF25" s="24">
        <f t="shared" si="58"/>
        <v>15264.173670081986</v>
      </c>
      <c r="CG25" s="24">
        <f t="shared" si="58"/>
        <v>15111.531933381166</v>
      </c>
      <c r="CH25" s="24">
        <f t="shared" si="58"/>
        <v>14960.416614047354</v>
      </c>
      <c r="CI25" s="24">
        <f t="shared" si="58"/>
        <v>14810.812447906879</v>
      </c>
      <c r="CJ25" s="24">
        <f t="shared" si="58"/>
        <v>14662.70432342781</v>
      </c>
      <c r="CK25" s="24">
        <f t="shared" si="58"/>
        <v>14516.077280193531</v>
      </c>
      <c r="CL25" s="24">
        <f t="shared" si="58"/>
        <v>14370.916507391596</v>
      </c>
      <c r="CM25" s="24">
        <f t="shared" si="58"/>
        <v>14227.207342317679</v>
      </c>
      <c r="CN25" s="24">
        <f t="shared" si="58"/>
        <v>14084.935268894502</v>
      </c>
      <c r="CO25" s="24">
        <f t="shared" si="58"/>
        <v>13944.085916205557</v>
      </c>
      <c r="CP25" s="24">
        <f t="shared" si="58"/>
        <v>13804.645057043501</v>
      </c>
      <c r="CQ25" s="24">
        <f t="shared" si="58"/>
        <v>13666.598606473066</v>
      </c>
      <c r="CR25" s="24">
        <f t="shared" si="58"/>
        <v>13529.932620408335</v>
      </c>
      <c r="CS25" s="24">
        <f t="shared" si="58"/>
        <v>13394.633294204252</v>
      </c>
      <c r="CT25" s="24">
        <f t="shared" si="58"/>
        <v>13260.686961262209</v>
      </c>
      <c r="CU25" s="24">
        <f t="shared" si="58"/>
        <v>13128.080091649586</v>
      </c>
      <c r="CV25" s="24">
        <f t="shared" si="58"/>
        <v>12996.79929073309</v>
      </c>
      <c r="CW25" s="24">
        <f t="shared" si="58"/>
        <v>12866.831297825758</v>
      </c>
      <c r="CX25" s="24">
        <f t="shared" si="58"/>
        <v>12738.1629848475</v>
      </c>
      <c r="CY25" s="24">
        <f t="shared" si="58"/>
        <v>12610.781354999026</v>
      </c>
      <c r="CZ25" s="24">
        <f t="shared" si="58"/>
        <v>12484.673541449036</v>
      </c>
      <c r="DA25" s="24">
        <f t="shared" si="58"/>
        <v>12359.826806034545</v>
      </c>
      <c r="DB25" s="24">
        <f t="shared" si="58"/>
        <v>12236.228537974201</v>
      </c>
      <c r="DC25" s="24">
        <f t="shared" si="58"/>
        <v>12113.866252594458</v>
      </c>
      <c r="DD25" s="24">
        <f t="shared" si="58"/>
        <v>11992.727590068514</v>
      </c>
      <c r="DE25" s="24">
        <f t="shared" si="58"/>
        <v>11872.800314167829</v>
      </c>
      <c r="DF25" s="24">
        <f t="shared" si="58"/>
        <v>11754.072311026152</v>
      </c>
      <c r="DG25" s="24">
        <f t="shared" si="58"/>
        <v>11636.53158791589</v>
      </c>
      <c r="DH25" s="24">
        <f t="shared" si="58"/>
        <v>11520.166272036731</v>
      </c>
      <c r="DI25" s="24">
        <f t="shared" si="58"/>
        <v>11404.964609316365</v>
      </c>
      <c r="DJ25" s="24">
        <f t="shared" si="58"/>
        <v>11290.9149632232</v>
      </c>
      <c r="DK25" s="24">
        <f t="shared" si="58"/>
        <v>11178.005813590968</v>
      </c>
      <c r="DL25" s="24">
        <f t="shared" si="58"/>
        <v>11066.225755455058</v>
      </c>
      <c r="DM25" s="24">
        <f t="shared" si="58"/>
        <v>10955.563497900508</v>
      </c>
      <c r="DN25" s="24">
        <f t="shared" ref="DN25" si="59">DM25*($F$2+1)</f>
        <v>10846.007862921502</v>
      </c>
      <c r="DO25" s="24">
        <f t="shared" ref="DO25" si="60">DN25*($F$2+1)</f>
        <v>10737.547784292286</v>
      </c>
      <c r="DP25" s="24">
        <f t="shared" ref="DP25" si="61">DO25*($F$2+1)</f>
        <v>10630.172306449364</v>
      </c>
      <c r="DQ25" s="24">
        <f t="shared" ref="DQ25" si="62">DP25*($F$2+1)</f>
        <v>10523.870583384869</v>
      </c>
      <c r="DR25" s="24">
        <f t="shared" ref="DR25" si="63">DQ25*($F$2+1)</f>
        <v>10418.631877551021</v>
      </c>
      <c r="DS25" s="24">
        <f t="shared" ref="DS25" si="64">DR25*($F$2+1)</f>
        <v>10314.445558775511</v>
      </c>
      <c r="DT25" s="24">
        <f t="shared" ref="DT25" si="65">DS25*($F$2+1)</f>
        <v>10211.301103187756</v>
      </c>
      <c r="DU25" s="24">
        <f t="shared" ref="DU25" si="66">DT25*($F$2+1)</f>
        <v>10109.188092155879</v>
      </c>
      <c r="DV25" s="24">
        <f t="shared" ref="DV25" si="67">DU25*($F$2+1)</f>
        <v>10008.09621123432</v>
      </c>
      <c r="DW25" s="24">
        <f t="shared" ref="DW25" si="68">DV25*($F$2+1)</f>
        <v>9908.0152491219778</v>
      </c>
      <c r="DX25" s="24">
        <f t="shared" ref="DX25" si="69">DW25*($F$2+1)</f>
        <v>9808.9350966307575</v>
      </c>
      <c r="DY25" s="24">
        <f t="shared" ref="DY25" si="70">DX25*($F$2+1)</f>
        <v>9710.8457456644501</v>
      </c>
      <c r="DZ25" s="24">
        <f t="shared" ref="DZ25" si="71">DY25*($F$2+1)</f>
        <v>9613.7372882078052</v>
      </c>
      <c r="EA25" s="24">
        <f t="shared" ref="EA25" si="72">DZ25*($F$2+1)</f>
        <v>9517.5999153257271</v>
      </c>
      <c r="EB25" s="24">
        <f t="shared" ref="EB25" si="73">EA25*($F$2+1)</f>
        <v>9422.423916172469</v>
      </c>
      <c r="EC25" s="24">
        <f t="shared" ref="EC25" si="74">EB25*($F$2+1)</f>
        <v>9328.1996770107435</v>
      </c>
      <c r="ED25" s="24">
        <f t="shared" ref="ED25" si="75">EC25*($F$2+1)</f>
        <v>9234.9176802406364</v>
      </c>
      <c r="EE25" s="24">
        <f t="shared" ref="EE25" si="76">ED25*($F$2+1)</f>
        <v>9142.5685034382295</v>
      </c>
      <c r="EF25" s="24">
        <f t="shared" ref="EF25" si="77">EE25*($F$2+1)</f>
        <v>9051.1428184038468</v>
      </c>
      <c r="EG25" s="24">
        <f t="shared" ref="EG25" si="78">EF25*($F$2+1)</f>
        <v>8960.631390219809</v>
      </c>
      <c r="EH25" s="24">
        <f t="shared" ref="EH25" si="79">EG25*($F$2+1)</f>
        <v>8871.02507631761</v>
      </c>
      <c r="EI25" s="24">
        <f t="shared" ref="EI25" si="80">EH25*($F$2+1)</f>
        <v>8782.3148255544347</v>
      </c>
      <c r="EJ25" s="24">
        <f t="shared" ref="EJ25" si="81">EI25*($F$2+1)</f>
        <v>8694.4916772988909</v>
      </c>
      <c r="EK25" s="24">
        <f t="shared" ref="EK25" si="82">EJ25*($F$2+1)</f>
        <v>8607.5467605259018</v>
      </c>
      <c r="EL25" s="24">
        <f t="shared" ref="EL25" si="83">EK25*($F$2+1)</f>
        <v>8521.4712929206435</v>
      </c>
      <c r="EM25" s="24">
        <f t="shared" ref="EM25" si="84">EL25*($F$2+1)</f>
        <v>8436.2565799914373</v>
      </c>
      <c r="EN25" s="24">
        <f t="shared" ref="EN25" si="85">EM25*($F$2+1)</f>
        <v>8351.8940141915227</v>
      </c>
      <c r="EO25" s="24">
        <f t="shared" ref="EO25" si="86">EN25*($F$2+1)</f>
        <v>8268.3750740496071</v>
      </c>
      <c r="EP25" s="24">
        <f t="shared" ref="EP25" si="87">EO25*($F$2+1)</f>
        <v>8185.6913233091109</v>
      </c>
      <c r="EQ25" s="24">
        <f t="shared" ref="EQ25" si="88">EP25*($F$2+1)</f>
        <v>8103.8344100760196</v>
      </c>
      <c r="ER25" s="24">
        <f t="shared" ref="ER25" si="89">EQ25*($F$2+1)</f>
        <v>8022.7960659752589</v>
      </c>
      <c r="ES25" s="24">
        <f t="shared" ref="ES25" si="90">ER25*($F$2+1)</f>
        <v>7942.5681053155058</v>
      </c>
      <c r="ET25" s="24">
        <f t="shared" ref="ET25" si="91">ES25*($F$2+1)</f>
        <v>7863.1424242623507</v>
      </c>
      <c r="EU25" s="24">
        <f t="shared" ref="EU25" si="92">ET25*($F$2+1)</f>
        <v>7784.5110000197274</v>
      </c>
      <c r="EV25" s="24">
        <f t="shared" ref="EV25" si="93">EU25*($F$2+1)</f>
        <v>7706.6658900195298</v>
      </c>
      <c r="EW25" s="24">
        <f t="shared" ref="EW25" si="94">EV25*($F$2+1)</f>
        <v>7629.599231119334</v>
      </c>
      <c r="EX25" s="24">
        <f t="shared" ref="EX25" si="95">EW25*($F$2+1)</f>
        <v>7553.303238808141</v>
      </c>
      <c r="EY25" s="24">
        <f t="shared" ref="EY25" si="96">EX25*($F$2+1)</f>
        <v>7477.7702064200594</v>
      </c>
      <c r="EZ25" s="24">
        <f t="shared" ref="EZ25" si="97">EY25*($F$2+1)</f>
        <v>7402.9925043558587</v>
      </c>
      <c r="FA25" s="24">
        <f t="shared" ref="FA25" si="98">EZ25*($F$2+1)</f>
        <v>7328.9625793123005</v>
      </c>
      <c r="FB25" s="24">
        <f t="shared" ref="FB25" si="99">FA25*($F$2+1)</f>
        <v>7255.6729535191771</v>
      </c>
      <c r="FC25" s="24">
        <f t="shared" ref="FC25" si="100">FB25*($F$2+1)</f>
        <v>7183.116223983985</v>
      </c>
      <c r="FD25" s="24">
        <f t="shared" ref="FD25" si="101">FC25*($F$2+1)</f>
        <v>7111.2850617441454</v>
      </c>
      <c r="FE25" s="24">
        <f t="shared" ref="FE25" si="102">FD25*($F$2+1)</f>
        <v>7040.1722111267036</v>
      </c>
      <c r="FF25" s="24">
        <f t="shared" ref="FF25" si="103">FE25*($F$2+1)</f>
        <v>6969.7704890154364</v>
      </c>
      <c r="FG25" s="24">
        <f t="shared" ref="FG25" si="104">FF25*($F$2+1)</f>
        <v>6900.0727841252819</v>
      </c>
      <c r="FH25" s="24">
        <f t="shared" ref="FH25" si="105">FG25*($F$2+1)</f>
        <v>6831.0720562840288</v>
      </c>
      <c r="FI25" s="24">
        <f t="shared" ref="FI25" si="106">FH25*($F$2+1)</f>
        <v>6762.7613357211885</v>
      </c>
      <c r="FJ25" s="24">
        <f t="shared" ref="FJ25" si="107">FI25*($F$2+1)</f>
        <v>6695.1337223639766</v>
      </c>
      <c r="FK25" s="24">
        <f t="shared" ref="FK25" si="108">FJ25*($F$2+1)</f>
        <v>6628.1823851403369</v>
      </c>
      <c r="FL25" s="24">
        <f t="shared" ref="FL25" si="109">FK25*($F$2+1)</f>
        <v>6561.9005612889332</v>
      </c>
      <c r="FM25" s="24">
        <f t="shared" ref="FM25" si="110">FL25*($F$2+1)</f>
        <v>6496.2815556760443</v>
      </c>
      <c r="FN25" s="24">
        <f t="shared" ref="FN25" si="111">FM25*($F$2+1)</f>
        <v>6431.3187401192836</v>
      </c>
      <c r="FO25" s="24">
        <f t="shared" ref="FO25" si="112">FN25*($F$2+1)</f>
        <v>6367.0055527180903</v>
      </c>
      <c r="FP25" s="24">
        <f t="shared" ref="FP25" si="113">FO25*($F$2+1)</f>
        <v>6303.3354971909093</v>
      </c>
      <c r="FQ25" s="24">
        <f t="shared" ref="FQ25" si="114">FP25*($F$2+1)</f>
        <v>6240.3021422190004</v>
      </c>
      <c r="FR25" s="24">
        <f t="shared" ref="FR25" si="115">FQ25*($F$2+1)</f>
        <v>6177.8991207968102</v>
      </c>
      <c r="FS25" s="24">
        <f t="shared" ref="FS25" si="116">FR25*($F$2+1)</f>
        <v>6116.1201295888422</v>
      </c>
      <c r="FT25" s="24">
        <f t="shared" ref="FT25" si="117">FS25*($F$2+1)</f>
        <v>6054.9589282929537</v>
      </c>
      <c r="FU25" s="24">
        <f t="shared" ref="FU25" si="118">FT25*($F$2+1)</f>
        <v>5994.4093390100243</v>
      </c>
      <c r="FV25" s="24">
        <f t="shared" ref="FV25" si="119">FU25*($F$2+1)</f>
        <v>5934.4652456199237</v>
      </c>
      <c r="FW25" s="24">
        <f t="shared" ref="FW25" si="120">FV25*($F$2+1)</f>
        <v>5875.1205931637242</v>
      </c>
      <c r="FX25" s="24">
        <f t="shared" ref="FX25" si="121">FW25*($F$2+1)</f>
        <v>5816.3693872320864</v>
      </c>
      <c r="FY25" s="24">
        <f t="shared" ref="FY25" si="122">FX25*($F$2+1)</f>
        <v>5758.2056933597651</v>
      </c>
      <c r="FZ25" s="24">
        <f t="shared" ref="FZ25" si="123">FY25*($F$2+1)</f>
        <v>5700.6236364261676</v>
      </c>
      <c r="GA25" s="24">
        <f t="shared" ref="GA25" si="124">FZ25*($F$2+1)</f>
        <v>5643.6174000619058</v>
      </c>
      <c r="GB25" s="24">
        <f t="shared" ref="GB25" si="125">GA25*($F$2+1)</f>
        <v>5587.1812260612869</v>
      </c>
      <c r="GC25" s="24">
        <f t="shared" ref="GC25" si="126">GB25*($F$2+1)</f>
        <v>5531.3094138006736</v>
      </c>
      <c r="GD25" s="24">
        <f t="shared" ref="GD25" si="127">GC25*($F$2+1)</f>
        <v>5475.9963196626668</v>
      </c>
      <c r="GE25" s="24">
        <f t="shared" ref="GE25" si="128">GD25*($F$2+1)</f>
        <v>5421.23635646604</v>
      </c>
      <c r="GF25" s="24">
        <f t="shared" ref="GF25" si="129">GE25*($F$2+1)</f>
        <v>5367.0239929013796</v>
      </c>
      <c r="GG25" s="24">
        <f t="shared" ref="GG25" si="130">GF25*($F$2+1)</f>
        <v>5313.3537529723662</v>
      </c>
      <c r="GH25" s="24">
        <f t="shared" ref="GH25" si="131">GG25*($F$2+1)</f>
        <v>5260.2202154426423</v>
      </c>
      <c r="GI25" s="24">
        <f t="shared" ref="GI25" si="132">GH25*($F$2+1)</f>
        <v>5207.6180132882155</v>
      </c>
      <c r="GJ25" s="24">
        <f t="shared" ref="GJ25" si="133">GI25*($F$2+1)</f>
        <v>5155.5418331553328</v>
      </c>
      <c r="GK25" s="24">
        <f t="shared" ref="GK25" si="134">GJ25*($F$2+1)</f>
        <v>5103.9864148237793</v>
      </c>
      <c r="GL25" s="24">
        <f t="shared" ref="GL25" si="135">GK25*($F$2+1)</f>
        <v>5052.9465506755414</v>
      </c>
      <c r="GM25" s="24">
        <f t="shared" ref="GM25" si="136">GL25*($F$2+1)</f>
        <v>5002.4170851687859</v>
      </c>
      <c r="GN25" s="24">
        <f t="shared" ref="GN25" si="137">GM25*($F$2+1)</f>
        <v>4952.3929143170981</v>
      </c>
      <c r="GO25" s="24">
        <f t="shared" ref="GO25" si="138">GN25*($F$2+1)</f>
        <v>4902.8689851739273</v>
      </c>
      <c r="GP25" s="24">
        <f t="shared" ref="GP25" si="139">GO25*($F$2+1)</f>
        <v>4853.8402953221876</v>
      </c>
      <c r="GQ25" s="24">
        <f t="shared" ref="GQ25" si="140">GP25*($F$2+1)</f>
        <v>4805.301892368966</v>
      </c>
      <c r="GR25" s="24">
        <f t="shared" ref="GR25" si="141">GQ25*($F$2+1)</f>
        <v>4757.2488734452763</v>
      </c>
    </row>
    <row r="26" spans="1:200" x14ac:dyDescent="0.15">
      <c r="A26" s="3" t="s">
        <v>16</v>
      </c>
      <c r="B26" s="29">
        <f t="shared" ref="B26:G26" si="142">B25/B27</f>
        <v>1.244142431404792</v>
      </c>
      <c r="C26" s="29">
        <f t="shared" si="142"/>
        <v>2.3320789503088735</v>
      </c>
      <c r="D26" s="29">
        <f t="shared" si="142"/>
        <v>3.3875014998200221</v>
      </c>
      <c r="E26" s="29">
        <f t="shared" si="142"/>
        <v>5.2318998037109159</v>
      </c>
      <c r="F26" s="29">
        <f t="shared" si="142"/>
        <v>6.0375410912527556</v>
      </c>
      <c r="G26" s="29">
        <f t="shared" si="142"/>
        <v>8.4201037450425051</v>
      </c>
      <c r="H26" s="48">
        <f t="shared" ref="H26" si="143">H25/H27</f>
        <v>9.382001092787025</v>
      </c>
      <c r="I26" s="48">
        <f t="shared" ref="I26:P26" si="144">I25/I27</f>
        <v>11.259363995881893</v>
      </c>
      <c r="J26" s="48">
        <f t="shared" si="144"/>
        <v>13.488298339387139</v>
      </c>
      <c r="K26" s="48">
        <f t="shared" si="144"/>
        <v>16.124954797458926</v>
      </c>
      <c r="L26" s="48">
        <f t="shared" si="144"/>
        <v>19.234535127764072</v>
      </c>
      <c r="M26" s="48">
        <f t="shared" si="144"/>
        <v>22.078574854462254</v>
      </c>
      <c r="N26" s="48">
        <f t="shared" si="144"/>
        <v>25.257178907427043</v>
      </c>
      <c r="O26" s="48">
        <f t="shared" si="144"/>
        <v>28.806386095737128</v>
      </c>
      <c r="P26" s="48">
        <f t="shared" si="144"/>
        <v>32.765969566659621</v>
      </c>
      <c r="Q26" s="48">
        <f t="shared" ref="Q26:U26" si="145">Q25/Q27</f>
        <v>37.179816786425064</v>
      </c>
      <c r="R26" s="48">
        <f t="shared" si="145"/>
        <v>41.156121067209206</v>
      </c>
      <c r="S26" s="48">
        <f t="shared" si="145"/>
        <v>45.295933827491034</v>
      </c>
      <c r="T26" s="48">
        <f t="shared" si="145"/>
        <v>49.610322135531753</v>
      </c>
      <c r="U26" s="48">
        <f t="shared" si="145"/>
        <v>54.110784979393777</v>
      </c>
      <c r="V26" s="48">
        <f t="shared" ref="V26" si="146">V25/V27</f>
        <v>58.809281293784736</v>
      </c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39"/>
      <c r="BX26" s="39"/>
      <c r="BY26" s="39"/>
      <c r="BZ26" s="39"/>
      <c r="CA26" s="39"/>
      <c r="CB26" s="39"/>
      <c r="CC26" s="39"/>
      <c r="CD26" s="39"/>
      <c r="CE26" s="39"/>
      <c r="CF26" s="39"/>
      <c r="CG26" s="39"/>
      <c r="CH26" s="39"/>
      <c r="CI26" s="39"/>
      <c r="CJ26" s="39"/>
      <c r="CK26" s="39"/>
      <c r="CL26" s="39"/>
      <c r="CM26" s="39"/>
      <c r="CN26" s="39"/>
      <c r="CO26" s="39"/>
      <c r="CP26" s="39"/>
      <c r="CQ26" s="39"/>
      <c r="CR26" s="39"/>
      <c r="CS26" s="39"/>
      <c r="CT26" s="39"/>
      <c r="CU26" s="39"/>
      <c r="CV26" s="39"/>
      <c r="CW26" s="39"/>
      <c r="CX26" s="39"/>
      <c r="CY26" s="39"/>
      <c r="CZ26" s="39"/>
      <c r="DA26" s="39"/>
      <c r="DB26" s="39"/>
      <c r="DC26" s="39"/>
      <c r="DD26" s="39"/>
      <c r="DE26" s="39"/>
      <c r="DF26" s="39"/>
      <c r="DG26" s="39"/>
      <c r="DH26" s="39"/>
      <c r="DI26" s="39"/>
      <c r="DJ26" s="39"/>
      <c r="DK26" s="39"/>
      <c r="DL26" s="39"/>
      <c r="DM26" s="39"/>
    </row>
    <row r="27" spans="1:200" s="16" customFormat="1" x14ac:dyDescent="0.15">
      <c r="A27" s="16" t="s">
        <v>17</v>
      </c>
      <c r="B27" s="23">
        <f>Reports!E21</f>
        <v>506.012</v>
      </c>
      <c r="C27" s="23">
        <f>Reports!I21</f>
        <v>501.17599999999999</v>
      </c>
      <c r="D27" s="23">
        <f>Reports!M21</f>
        <v>500.06</v>
      </c>
      <c r="E27" s="23">
        <f>Reports!Q21</f>
        <v>495.18799999999999</v>
      </c>
      <c r="F27" s="23">
        <f>Reports!U21</f>
        <v>488.851</v>
      </c>
      <c r="G27" s="23">
        <f>Reports!Y21</f>
        <v>484</v>
      </c>
      <c r="H27" s="23">
        <f t="shared" ref="H27" si="147">G27</f>
        <v>484</v>
      </c>
      <c r="I27" s="23">
        <f t="shared" ref="I27" si="148">H27</f>
        <v>484</v>
      </c>
      <c r="J27" s="23">
        <f t="shared" ref="J27" si="149">I27</f>
        <v>484</v>
      </c>
      <c r="K27" s="23">
        <f t="shared" ref="K27" si="150">J27</f>
        <v>484</v>
      </c>
      <c r="L27" s="23">
        <f t="shared" ref="L27" si="151">K27</f>
        <v>484</v>
      </c>
      <c r="M27" s="23">
        <f t="shared" ref="M27" si="152">L27</f>
        <v>484</v>
      </c>
      <c r="N27" s="23">
        <f t="shared" ref="N27" si="153">M27</f>
        <v>484</v>
      </c>
      <c r="O27" s="23">
        <f t="shared" ref="O27" si="154">N27</f>
        <v>484</v>
      </c>
      <c r="P27" s="23">
        <f t="shared" ref="P27:V27" si="155">O27</f>
        <v>484</v>
      </c>
      <c r="Q27" s="23">
        <f t="shared" si="155"/>
        <v>484</v>
      </c>
      <c r="R27" s="23">
        <f t="shared" si="155"/>
        <v>484</v>
      </c>
      <c r="S27" s="23">
        <f t="shared" si="155"/>
        <v>484</v>
      </c>
      <c r="T27" s="23">
        <f t="shared" si="155"/>
        <v>484</v>
      </c>
      <c r="U27" s="23">
        <f t="shared" si="155"/>
        <v>484</v>
      </c>
      <c r="V27" s="23">
        <f t="shared" si="155"/>
        <v>484</v>
      </c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</row>
    <row r="28" spans="1:200" x14ac:dyDescent="0.15"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39"/>
      <c r="BW28" s="39"/>
      <c r="BX28" s="39"/>
      <c r="BY28" s="39"/>
      <c r="BZ28" s="39"/>
      <c r="CA28" s="39"/>
      <c r="CB28" s="39"/>
      <c r="CC28" s="39"/>
      <c r="CD28" s="39"/>
      <c r="CE28" s="39"/>
      <c r="CF28" s="39"/>
      <c r="CG28" s="39"/>
      <c r="CH28" s="39"/>
      <c r="CI28" s="39"/>
      <c r="CJ28" s="39"/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  <c r="DG28" s="39"/>
      <c r="DH28" s="39"/>
      <c r="DI28" s="39"/>
      <c r="DJ28" s="39"/>
      <c r="DK28" s="39"/>
      <c r="DL28" s="39"/>
      <c r="DM28" s="39"/>
    </row>
    <row r="29" spans="1:200" x14ac:dyDescent="0.15">
      <c r="A29" s="3" t="s">
        <v>19</v>
      </c>
      <c r="B29" s="34">
        <f t="shared" ref="B29:P29" si="156">IFERROR(B16/B14,0)</f>
        <v>0.84478880352896701</v>
      </c>
      <c r="C29" s="34">
        <f t="shared" si="156"/>
        <v>0.8599508406454599</v>
      </c>
      <c r="D29" s="34">
        <f t="shared" si="156"/>
        <v>0.86160510744017849</v>
      </c>
      <c r="E29" s="34">
        <f>IFERROR(E16/E14,0)</f>
        <v>0.8676635723910765</v>
      </c>
      <c r="F29" s="34">
        <f t="shared" si="156"/>
        <v>0.8502662537990221</v>
      </c>
      <c r="G29" s="34">
        <f t="shared" si="156"/>
        <v>0.86617967050046629</v>
      </c>
      <c r="H29" s="34">
        <f>IFERROR(H16/H14,0)</f>
        <v>0.86617967050046629</v>
      </c>
      <c r="I29" s="34">
        <f t="shared" si="156"/>
        <v>0.86617967050046629</v>
      </c>
      <c r="J29" s="34">
        <f t="shared" si="156"/>
        <v>0.8661796705004664</v>
      </c>
      <c r="K29" s="34">
        <f t="shared" si="156"/>
        <v>0.8661796705004664</v>
      </c>
      <c r="L29" s="34">
        <f t="shared" si="156"/>
        <v>0.8661796705004664</v>
      </c>
      <c r="M29" s="34">
        <f t="shared" si="156"/>
        <v>0.8661796705004664</v>
      </c>
      <c r="N29" s="34">
        <f t="shared" si="156"/>
        <v>0.8661796705004664</v>
      </c>
      <c r="O29" s="34">
        <f t="shared" si="156"/>
        <v>0.8661796705004664</v>
      </c>
      <c r="P29" s="34">
        <f t="shared" si="156"/>
        <v>0.8661796705004664</v>
      </c>
      <c r="Q29" s="34">
        <f t="shared" ref="Q29:U29" si="157">IFERROR(Q16/Q14,0)</f>
        <v>0.8661796705004664</v>
      </c>
      <c r="R29" s="34">
        <f t="shared" si="157"/>
        <v>0.8661796705004664</v>
      </c>
      <c r="S29" s="34">
        <f t="shared" si="157"/>
        <v>0.86617967050046651</v>
      </c>
      <c r="T29" s="34">
        <f t="shared" si="157"/>
        <v>0.86617967050046651</v>
      </c>
      <c r="U29" s="34">
        <f t="shared" si="157"/>
        <v>0.8661796705004664</v>
      </c>
      <c r="V29" s="34">
        <f t="shared" ref="V29" si="158">IFERROR(V16/V14,0)</f>
        <v>0.8661796705004664</v>
      </c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  <c r="DI29" s="39"/>
      <c r="DJ29" s="39"/>
      <c r="DK29" s="39"/>
      <c r="DL29" s="39"/>
      <c r="DM29" s="39"/>
    </row>
    <row r="30" spans="1:200" x14ac:dyDescent="0.15">
      <c r="A30" s="3" t="s">
        <v>20</v>
      </c>
      <c r="B30" s="36">
        <f t="shared" ref="B30:P30" si="159">IFERROR(B21/B14,0)</f>
        <v>0.18832091095193013</v>
      </c>
      <c r="C30" s="36">
        <f t="shared" si="159"/>
        <v>0.25512338519719252</v>
      </c>
      <c r="D30" s="36">
        <f t="shared" si="159"/>
        <v>0.29693809700876739</v>
      </c>
      <c r="E30" s="36">
        <f>IFERROR(E21/E14,0)</f>
        <v>0.3145477833463714</v>
      </c>
      <c r="F30" s="36">
        <f t="shared" si="159"/>
        <v>0.29254618264523657</v>
      </c>
      <c r="G30" s="36">
        <f>IFERROR(G21/G14,0)</f>
        <v>0.32926639726453216</v>
      </c>
      <c r="H30" s="36">
        <f t="shared" si="159"/>
        <v>0.34261595079533341</v>
      </c>
      <c r="I30" s="36">
        <f t="shared" si="159"/>
        <v>0.35622106882034144</v>
      </c>
      <c r="J30" s="36">
        <f t="shared" si="159"/>
        <v>0.36985954341644195</v>
      </c>
      <c r="K30" s="36">
        <f t="shared" si="159"/>
        <v>0.38336371955470672</v>
      </c>
      <c r="L30" s="36">
        <f t="shared" si="159"/>
        <v>0.39661019626036825</v>
      </c>
      <c r="M30" s="36">
        <f t="shared" si="159"/>
        <v>0.40987505429503318</v>
      </c>
      <c r="N30" s="36">
        <f t="shared" si="159"/>
        <v>0.42253696423721349</v>
      </c>
      <c r="O30" s="36">
        <f t="shared" si="159"/>
        <v>0.43462333281838539</v>
      </c>
      <c r="P30" s="36">
        <f t="shared" si="159"/>
        <v>0.44616032100950415</v>
      </c>
      <c r="Q30" s="36">
        <f t="shared" ref="Q30:U30" si="160">IFERROR(Q21/Q14,0)</f>
        <v>0.45717290064648108</v>
      </c>
      <c r="R30" s="36">
        <f t="shared" si="160"/>
        <v>0.47787921124608901</v>
      </c>
      <c r="S30" s="36">
        <f t="shared" si="160"/>
        <v>0.49670141550973834</v>
      </c>
      <c r="T30" s="36">
        <f t="shared" si="160"/>
        <v>0.51381309058642788</v>
      </c>
      <c r="U30" s="36">
        <f t="shared" si="160"/>
        <v>0.52937167323808676</v>
      </c>
      <c r="V30" s="36">
        <f t="shared" ref="V30" si="161">IFERROR(V21/V14,0)</f>
        <v>0.54351997096796323</v>
      </c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  <c r="DG30" s="39"/>
      <c r="DH30" s="39"/>
      <c r="DI30" s="39"/>
      <c r="DJ30" s="39"/>
      <c r="DK30" s="39"/>
      <c r="DL30" s="39"/>
      <c r="DM30" s="39"/>
    </row>
    <row r="31" spans="1:200" x14ac:dyDescent="0.15">
      <c r="A31" s="3" t="s">
        <v>21</v>
      </c>
      <c r="B31" s="36">
        <f t="shared" ref="B31:P31" si="162">IFERROR(B24/B23,0)</f>
        <v>0.2795093965192646</v>
      </c>
      <c r="C31" s="36">
        <f t="shared" si="162"/>
        <v>0.18559608901722344</v>
      </c>
      <c r="D31" s="36">
        <f t="shared" si="162"/>
        <v>0.20755917387437833</v>
      </c>
      <c r="E31" s="36">
        <f>IFERROR(E24/E23,0)</f>
        <v>7.2695423848445656E-2</v>
      </c>
      <c r="F31" s="36">
        <f t="shared" si="162"/>
        <v>7.903384392061634E-2</v>
      </c>
      <c r="G31" s="36">
        <f t="shared" si="162"/>
        <v>2.410674985618478E-2</v>
      </c>
      <c r="H31" s="36">
        <f t="shared" si="162"/>
        <v>0.1</v>
      </c>
      <c r="I31" s="36">
        <f t="shared" si="162"/>
        <v>0.1</v>
      </c>
      <c r="J31" s="36">
        <f t="shared" si="162"/>
        <v>0.1</v>
      </c>
      <c r="K31" s="36">
        <f t="shared" si="162"/>
        <v>0.1</v>
      </c>
      <c r="L31" s="36">
        <f t="shared" si="162"/>
        <v>0.10000000000000002</v>
      </c>
      <c r="M31" s="36">
        <f t="shared" si="162"/>
        <v>0.1</v>
      </c>
      <c r="N31" s="36">
        <f t="shared" si="162"/>
        <v>0.1</v>
      </c>
      <c r="O31" s="36">
        <f t="shared" si="162"/>
        <v>0.1</v>
      </c>
      <c r="P31" s="36">
        <f t="shared" si="162"/>
        <v>0.1</v>
      </c>
      <c r="Q31" s="36">
        <f t="shared" ref="Q31:U31" si="163">IFERROR(Q24/Q23,0)</f>
        <v>0.1</v>
      </c>
      <c r="R31" s="36">
        <f t="shared" si="163"/>
        <v>9.9999999999999992E-2</v>
      </c>
      <c r="S31" s="36">
        <f t="shared" si="163"/>
        <v>9.9999999999999992E-2</v>
      </c>
      <c r="T31" s="36">
        <f t="shared" si="163"/>
        <v>0.1</v>
      </c>
      <c r="U31" s="36">
        <f t="shared" si="163"/>
        <v>0.1</v>
      </c>
      <c r="V31" s="36">
        <f t="shared" ref="V31" si="164">IFERROR(V24/V23,0)</f>
        <v>0.1</v>
      </c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39"/>
      <c r="DG31" s="39"/>
      <c r="DH31" s="39"/>
      <c r="DI31" s="39"/>
      <c r="DJ31" s="39"/>
      <c r="DK31" s="39"/>
      <c r="DL31" s="39"/>
      <c r="DM31" s="39"/>
    </row>
    <row r="32" spans="1:200" x14ac:dyDescent="0.15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  <c r="DI32" s="39"/>
      <c r="DJ32" s="39"/>
      <c r="DK32" s="39"/>
      <c r="DL32" s="39"/>
      <c r="DM32" s="39"/>
    </row>
    <row r="33" spans="1:117" x14ac:dyDescent="0.15">
      <c r="A33" s="2" t="s">
        <v>18</v>
      </c>
      <c r="B33" s="26"/>
      <c r="C33" s="49">
        <f t="shared" ref="C33:V33" si="165">C14/B14-1</f>
        <v>0.22081463268460833</v>
      </c>
      <c r="D33" s="49">
        <f t="shared" si="165"/>
        <v>0.24717607008709641</v>
      </c>
      <c r="E33" s="49">
        <f t="shared" si="165"/>
        <v>0.23673242708181386</v>
      </c>
      <c r="F33" s="49">
        <f>F14/E14-1</f>
        <v>0.23713024395991678</v>
      </c>
      <c r="G33" s="49">
        <f t="shared" si="165"/>
        <v>0.15188067704946673</v>
      </c>
      <c r="H33" s="49">
        <f t="shared" si="165"/>
        <v>0.13589912962387296</v>
      </c>
      <c r="I33" s="49">
        <f t="shared" si="165"/>
        <v>0.13826620144697022</v>
      </c>
      <c r="J33" s="49">
        <f t="shared" si="165"/>
        <v>0.1402045513659369</v>
      </c>
      <c r="K33" s="49">
        <f t="shared" si="165"/>
        <v>0.1417912906466483</v>
      </c>
      <c r="L33" s="49">
        <f t="shared" si="165"/>
        <v>0.14309109410925469</v>
      </c>
      <c r="M33" s="49">
        <f t="shared" si="165"/>
        <v>0.10000000000000009</v>
      </c>
      <c r="N33" s="49">
        <f t="shared" si="165"/>
        <v>0.10000000000000009</v>
      </c>
      <c r="O33" s="49">
        <f t="shared" si="165"/>
        <v>0.10000000000000009</v>
      </c>
      <c r="P33" s="49">
        <f t="shared" si="165"/>
        <v>0.10000000000000009</v>
      </c>
      <c r="Q33" s="49">
        <f t="shared" si="165"/>
        <v>0.10000000000000009</v>
      </c>
      <c r="R33" s="49">
        <f t="shared" si="165"/>
        <v>5.0000000000000044E-2</v>
      </c>
      <c r="S33" s="49">
        <f t="shared" si="165"/>
        <v>5.0000000000000044E-2</v>
      </c>
      <c r="T33" s="49">
        <f t="shared" si="165"/>
        <v>5.0000000000000044E-2</v>
      </c>
      <c r="U33" s="49">
        <f t="shared" si="165"/>
        <v>5.0000000000000044E-2</v>
      </c>
      <c r="V33" s="49">
        <f t="shared" si="165"/>
        <v>5.0000000000000044E-2</v>
      </c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  <c r="BU33" s="39"/>
      <c r="BV33" s="39"/>
      <c r="BW33" s="39"/>
      <c r="BX33" s="39"/>
      <c r="BY33" s="39"/>
      <c r="BZ33" s="39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39"/>
      <c r="CM33" s="39"/>
      <c r="CN33" s="39"/>
      <c r="CO33" s="39"/>
      <c r="CP33" s="39"/>
      <c r="CQ33" s="39"/>
      <c r="CR33" s="39"/>
      <c r="CS33" s="39"/>
      <c r="CT33" s="39"/>
      <c r="CU33" s="39"/>
      <c r="CV33" s="39"/>
      <c r="CW33" s="39"/>
      <c r="CX33" s="39"/>
      <c r="CY33" s="39"/>
      <c r="CZ33" s="39"/>
      <c r="DA33" s="39"/>
      <c r="DB33" s="39"/>
      <c r="DC33" s="39"/>
      <c r="DD33" s="39"/>
      <c r="DE33" s="39"/>
      <c r="DF33" s="39"/>
      <c r="DG33" s="39"/>
      <c r="DH33" s="39"/>
      <c r="DI33" s="39"/>
      <c r="DJ33" s="39"/>
      <c r="DK33" s="39"/>
      <c r="DL33" s="39"/>
      <c r="DM33" s="39"/>
    </row>
    <row r="34" spans="1:117" x14ac:dyDescent="0.15">
      <c r="A34" s="3" t="s">
        <v>42</v>
      </c>
      <c r="B34" s="20"/>
      <c r="C34" s="36">
        <f t="shared" ref="C34:V34" si="166">C17/B17-1</f>
        <v>0.13127745644639677</v>
      </c>
      <c r="D34" s="36">
        <f t="shared" si="166"/>
        <v>0.25417551668208738</v>
      </c>
      <c r="E34" s="36">
        <f t="shared" si="166"/>
        <v>0.25632179494615825</v>
      </c>
      <c r="F34" s="36">
        <f t="shared" si="166"/>
        <v>0.25517813620910768</v>
      </c>
      <c r="G34" s="36">
        <f t="shared" si="166"/>
        <v>0.13354484547939416</v>
      </c>
      <c r="H34" s="36">
        <f t="shared" si="166"/>
        <v>0.14999999999999991</v>
      </c>
      <c r="I34" s="36">
        <f t="shared" si="166"/>
        <v>0.14999999999999991</v>
      </c>
      <c r="J34" s="36">
        <f t="shared" si="166"/>
        <v>0.14999999999999991</v>
      </c>
      <c r="K34" s="36">
        <f t="shared" si="166"/>
        <v>0.14999999999999991</v>
      </c>
      <c r="L34" s="36">
        <f t="shared" si="166"/>
        <v>0.14999999999999991</v>
      </c>
      <c r="M34" s="36">
        <f t="shared" si="166"/>
        <v>0.10000000000000009</v>
      </c>
      <c r="N34" s="36">
        <f t="shared" si="166"/>
        <v>0.10000000000000009</v>
      </c>
      <c r="O34" s="36">
        <f t="shared" si="166"/>
        <v>0.10000000000000009</v>
      </c>
      <c r="P34" s="36">
        <f t="shared" si="166"/>
        <v>0.10000000000000009</v>
      </c>
      <c r="Q34" s="36">
        <f t="shared" si="166"/>
        <v>0.10000000000000009</v>
      </c>
      <c r="R34" s="36">
        <f t="shared" si="166"/>
        <v>5.0000000000000044E-2</v>
      </c>
      <c r="S34" s="36">
        <f t="shared" si="166"/>
        <v>5.0000000000000044E-2</v>
      </c>
      <c r="T34" s="36">
        <f t="shared" si="166"/>
        <v>5.0000000000000044E-2</v>
      </c>
      <c r="U34" s="36">
        <f t="shared" si="166"/>
        <v>5.0000000000000044E-2</v>
      </c>
      <c r="V34" s="36">
        <f t="shared" si="166"/>
        <v>5.0000000000000044E-2</v>
      </c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  <c r="DK34" s="39"/>
      <c r="DL34" s="39"/>
      <c r="DM34" s="39"/>
    </row>
    <row r="35" spans="1:117" x14ac:dyDescent="0.15">
      <c r="A35" s="3" t="s">
        <v>43</v>
      </c>
      <c r="B35" s="20"/>
      <c r="C35" s="36">
        <f t="shared" ref="C35:V35" si="167">C18/B18-1</f>
        <v>0.13483206811617121</v>
      </c>
      <c r="D35" s="36">
        <f t="shared" si="167"/>
        <v>0.15045306845314887</v>
      </c>
      <c r="E35" s="36">
        <f t="shared" si="167"/>
        <v>0.19259125442757341</v>
      </c>
      <c r="F35" s="36">
        <f t="shared" si="167"/>
        <v>0.23790869224966604</v>
      </c>
      <c r="G35" s="36">
        <f t="shared" si="167"/>
        <v>0.10684831184827037</v>
      </c>
      <c r="H35" s="36">
        <f t="shared" si="167"/>
        <v>0.10000000000000009</v>
      </c>
      <c r="I35" s="36">
        <f t="shared" si="167"/>
        <v>0.10000000000000009</v>
      </c>
      <c r="J35" s="36">
        <f t="shared" si="167"/>
        <v>0.10000000000000009</v>
      </c>
      <c r="K35" s="36">
        <f t="shared" si="167"/>
        <v>0.10000000000000009</v>
      </c>
      <c r="L35" s="36">
        <f t="shared" si="167"/>
        <v>0.10000000000000009</v>
      </c>
      <c r="M35" s="36">
        <f t="shared" si="167"/>
        <v>5.0000000000000044E-2</v>
      </c>
      <c r="N35" s="36">
        <f t="shared" si="167"/>
        <v>5.0000000000000044E-2</v>
      </c>
      <c r="O35" s="36">
        <f t="shared" si="167"/>
        <v>5.0000000000000044E-2</v>
      </c>
      <c r="P35" s="36">
        <f t="shared" si="167"/>
        <v>5.0000000000000044E-2</v>
      </c>
      <c r="Q35" s="36">
        <f t="shared" si="167"/>
        <v>5.0000000000000044E-2</v>
      </c>
      <c r="R35" s="36">
        <f t="shared" si="167"/>
        <v>-5.0000000000000044E-2</v>
      </c>
      <c r="S35" s="36">
        <f t="shared" si="167"/>
        <v>-5.0000000000000044E-2</v>
      </c>
      <c r="T35" s="36">
        <f t="shared" si="167"/>
        <v>-5.0000000000000044E-2</v>
      </c>
      <c r="U35" s="36">
        <f t="shared" si="167"/>
        <v>-4.9999999999999933E-2</v>
      </c>
      <c r="V35" s="36">
        <f t="shared" si="167"/>
        <v>-5.0000000000000044E-2</v>
      </c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39"/>
      <c r="BX35" s="39"/>
      <c r="BY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39"/>
      <c r="CM35" s="39"/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CY35" s="39"/>
      <c r="CZ35" s="39"/>
      <c r="DA35" s="39"/>
      <c r="DB35" s="39"/>
      <c r="DC35" s="39"/>
      <c r="DD35" s="39"/>
      <c r="DE35" s="39"/>
      <c r="DF35" s="39"/>
      <c r="DG35" s="39"/>
      <c r="DH35" s="39"/>
      <c r="DI35" s="39"/>
      <c r="DJ35" s="39"/>
      <c r="DK35" s="39"/>
      <c r="DL35" s="39"/>
      <c r="DM35" s="39"/>
    </row>
    <row r="36" spans="1:117" x14ac:dyDescent="0.15">
      <c r="A36" s="3" t="s">
        <v>44</v>
      </c>
      <c r="B36" s="20"/>
      <c r="C36" s="36">
        <f t="shared" ref="C36:V36" si="168">C19/B19-1</f>
        <v>8.7371933163602034E-2</v>
      </c>
      <c r="D36" s="36">
        <f>D19/C19-1</f>
        <v>7.1069866327801989E-2</v>
      </c>
      <c r="E36" s="36">
        <f t="shared" si="168"/>
        <v>0.19212483672433378</v>
      </c>
      <c r="F36" s="36">
        <f t="shared" si="168"/>
        <v>0.26301706102519273</v>
      </c>
      <c r="G36" s="36">
        <f t="shared" si="168"/>
        <v>7.0196357354664007E-2</v>
      </c>
      <c r="H36" s="36">
        <f t="shared" si="168"/>
        <v>5.0000000000000044E-2</v>
      </c>
      <c r="I36" s="36">
        <f t="shared" si="168"/>
        <v>5.0000000000000044E-2</v>
      </c>
      <c r="J36" s="36">
        <f t="shared" si="168"/>
        <v>5.0000000000000044E-2</v>
      </c>
      <c r="K36" s="36">
        <f t="shared" si="168"/>
        <v>5.0000000000000044E-2</v>
      </c>
      <c r="L36" s="36">
        <f t="shared" si="168"/>
        <v>5.0000000000000044E-2</v>
      </c>
      <c r="M36" s="36">
        <f t="shared" si="168"/>
        <v>5.0000000000000044E-2</v>
      </c>
      <c r="N36" s="36">
        <f t="shared" si="168"/>
        <v>5.0000000000000044E-2</v>
      </c>
      <c r="O36" s="36">
        <f t="shared" si="168"/>
        <v>5.0000000000000044E-2</v>
      </c>
      <c r="P36" s="36">
        <f t="shared" si="168"/>
        <v>5.0000000000000044E-2</v>
      </c>
      <c r="Q36" s="36">
        <f t="shared" si="168"/>
        <v>5.0000000000000044E-2</v>
      </c>
      <c r="R36" s="36">
        <f t="shared" si="168"/>
        <v>-2.0000000000000018E-2</v>
      </c>
      <c r="S36" s="36">
        <f t="shared" si="168"/>
        <v>-2.0000000000000018E-2</v>
      </c>
      <c r="T36" s="36">
        <f t="shared" si="168"/>
        <v>-2.0000000000000018E-2</v>
      </c>
      <c r="U36" s="36">
        <f t="shared" si="168"/>
        <v>-2.0000000000000018E-2</v>
      </c>
      <c r="V36" s="36">
        <f t="shared" si="168"/>
        <v>-2.0000000000000129E-2</v>
      </c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39"/>
      <c r="BX36" s="39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39"/>
      <c r="CM36" s="39"/>
      <c r="CN36" s="39"/>
      <c r="CO36" s="39"/>
      <c r="CP36" s="39"/>
      <c r="CQ36" s="39"/>
      <c r="CR36" s="39"/>
      <c r="CS36" s="39"/>
      <c r="CT36" s="39"/>
      <c r="CU36" s="39"/>
      <c r="CV36" s="39"/>
      <c r="CW36" s="39"/>
      <c r="CX36" s="39"/>
      <c r="CY36" s="39"/>
      <c r="CZ36" s="39"/>
      <c r="DA36" s="39"/>
      <c r="DB36" s="39"/>
      <c r="DC36" s="39"/>
      <c r="DD36" s="39"/>
      <c r="DE36" s="39"/>
      <c r="DF36" s="39"/>
      <c r="DG36" s="39"/>
      <c r="DH36" s="39"/>
      <c r="DI36" s="39"/>
      <c r="DJ36" s="39"/>
      <c r="DK36" s="39"/>
      <c r="DL36" s="39"/>
      <c r="DM36" s="39"/>
    </row>
    <row r="37" spans="1:117" x14ac:dyDescent="0.15">
      <c r="A37" s="6" t="s">
        <v>82</v>
      </c>
      <c r="B37" s="20"/>
      <c r="C37" s="45">
        <f>C20/B20-1</f>
        <v>0.12478038333610231</v>
      </c>
      <c r="D37" s="45">
        <f>D20/C20-1</f>
        <v>0.16436378116421713</v>
      </c>
      <c r="E37" s="45">
        <f>E20/D20-1</f>
        <v>0.21143296775900744</v>
      </c>
      <c r="F37" s="45">
        <f t="shared" ref="F37:V37" si="169">F20/E20-1</f>
        <v>0.24742844329120839</v>
      </c>
      <c r="G37" s="45">
        <f t="shared" si="169"/>
        <v>0.1089075984165524</v>
      </c>
      <c r="H37" s="45">
        <f t="shared" si="169"/>
        <v>0.10765667969315396</v>
      </c>
      <c r="I37" s="45">
        <f t="shared" si="169"/>
        <v>0.10868766987246503</v>
      </c>
      <c r="J37" s="45">
        <f t="shared" si="169"/>
        <v>0.10971060390249798</v>
      </c>
      <c r="K37" s="45">
        <f t="shared" si="169"/>
        <v>0.1107247473802726</v>
      </c>
      <c r="L37" s="45">
        <f>L20/K20-1</f>
        <v>0.11172939298710505</v>
      </c>
      <c r="M37" s="45">
        <f t="shared" si="169"/>
        <v>6.8926123526780403E-2</v>
      </c>
      <c r="N37" s="45">
        <f t="shared" si="169"/>
        <v>6.9476309373719625E-2</v>
      </c>
      <c r="O37" s="45">
        <f t="shared" si="169"/>
        <v>7.0032178481482799E-2</v>
      </c>
      <c r="P37" s="45">
        <f t="shared" si="169"/>
        <v>7.0593209038724458E-2</v>
      </c>
      <c r="Q37" s="45">
        <f t="shared" si="169"/>
        <v>7.1158858239850353E-2</v>
      </c>
      <c r="R37" s="45">
        <f t="shared" si="169"/>
        <v>-3.157130228797933E-3</v>
      </c>
      <c r="S37" s="45">
        <f t="shared" si="169"/>
        <v>-8.9696395101257487E-4</v>
      </c>
      <c r="T37" s="45">
        <f t="shared" si="169"/>
        <v>1.371268571746187E-3</v>
      </c>
      <c r="U37" s="45">
        <f t="shared" si="169"/>
        <v>3.6377377553022949E-3</v>
      </c>
      <c r="V37" s="45">
        <f t="shared" si="169"/>
        <v>5.8926369411667068E-3</v>
      </c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9"/>
      <c r="BU37" s="39"/>
      <c r="BV37" s="39"/>
      <c r="BW37" s="39"/>
      <c r="BX37" s="39"/>
      <c r="BY37" s="39"/>
      <c r="BZ37" s="39"/>
      <c r="CA37" s="39"/>
      <c r="CB37" s="39"/>
      <c r="CC37" s="39"/>
      <c r="CD37" s="39"/>
      <c r="CE37" s="39"/>
      <c r="CF37" s="39"/>
      <c r="CG37" s="39"/>
      <c r="CH37" s="39"/>
      <c r="CI37" s="39"/>
      <c r="CJ37" s="39"/>
      <c r="CK37" s="39"/>
      <c r="CL37" s="39"/>
      <c r="CM37" s="39"/>
      <c r="CN37" s="39"/>
      <c r="CO37" s="39"/>
      <c r="CP37" s="39"/>
      <c r="CQ37" s="39"/>
      <c r="CR37" s="39"/>
      <c r="CS37" s="39"/>
      <c r="CT37" s="39"/>
      <c r="CU37" s="39"/>
      <c r="CV37" s="39"/>
      <c r="CW37" s="39"/>
      <c r="CX37" s="39"/>
      <c r="CY37" s="39"/>
      <c r="CZ37" s="39"/>
      <c r="DA37" s="39"/>
      <c r="DB37" s="39"/>
      <c r="DC37" s="39"/>
      <c r="DD37" s="39"/>
      <c r="DE37" s="39"/>
      <c r="DF37" s="39"/>
      <c r="DG37" s="39"/>
      <c r="DH37" s="39"/>
      <c r="DI37" s="39"/>
      <c r="DJ37" s="39"/>
      <c r="DK37" s="39"/>
      <c r="DL37" s="39"/>
      <c r="DM37" s="39"/>
    </row>
    <row r="38" spans="1:117" x14ac:dyDescent="0.15">
      <c r="B38" s="20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39"/>
      <c r="BX38" s="39"/>
      <c r="BY38" s="39"/>
      <c r="BZ38" s="39"/>
      <c r="CA38" s="39"/>
      <c r="CB38" s="39"/>
      <c r="CC38" s="39"/>
      <c r="CD38" s="39"/>
      <c r="CE38" s="39"/>
      <c r="CF38" s="39"/>
      <c r="CG38" s="39"/>
      <c r="CH38" s="39"/>
      <c r="CI38" s="39"/>
      <c r="CJ38" s="39"/>
      <c r="CK38" s="39"/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9"/>
      <c r="CZ38" s="39"/>
      <c r="DA38" s="39"/>
      <c r="DB38" s="39"/>
      <c r="DC38" s="39"/>
      <c r="DD38" s="39"/>
      <c r="DE38" s="39"/>
      <c r="DF38" s="39"/>
      <c r="DG38" s="39"/>
      <c r="DH38" s="39"/>
      <c r="DI38" s="39"/>
      <c r="DJ38" s="39"/>
      <c r="DK38" s="39"/>
      <c r="DL38" s="39"/>
      <c r="DM38" s="39"/>
    </row>
    <row r="39" spans="1:117" x14ac:dyDescent="0.15">
      <c r="A39" s="2" t="s">
        <v>26</v>
      </c>
      <c r="B39" s="24">
        <f>B40-B41</f>
        <v>2080.8530000000001</v>
      </c>
      <c r="C39" s="24">
        <f>C40-C41</f>
        <v>2859.232</v>
      </c>
      <c r="D39" s="24">
        <f>D40-D41</f>
        <v>3938.3530000000001</v>
      </c>
      <c r="E39" s="24">
        <f>E40-E41</f>
        <v>-895.83800000000019</v>
      </c>
      <c r="F39" s="24">
        <f>F40-F41</f>
        <v>38.709000000000742</v>
      </c>
      <c r="G39" s="24">
        <f>G40-G41</f>
        <v>1875</v>
      </c>
      <c r="H39" s="50">
        <f>G39+H25</f>
        <v>6415.8885289089203</v>
      </c>
      <c r="I39" s="50">
        <f t="shared" ref="I39:V39" si="170">H39+I25</f>
        <v>11865.420702915757</v>
      </c>
      <c r="J39" s="50">
        <f t="shared" si="170"/>
        <v>18393.757099179133</v>
      </c>
      <c r="K39" s="50">
        <f t="shared" si="170"/>
        <v>26198.235221149254</v>
      </c>
      <c r="L39" s="50">
        <f t="shared" si="170"/>
        <v>35507.750222987066</v>
      </c>
      <c r="M39" s="50">
        <f t="shared" si="170"/>
        <v>46193.780452546795</v>
      </c>
      <c r="N39" s="50">
        <f t="shared" si="170"/>
        <v>58418.255043741483</v>
      </c>
      <c r="O39" s="50">
        <f t="shared" si="170"/>
        <v>72360.545914078248</v>
      </c>
      <c r="P39" s="50">
        <f t="shared" si="170"/>
        <v>88219.275184341503</v>
      </c>
      <c r="Q39" s="50">
        <f t="shared" si="170"/>
        <v>106214.30650897123</v>
      </c>
      <c r="R39" s="50">
        <f t="shared" si="170"/>
        <v>126133.86910550049</v>
      </c>
      <c r="S39" s="50">
        <f t="shared" si="170"/>
        <v>148057.10107800615</v>
      </c>
      <c r="T39" s="50">
        <f t="shared" si="170"/>
        <v>172068.49699160352</v>
      </c>
      <c r="U39" s="50">
        <f t="shared" si="170"/>
        <v>198258.11692163011</v>
      </c>
      <c r="V39" s="50">
        <f t="shared" si="170"/>
        <v>226721.80906782192</v>
      </c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39"/>
      <c r="BU39" s="39"/>
      <c r="BV39" s="39"/>
      <c r="BW39" s="39"/>
      <c r="BX39" s="39"/>
      <c r="BY39" s="39"/>
      <c r="BZ39" s="39"/>
      <c r="CA39" s="39"/>
      <c r="CB39" s="39"/>
      <c r="CC39" s="39"/>
      <c r="CD39" s="39"/>
      <c r="CE39" s="39"/>
      <c r="CF39" s="39"/>
      <c r="CG39" s="39"/>
      <c r="CH39" s="39"/>
      <c r="CI39" s="39"/>
      <c r="CJ39" s="39"/>
      <c r="CK39" s="39"/>
      <c r="CL39" s="39"/>
      <c r="CM39" s="39"/>
      <c r="CN39" s="39"/>
      <c r="CO39" s="39"/>
      <c r="CP39" s="39"/>
      <c r="CQ39" s="39"/>
      <c r="CR39" s="39"/>
      <c r="CS39" s="39"/>
      <c r="CT39" s="39"/>
      <c r="CU39" s="39"/>
      <c r="CV39" s="39"/>
      <c r="CW39" s="39"/>
      <c r="CX39" s="39"/>
      <c r="CY39" s="39"/>
      <c r="CZ39" s="39"/>
      <c r="DA39" s="39"/>
      <c r="DB39" s="39"/>
      <c r="DC39" s="39"/>
      <c r="DD39" s="39"/>
      <c r="DE39" s="39"/>
      <c r="DF39" s="39"/>
      <c r="DG39" s="39"/>
      <c r="DH39" s="39"/>
      <c r="DI39" s="39"/>
      <c r="DJ39" s="39"/>
      <c r="DK39" s="39"/>
      <c r="DL39" s="39"/>
      <c r="DM39" s="39"/>
    </row>
    <row r="40" spans="1:117" x14ac:dyDescent="0.15">
      <c r="A40" s="3" t="s">
        <v>27</v>
      </c>
      <c r="B40" s="51">
        <f>Reports!E34</f>
        <v>3988.0839999999998</v>
      </c>
      <c r="C40" s="51">
        <f>Reports!I34</f>
        <v>4761.3</v>
      </c>
      <c r="D40" s="51">
        <f>Reports!M34</f>
        <v>5819.7740000000003</v>
      </c>
      <c r="E40" s="51">
        <f>Reports!Q34</f>
        <v>3228.962</v>
      </c>
      <c r="F40" s="51">
        <f>Reports!U34</f>
        <v>4176.9760000000006</v>
      </c>
      <c r="G40" s="51">
        <f>Reports!Y34</f>
        <v>5992</v>
      </c>
      <c r="H40" s="51"/>
      <c r="I40" s="51"/>
      <c r="J40" s="51"/>
      <c r="K40" s="51"/>
      <c r="L40" s="51"/>
      <c r="M40" s="51"/>
      <c r="N40" s="51"/>
      <c r="O40" s="51"/>
      <c r="P40" s="51"/>
      <c r="Q40" s="23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  <c r="BZ40" s="39"/>
      <c r="CA40" s="39"/>
      <c r="CB40" s="39"/>
      <c r="CC40" s="39"/>
      <c r="CD40" s="39"/>
      <c r="CE40" s="39"/>
      <c r="CF40" s="39"/>
      <c r="CG40" s="39"/>
      <c r="CH40" s="39"/>
      <c r="CI40" s="39"/>
      <c r="CJ40" s="39"/>
      <c r="CK40" s="39"/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9"/>
      <c r="CZ40" s="39"/>
      <c r="DA40" s="39"/>
      <c r="DB40" s="39"/>
      <c r="DC40" s="39"/>
      <c r="DD40" s="39"/>
      <c r="DE40" s="39"/>
      <c r="DF40" s="39"/>
      <c r="DG40" s="39"/>
      <c r="DH40" s="39"/>
      <c r="DI40" s="39"/>
      <c r="DJ40" s="39"/>
      <c r="DK40" s="39"/>
      <c r="DL40" s="39"/>
      <c r="DM40" s="39"/>
    </row>
    <row r="41" spans="1:117" x14ac:dyDescent="0.15">
      <c r="A41" s="3" t="s">
        <v>28</v>
      </c>
      <c r="B41" s="51">
        <f>Reports!E35</f>
        <v>1907.231</v>
      </c>
      <c r="C41" s="51">
        <f>Reports!I35</f>
        <v>1902.068</v>
      </c>
      <c r="D41" s="51">
        <f>Reports!M35</f>
        <v>1881.421</v>
      </c>
      <c r="E41" s="51">
        <f>Reports!Q35</f>
        <v>4124.8</v>
      </c>
      <c r="F41" s="51">
        <f>Reports!U35</f>
        <v>4138.2669999999998</v>
      </c>
      <c r="G41" s="51">
        <f>Reports!Y35</f>
        <v>4117</v>
      </c>
      <c r="H41" s="51"/>
      <c r="I41" s="51"/>
      <c r="J41" s="51"/>
      <c r="K41" s="51"/>
      <c r="L41" s="51"/>
      <c r="M41" s="51"/>
      <c r="N41" s="51"/>
      <c r="O41" s="51"/>
      <c r="P41" s="51"/>
      <c r="Q41" s="23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  <c r="CK41" s="39"/>
      <c r="CL41" s="39"/>
      <c r="CM41" s="39"/>
      <c r="CN41" s="39"/>
      <c r="CO41" s="39"/>
      <c r="CP41" s="39"/>
      <c r="CQ41" s="39"/>
      <c r="CR41" s="39"/>
      <c r="CS41" s="39"/>
      <c r="CT41" s="39"/>
      <c r="CU41" s="39"/>
      <c r="CV41" s="39"/>
      <c r="CW41" s="39"/>
      <c r="CX41" s="39"/>
      <c r="CY41" s="39"/>
      <c r="CZ41" s="39"/>
      <c r="DA41" s="39"/>
      <c r="DB41" s="39"/>
      <c r="DC41" s="39"/>
      <c r="DD41" s="39"/>
      <c r="DE41" s="39"/>
      <c r="DF41" s="39"/>
      <c r="DG41" s="39"/>
      <c r="DH41" s="39"/>
      <c r="DI41" s="39"/>
      <c r="DJ41" s="39"/>
      <c r="DK41" s="39"/>
      <c r="DL41" s="39"/>
      <c r="DM41" s="39"/>
    </row>
    <row r="42" spans="1:117" x14ac:dyDescent="0.15"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3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  <c r="CK42" s="39"/>
      <c r="CL42" s="39"/>
      <c r="CM42" s="39"/>
      <c r="CN42" s="39"/>
      <c r="CO42" s="39"/>
      <c r="CP42" s="39"/>
      <c r="CQ42" s="39"/>
      <c r="CR42" s="39"/>
      <c r="CS42" s="39"/>
      <c r="CT42" s="39"/>
      <c r="CU42" s="39"/>
      <c r="CV42" s="39"/>
      <c r="CW42" s="39"/>
      <c r="CX42" s="39"/>
      <c r="CY42" s="39"/>
      <c r="CZ42" s="39"/>
      <c r="DA42" s="39"/>
      <c r="DB42" s="39"/>
      <c r="DC42" s="39"/>
      <c r="DD42" s="39"/>
      <c r="DE42" s="39"/>
      <c r="DF42" s="39"/>
      <c r="DG42" s="39"/>
      <c r="DH42" s="39"/>
      <c r="DI42" s="39"/>
      <c r="DJ42" s="39"/>
      <c r="DK42" s="39"/>
      <c r="DL42" s="39"/>
      <c r="DM42" s="39"/>
    </row>
    <row r="43" spans="1:117" x14ac:dyDescent="0.15">
      <c r="A43" s="3" t="s">
        <v>56</v>
      </c>
      <c r="B43" s="54">
        <f>Reports!E37</f>
        <v>5876.8879999999999</v>
      </c>
      <c r="C43" s="54">
        <f>Reports!I37</f>
        <v>5820.8789999999999</v>
      </c>
      <c r="D43" s="54">
        <f>Reports!M37</f>
        <v>6207.2190000000001</v>
      </c>
      <c r="E43" s="51">
        <f>Reports!Q37</f>
        <v>12650.049000000001</v>
      </c>
      <c r="F43" s="51">
        <f>Reports!U37</f>
        <v>12411.764000000001</v>
      </c>
      <c r="G43" s="51">
        <f>Reports!Y37</f>
        <v>12101</v>
      </c>
      <c r="H43" s="54"/>
      <c r="I43" s="54"/>
      <c r="J43" s="54"/>
      <c r="K43" s="54"/>
      <c r="L43" s="54"/>
      <c r="M43" s="54"/>
      <c r="N43" s="54"/>
      <c r="O43" s="54"/>
      <c r="P43" s="54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38"/>
      <c r="CS43" s="38"/>
      <c r="CT43" s="38"/>
      <c r="CU43" s="38"/>
      <c r="CV43" s="38"/>
      <c r="CW43" s="38"/>
      <c r="CX43" s="38"/>
      <c r="CY43" s="38"/>
      <c r="CZ43" s="38"/>
      <c r="DA43" s="38"/>
      <c r="DB43" s="38"/>
      <c r="DC43" s="38"/>
      <c r="DD43" s="38"/>
      <c r="DE43" s="38"/>
      <c r="DF43" s="38"/>
      <c r="DG43" s="38"/>
      <c r="DH43" s="38"/>
      <c r="DI43" s="38"/>
      <c r="DJ43" s="38"/>
      <c r="DK43" s="38"/>
      <c r="DL43" s="38"/>
      <c r="DM43" s="38"/>
    </row>
    <row r="44" spans="1:117" x14ac:dyDescent="0.15">
      <c r="A44" s="3" t="s">
        <v>57</v>
      </c>
      <c r="B44" s="54">
        <f>Reports!E38</f>
        <v>11726.472</v>
      </c>
      <c r="C44" s="54">
        <f>Reports!I38</f>
        <v>12707.114</v>
      </c>
      <c r="D44" s="54">
        <f>Reports!M38</f>
        <v>14535.556</v>
      </c>
      <c r="E44" s="51">
        <f>Reports!Q38</f>
        <v>18768.682000000001</v>
      </c>
      <c r="F44" s="51">
        <f>Reports!U38</f>
        <v>20762.400000000001</v>
      </c>
      <c r="G44" s="51">
        <f>Reports!Y38</f>
        <v>24284</v>
      </c>
      <c r="H44" s="54"/>
      <c r="I44" s="54"/>
      <c r="J44" s="54"/>
      <c r="K44" s="54"/>
      <c r="L44" s="54"/>
      <c r="M44" s="54"/>
      <c r="N44" s="54"/>
      <c r="O44" s="54"/>
      <c r="P44" s="54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  <c r="CH44" s="38"/>
      <c r="CI44" s="38"/>
      <c r="CJ44" s="38"/>
      <c r="CK44" s="38"/>
      <c r="CL44" s="38"/>
      <c r="CM44" s="38"/>
      <c r="CN44" s="38"/>
      <c r="CO44" s="38"/>
      <c r="CP44" s="38"/>
      <c r="CQ44" s="38"/>
      <c r="CR44" s="38"/>
      <c r="CS44" s="38"/>
      <c r="CT44" s="38"/>
      <c r="CU44" s="38"/>
      <c r="CV44" s="38"/>
      <c r="CW44" s="38"/>
      <c r="CX44" s="38"/>
      <c r="CY44" s="38"/>
      <c r="CZ44" s="38"/>
      <c r="DA44" s="38"/>
      <c r="DB44" s="38"/>
      <c r="DC44" s="38"/>
      <c r="DD44" s="38"/>
      <c r="DE44" s="38"/>
      <c r="DF44" s="38"/>
      <c r="DG44" s="38"/>
      <c r="DH44" s="38"/>
      <c r="DI44" s="38"/>
      <c r="DJ44" s="38"/>
      <c r="DK44" s="38"/>
      <c r="DL44" s="38"/>
      <c r="DM44" s="38"/>
    </row>
    <row r="45" spans="1:117" x14ac:dyDescent="0.15">
      <c r="A45" s="3" t="s">
        <v>58</v>
      </c>
      <c r="B45" s="54">
        <f>Reports!E39</f>
        <v>4724.8919999999998</v>
      </c>
      <c r="C45" s="54">
        <f>Reports!I39</f>
        <v>5282.2790000000005</v>
      </c>
      <c r="D45" s="54">
        <f>Reports!M39</f>
        <v>6075.6869999999999</v>
      </c>
      <c r="E45" s="51">
        <f>Reports!Q39</f>
        <v>9406.5679999999993</v>
      </c>
      <c r="F45" s="51">
        <f>Reports!U39</f>
        <v>10232.245000000001</v>
      </c>
      <c r="G45" s="51">
        <f>Reports!Y39</f>
        <v>11020</v>
      </c>
      <c r="H45" s="54"/>
      <c r="I45" s="54"/>
      <c r="J45" s="54"/>
      <c r="K45" s="54"/>
      <c r="L45" s="54"/>
      <c r="M45" s="54"/>
      <c r="N45" s="54"/>
      <c r="O45" s="54"/>
      <c r="P45" s="54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  <c r="CH45" s="38"/>
      <c r="CI45" s="38"/>
      <c r="CJ45" s="38"/>
      <c r="CK45" s="38"/>
      <c r="CL45" s="38"/>
      <c r="CM45" s="38"/>
      <c r="CN45" s="38"/>
      <c r="CO45" s="38"/>
      <c r="CP45" s="38"/>
      <c r="CQ45" s="38"/>
      <c r="CR45" s="38"/>
      <c r="CS45" s="38"/>
      <c r="CT45" s="38"/>
      <c r="CU45" s="38"/>
      <c r="CV45" s="38"/>
      <c r="CW45" s="38"/>
      <c r="CX45" s="38"/>
      <c r="CY45" s="38"/>
      <c r="CZ45" s="38"/>
      <c r="DA45" s="38"/>
      <c r="DB45" s="38"/>
      <c r="DC45" s="38"/>
      <c r="DD45" s="38"/>
      <c r="DE45" s="38"/>
      <c r="DF45" s="38"/>
      <c r="DG45" s="38"/>
      <c r="DH45" s="38"/>
      <c r="DI45" s="38"/>
      <c r="DJ45" s="38"/>
      <c r="DK45" s="38"/>
      <c r="DL45" s="38"/>
      <c r="DM45" s="38"/>
    </row>
    <row r="46" spans="1:117" x14ac:dyDescent="0.15"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/>
      <c r="BT46" s="39"/>
      <c r="BU46" s="39"/>
      <c r="BV46" s="39"/>
      <c r="BW46" s="39"/>
      <c r="BX46" s="39"/>
      <c r="BY46" s="39"/>
      <c r="BZ46" s="39"/>
      <c r="CA46" s="39"/>
      <c r="CB46" s="39"/>
      <c r="CC46" s="39"/>
      <c r="CD46" s="39"/>
      <c r="CE46" s="39"/>
      <c r="CF46" s="39"/>
      <c r="CG46" s="39"/>
      <c r="CH46" s="39"/>
      <c r="CI46" s="39"/>
      <c r="CJ46" s="39"/>
      <c r="CK46" s="39"/>
      <c r="CL46" s="39"/>
      <c r="CM46" s="39"/>
      <c r="CN46" s="39"/>
      <c r="CO46" s="39"/>
      <c r="CP46" s="39"/>
      <c r="CQ46" s="39"/>
      <c r="CR46" s="39"/>
      <c r="CS46" s="39"/>
      <c r="CT46" s="39"/>
      <c r="CU46" s="39"/>
      <c r="CV46" s="39"/>
      <c r="CW46" s="39"/>
      <c r="CX46" s="39"/>
      <c r="CY46" s="39"/>
      <c r="CZ46" s="39"/>
      <c r="DA46" s="39"/>
      <c r="DB46" s="39"/>
      <c r="DC46" s="39"/>
      <c r="DD46" s="39"/>
      <c r="DE46" s="39"/>
      <c r="DF46" s="39"/>
      <c r="DG46" s="39"/>
      <c r="DH46" s="39"/>
      <c r="DI46" s="39"/>
      <c r="DJ46" s="39"/>
      <c r="DK46" s="39"/>
      <c r="DL46" s="39"/>
      <c r="DM46" s="39"/>
    </row>
    <row r="47" spans="1:117" x14ac:dyDescent="0.15">
      <c r="A47" s="3" t="s">
        <v>59</v>
      </c>
      <c r="B47" s="55">
        <f>B44-B43-B40</f>
        <v>1861.5</v>
      </c>
      <c r="C47" s="55">
        <f>C44-C43-C40</f>
        <v>2124.9349999999995</v>
      </c>
      <c r="D47" s="55">
        <f>D44-D43-D40</f>
        <v>2508.5629999999992</v>
      </c>
      <c r="E47" s="55">
        <f>E44-E43-E40</f>
        <v>2889.6709999999998</v>
      </c>
      <c r="F47" s="55">
        <f>F44-F43-F40</f>
        <v>4173.66</v>
      </c>
      <c r="G47" s="55">
        <f>G44-G43-G40</f>
        <v>6191</v>
      </c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  <c r="CH47" s="38"/>
      <c r="CI47" s="38"/>
      <c r="CJ47" s="38"/>
      <c r="CK47" s="38"/>
      <c r="CL47" s="38"/>
      <c r="CM47" s="38"/>
      <c r="CN47" s="38"/>
      <c r="CO47" s="38"/>
      <c r="CP47" s="38"/>
      <c r="CQ47" s="38"/>
      <c r="CR47" s="38"/>
      <c r="CS47" s="38"/>
      <c r="CT47" s="38"/>
      <c r="CU47" s="38"/>
      <c r="CV47" s="38"/>
      <c r="CW47" s="38"/>
      <c r="CX47" s="38"/>
      <c r="CY47" s="38"/>
      <c r="CZ47" s="38"/>
      <c r="DA47" s="38"/>
      <c r="DB47" s="38"/>
      <c r="DC47" s="38"/>
      <c r="DD47" s="38"/>
      <c r="DE47" s="38"/>
      <c r="DF47" s="38"/>
      <c r="DG47" s="38"/>
      <c r="DH47" s="38"/>
      <c r="DI47" s="38"/>
      <c r="DJ47" s="38"/>
      <c r="DK47" s="38"/>
      <c r="DL47" s="38"/>
      <c r="DM47" s="38"/>
    </row>
    <row r="48" spans="1:117" x14ac:dyDescent="0.15">
      <c r="A48" s="3" t="s">
        <v>60</v>
      </c>
      <c r="B48" s="55">
        <f>B44-B45</f>
        <v>7001.58</v>
      </c>
      <c r="C48" s="55">
        <f>C44-C45</f>
        <v>7424.8349999999991</v>
      </c>
      <c r="D48" s="55">
        <f>D44-D45</f>
        <v>8459.8690000000006</v>
      </c>
      <c r="E48" s="55">
        <f>E44-E45</f>
        <v>9362.1140000000014</v>
      </c>
      <c r="F48" s="55">
        <f>F44-F45</f>
        <v>10530.155000000001</v>
      </c>
      <c r="G48" s="55">
        <f>G44-G45</f>
        <v>13264</v>
      </c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8"/>
      <c r="BL48" s="38"/>
      <c r="BM48" s="38"/>
      <c r="BN48" s="38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38"/>
      <c r="BZ48" s="38"/>
      <c r="CA48" s="38"/>
      <c r="CB48" s="38"/>
      <c r="CC48" s="38"/>
      <c r="CD48" s="38"/>
      <c r="CE48" s="38"/>
      <c r="CF48" s="38"/>
      <c r="CG48" s="38"/>
      <c r="CH48" s="38"/>
      <c r="CI48" s="38"/>
      <c r="CJ48" s="38"/>
      <c r="CK48" s="38"/>
      <c r="CL48" s="38"/>
      <c r="CM48" s="38"/>
      <c r="CN48" s="38"/>
      <c r="CO48" s="38"/>
      <c r="CP48" s="38"/>
      <c r="CQ48" s="38"/>
      <c r="CR48" s="38"/>
      <c r="CS48" s="38"/>
      <c r="CT48" s="38"/>
      <c r="CU48" s="38"/>
      <c r="CV48" s="38"/>
      <c r="CW48" s="38"/>
      <c r="CX48" s="38"/>
      <c r="CY48" s="38"/>
      <c r="CZ48" s="38"/>
      <c r="DA48" s="38"/>
      <c r="DB48" s="38"/>
      <c r="DC48" s="38"/>
      <c r="DD48" s="38"/>
      <c r="DE48" s="38"/>
      <c r="DF48" s="38"/>
      <c r="DG48" s="38"/>
      <c r="DH48" s="38"/>
      <c r="DI48" s="38"/>
      <c r="DJ48" s="38"/>
      <c r="DK48" s="38"/>
      <c r="DL48" s="38"/>
      <c r="DM48" s="38"/>
    </row>
    <row r="49" spans="1:117" x14ac:dyDescent="0.15"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39"/>
      <c r="BS49" s="39"/>
      <c r="BT49" s="39"/>
      <c r="BU49" s="39"/>
      <c r="BV49" s="39"/>
      <c r="BW49" s="39"/>
      <c r="BX49" s="39"/>
      <c r="BY49" s="39"/>
      <c r="BZ49" s="39"/>
      <c r="CA49" s="39"/>
      <c r="CB49" s="39"/>
      <c r="CC49" s="39"/>
      <c r="CD49" s="39"/>
      <c r="CE49" s="39"/>
      <c r="CF49" s="39"/>
      <c r="CG49" s="39"/>
      <c r="CH49" s="39"/>
      <c r="CI49" s="39"/>
      <c r="CJ49" s="39"/>
      <c r="CK49" s="39"/>
      <c r="CL49" s="39"/>
      <c r="CM49" s="39"/>
      <c r="CN49" s="39"/>
      <c r="CO49" s="39"/>
      <c r="CP49" s="39"/>
      <c r="CQ49" s="39"/>
      <c r="CR49" s="39"/>
      <c r="CS49" s="39"/>
      <c r="CT49" s="39"/>
      <c r="CU49" s="39"/>
      <c r="CV49" s="39"/>
      <c r="CW49" s="39"/>
      <c r="CX49" s="39"/>
      <c r="CY49" s="39"/>
      <c r="CZ49" s="39"/>
      <c r="DA49" s="39"/>
      <c r="DB49" s="39"/>
      <c r="DC49" s="39"/>
      <c r="DD49" s="39"/>
      <c r="DE49" s="39"/>
      <c r="DF49" s="39"/>
      <c r="DG49" s="39"/>
      <c r="DH49" s="39"/>
      <c r="DI49" s="39"/>
      <c r="DJ49" s="39"/>
      <c r="DK49" s="39"/>
      <c r="DL49" s="39"/>
      <c r="DM49" s="39"/>
    </row>
    <row r="50" spans="1:117" x14ac:dyDescent="0.15">
      <c r="A50" s="18" t="s">
        <v>62</v>
      </c>
      <c r="B50" s="56">
        <f>B25/B48</f>
        <v>8.99155619160249E-2</v>
      </c>
      <c r="C50" s="56">
        <f>C25/C48</f>
        <v>0.15741521528761246</v>
      </c>
      <c r="D50" s="56">
        <f>D25/D48</f>
        <v>0.2002340698183388</v>
      </c>
      <c r="E50" s="56">
        <f>E25/E48</f>
        <v>0.27672959333757319</v>
      </c>
      <c r="F50" s="56">
        <f>F25/F48</f>
        <v>0.28028628258558402</v>
      </c>
      <c r="G50" s="56">
        <f>G25/G48</f>
        <v>0.30724745269907816</v>
      </c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39"/>
      <c r="BU50" s="39"/>
      <c r="BV50" s="39"/>
      <c r="BW50" s="39"/>
      <c r="BX50" s="39"/>
      <c r="BY50" s="39"/>
      <c r="BZ50" s="39"/>
      <c r="CA50" s="39"/>
      <c r="CB50" s="39"/>
      <c r="CC50" s="39"/>
      <c r="CD50" s="39"/>
      <c r="CE50" s="39"/>
      <c r="CF50" s="39"/>
      <c r="CG50" s="39"/>
      <c r="CH50" s="39"/>
      <c r="CI50" s="39"/>
      <c r="CJ50" s="39"/>
      <c r="CK50" s="39"/>
      <c r="CL50" s="39"/>
      <c r="CM50" s="39"/>
      <c r="CN50" s="39"/>
      <c r="CO50" s="39"/>
      <c r="CP50" s="39"/>
      <c r="CQ50" s="39"/>
      <c r="CR50" s="39"/>
      <c r="CS50" s="39"/>
      <c r="CT50" s="39"/>
      <c r="CU50" s="39"/>
      <c r="CV50" s="39"/>
      <c r="CW50" s="39"/>
      <c r="CX50" s="39"/>
      <c r="CY50" s="39"/>
      <c r="CZ50" s="39"/>
      <c r="DA50" s="39"/>
      <c r="DB50" s="39"/>
      <c r="DC50" s="39"/>
      <c r="DD50" s="39"/>
      <c r="DE50" s="39"/>
      <c r="DF50" s="39"/>
      <c r="DG50" s="39"/>
      <c r="DH50" s="39"/>
      <c r="DI50" s="39"/>
      <c r="DJ50" s="39"/>
      <c r="DK50" s="39"/>
      <c r="DL50" s="39"/>
      <c r="DM50" s="39"/>
    </row>
    <row r="51" spans="1:117" x14ac:dyDescent="0.15">
      <c r="A51" s="18" t="s">
        <v>63</v>
      </c>
      <c r="B51" s="56">
        <f>B25/B44</f>
        <v>5.3686309062094859E-2</v>
      </c>
      <c r="C51" s="56">
        <f>C25/C44</f>
        <v>9.1978556263837719E-2</v>
      </c>
      <c r="D51" s="56">
        <f>D25/D44</f>
        <v>0.11653864496136233</v>
      </c>
      <c r="E51" s="56">
        <f>E25/E44</f>
        <v>0.13803707687092789</v>
      </c>
      <c r="F51" s="56">
        <f>F25/F44</f>
        <v>0.142153989904828</v>
      </c>
      <c r="G51" s="56">
        <f>G25/G44</f>
        <v>0.16781956072313345</v>
      </c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39"/>
      <c r="BU51" s="39"/>
      <c r="BV51" s="39"/>
      <c r="BW51" s="39"/>
      <c r="BX51" s="39"/>
      <c r="BY51" s="39"/>
      <c r="BZ51" s="39"/>
      <c r="CA51" s="39"/>
      <c r="CB51" s="39"/>
      <c r="CC51" s="39"/>
      <c r="CD51" s="39"/>
      <c r="CE51" s="39"/>
      <c r="CF51" s="39"/>
      <c r="CG51" s="39"/>
      <c r="CH51" s="39"/>
      <c r="CI51" s="39"/>
      <c r="CJ51" s="39"/>
      <c r="CK51" s="39"/>
      <c r="CL51" s="39"/>
      <c r="CM51" s="39"/>
      <c r="CN51" s="39"/>
      <c r="CO51" s="39"/>
      <c r="CP51" s="39"/>
      <c r="CQ51" s="39"/>
      <c r="CR51" s="39"/>
      <c r="CS51" s="39"/>
      <c r="CT51" s="39"/>
      <c r="CU51" s="39"/>
      <c r="CV51" s="39"/>
      <c r="CW51" s="39"/>
      <c r="CX51" s="39"/>
      <c r="CY51" s="39"/>
      <c r="CZ51" s="39"/>
      <c r="DA51" s="39"/>
      <c r="DB51" s="39"/>
      <c r="DC51" s="39"/>
      <c r="DD51" s="39"/>
      <c r="DE51" s="39"/>
      <c r="DF51" s="39"/>
      <c r="DG51" s="39"/>
      <c r="DH51" s="39"/>
      <c r="DI51" s="39"/>
      <c r="DJ51" s="39"/>
      <c r="DK51" s="39"/>
      <c r="DL51" s="39"/>
      <c r="DM51" s="39"/>
    </row>
    <row r="52" spans="1:117" x14ac:dyDescent="0.15">
      <c r="A52" s="18" t="s">
        <v>64</v>
      </c>
      <c r="B52" s="56">
        <f>B25/(B48-B43)</f>
        <v>0.55975413713265643</v>
      </c>
      <c r="C52" s="56">
        <f>C25/(C48-C43)</f>
        <v>0.72868707121641774</v>
      </c>
      <c r="D52" s="56">
        <f>D25/(D48-D43)</f>
        <v>0.75198277584178619</v>
      </c>
      <c r="E52" s="56">
        <f>E25/(E48-E43)</f>
        <v>-0.7879638739816941</v>
      </c>
      <c r="F52" s="56">
        <f>F25/(F48-F43)</f>
        <v>-1.5685819955155405</v>
      </c>
      <c r="G52" s="56">
        <f>G25/(G48-G43)</f>
        <v>3.5041532352541465</v>
      </c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39"/>
      <c r="BS52" s="39"/>
      <c r="BT52" s="39"/>
      <c r="BU52" s="39"/>
      <c r="BV52" s="39"/>
      <c r="BW52" s="39"/>
      <c r="BX52" s="39"/>
      <c r="BY52" s="39"/>
      <c r="BZ52" s="39"/>
      <c r="CA52" s="39"/>
      <c r="CB52" s="39"/>
      <c r="CC52" s="39"/>
      <c r="CD52" s="39"/>
      <c r="CE52" s="39"/>
      <c r="CF52" s="39"/>
      <c r="CG52" s="39"/>
      <c r="CH52" s="39"/>
      <c r="CI52" s="39"/>
      <c r="CJ52" s="39"/>
      <c r="CK52" s="39"/>
      <c r="CL52" s="39"/>
      <c r="CM52" s="39"/>
      <c r="CN52" s="39"/>
      <c r="CO52" s="39"/>
      <c r="CP52" s="39"/>
      <c r="CQ52" s="39"/>
      <c r="CR52" s="39"/>
      <c r="CS52" s="39"/>
      <c r="CT52" s="39"/>
      <c r="CU52" s="39"/>
      <c r="CV52" s="39"/>
      <c r="CW52" s="39"/>
      <c r="CX52" s="39"/>
      <c r="CY52" s="39"/>
      <c r="CZ52" s="39"/>
      <c r="DA52" s="39"/>
      <c r="DB52" s="39"/>
      <c r="DC52" s="39"/>
      <c r="DD52" s="39"/>
      <c r="DE52" s="39"/>
      <c r="DF52" s="39"/>
      <c r="DG52" s="39"/>
      <c r="DH52" s="39"/>
      <c r="DI52" s="39"/>
      <c r="DJ52" s="39"/>
      <c r="DK52" s="39"/>
      <c r="DL52" s="39"/>
      <c r="DM52" s="39"/>
    </row>
    <row r="53" spans="1:117" x14ac:dyDescent="0.15">
      <c r="A53" s="18" t="s">
        <v>65</v>
      </c>
      <c r="B53" s="56">
        <f>B25/B47</f>
        <v>0.33819554123019158</v>
      </c>
      <c r="C53" s="56">
        <f>C25/C47</f>
        <v>0.55003188332819597</v>
      </c>
      <c r="D53" s="56">
        <f>D25/D47</f>
        <v>0.67526866975236444</v>
      </c>
      <c r="E53" s="56">
        <f>E25/E47</f>
        <v>0.89656365724679421</v>
      </c>
      <c r="F53" s="56">
        <f>F25/F47</f>
        <v>0.70716301759127509</v>
      </c>
      <c r="G53" s="56">
        <f>G25/G47</f>
        <v>0.65826687330004396</v>
      </c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39"/>
      <c r="BS53" s="39"/>
      <c r="BT53" s="39"/>
      <c r="BU53" s="39"/>
      <c r="BV53" s="39"/>
      <c r="BW53" s="39"/>
      <c r="BX53" s="39"/>
      <c r="BY53" s="39"/>
      <c r="BZ53" s="39"/>
      <c r="CA53" s="39"/>
      <c r="CB53" s="39"/>
      <c r="CC53" s="39"/>
      <c r="CD53" s="39"/>
      <c r="CE53" s="39"/>
      <c r="CF53" s="39"/>
      <c r="CG53" s="39"/>
      <c r="CH53" s="39"/>
      <c r="CI53" s="39"/>
      <c r="CJ53" s="39"/>
      <c r="CK53" s="39"/>
      <c r="CL53" s="39"/>
      <c r="CM53" s="39"/>
      <c r="CN53" s="39"/>
      <c r="CO53" s="39"/>
      <c r="CP53" s="39"/>
      <c r="CQ53" s="39"/>
      <c r="CR53" s="39"/>
      <c r="CS53" s="39"/>
      <c r="CT53" s="39"/>
      <c r="CU53" s="39"/>
      <c r="CV53" s="39"/>
      <c r="CW53" s="39"/>
      <c r="CX53" s="39"/>
      <c r="CY53" s="39"/>
      <c r="CZ53" s="39"/>
      <c r="DA53" s="39"/>
      <c r="DB53" s="39"/>
      <c r="DC53" s="39"/>
      <c r="DD53" s="39"/>
      <c r="DE53" s="39"/>
      <c r="DF53" s="39"/>
      <c r="DG53" s="39"/>
      <c r="DH53" s="39"/>
      <c r="DI53" s="39"/>
      <c r="DJ53" s="39"/>
      <c r="DK53" s="39"/>
      <c r="DL53" s="39"/>
      <c r="DM53" s="39"/>
    </row>
    <row r="54" spans="1:117" x14ac:dyDescent="0.15"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</row>
    <row r="55" spans="1:117" x14ac:dyDescent="0.15">
      <c r="A55" s="6" t="s">
        <v>76</v>
      </c>
      <c r="B55" s="39"/>
      <c r="C55" s="56">
        <f>C10/B10-1</f>
        <v>0.42213694948732972</v>
      </c>
      <c r="D55" s="56">
        <f t="shared" ref="D55:F55" si="171">D10/C10-1</f>
        <v>0.3378609428086039</v>
      </c>
      <c r="E55" s="56">
        <f t="shared" si="171"/>
        <v>0.29154241800729674</v>
      </c>
      <c r="F55" s="56">
        <f t="shared" si="171"/>
        <v>0.26158447856087585</v>
      </c>
      <c r="G55" s="56">
        <f t="shared" ref="G55:L57" si="172">G10/F10-1</f>
        <v>0.18205438530770635</v>
      </c>
      <c r="H55" s="56">
        <f t="shared" si="172"/>
        <v>0.14999999999999991</v>
      </c>
      <c r="I55" s="56">
        <f t="shared" si="172"/>
        <v>0.14999999999999991</v>
      </c>
      <c r="J55" s="56">
        <f t="shared" si="172"/>
        <v>0.14999999999999991</v>
      </c>
      <c r="K55" s="56">
        <f t="shared" si="172"/>
        <v>0.14999999999999991</v>
      </c>
      <c r="L55" s="56">
        <f t="shared" si="172"/>
        <v>0.14999999999999991</v>
      </c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39"/>
      <c r="CM55" s="39"/>
      <c r="CN55" s="39"/>
      <c r="CO55" s="39"/>
      <c r="CP55" s="39"/>
      <c r="CQ55" s="39"/>
      <c r="CR55" s="39"/>
      <c r="CS55" s="39"/>
      <c r="CT55" s="39"/>
      <c r="CU55" s="39"/>
      <c r="CV55" s="39"/>
      <c r="CW55" s="39"/>
      <c r="CX55" s="39"/>
      <c r="CY55" s="39"/>
      <c r="CZ55" s="39"/>
      <c r="DA55" s="39"/>
      <c r="DB55" s="39"/>
      <c r="DC55" s="39"/>
      <c r="DD55" s="39"/>
      <c r="DE55" s="39"/>
      <c r="DF55" s="39"/>
      <c r="DG55" s="39"/>
      <c r="DH55" s="39"/>
      <c r="DI55" s="39"/>
      <c r="DJ55" s="39"/>
      <c r="DK55" s="39"/>
      <c r="DL55" s="39"/>
      <c r="DM55" s="39"/>
    </row>
    <row r="56" spans="1:117" x14ac:dyDescent="0.15">
      <c r="A56" s="6" t="s">
        <v>77</v>
      </c>
      <c r="B56" s="39"/>
      <c r="C56" s="56">
        <f t="shared" ref="C56:F56" si="173">C11/B11-1</f>
        <v>-0.28853855410764473</v>
      </c>
      <c r="D56" s="56">
        <f t="shared" si="173"/>
        <v>-0.11709086093906551</v>
      </c>
      <c r="E56" s="56">
        <f t="shared" si="173"/>
        <v>-0.119719794500875</v>
      </c>
      <c r="F56" s="56">
        <f t="shared" si="173"/>
        <v>4.1203691053486757E-2</v>
      </c>
      <c r="G56" s="56">
        <f t="shared" si="172"/>
        <v>-0.21733653602721881</v>
      </c>
      <c r="H56" s="56">
        <f t="shared" si="172"/>
        <v>-9.9999999999999978E-2</v>
      </c>
      <c r="I56" s="56">
        <f t="shared" si="172"/>
        <v>-9.9999999999999978E-2</v>
      </c>
      <c r="J56" s="56">
        <f t="shared" si="172"/>
        <v>-9.9999999999999978E-2</v>
      </c>
      <c r="K56" s="56">
        <f t="shared" si="172"/>
        <v>-0.10000000000000009</v>
      </c>
      <c r="L56" s="56">
        <f t="shared" si="172"/>
        <v>-0.10000000000000009</v>
      </c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BR56" s="39"/>
      <c r="BS56" s="39"/>
      <c r="BT56" s="39"/>
      <c r="BU56" s="39"/>
      <c r="BV56" s="39"/>
      <c r="BW56" s="39"/>
      <c r="BX56" s="39"/>
      <c r="BY56" s="39"/>
      <c r="BZ56" s="39"/>
      <c r="CA56" s="39"/>
      <c r="CB56" s="39"/>
      <c r="CC56" s="39"/>
      <c r="CD56" s="39"/>
      <c r="CE56" s="39"/>
      <c r="CF56" s="39"/>
      <c r="CG56" s="39"/>
      <c r="CH56" s="39"/>
      <c r="CI56" s="39"/>
      <c r="CJ56" s="39"/>
      <c r="CK56" s="39"/>
      <c r="CL56" s="39"/>
      <c r="CM56" s="39"/>
      <c r="CN56" s="39"/>
      <c r="CO56" s="39"/>
      <c r="CP56" s="39"/>
      <c r="CQ56" s="39"/>
      <c r="CR56" s="39"/>
      <c r="CS56" s="39"/>
      <c r="CT56" s="39"/>
      <c r="CU56" s="39"/>
      <c r="CV56" s="39"/>
      <c r="CW56" s="39"/>
      <c r="CX56" s="39"/>
      <c r="CY56" s="39"/>
      <c r="CZ56" s="39"/>
      <c r="DA56" s="39"/>
      <c r="DB56" s="39"/>
      <c r="DC56" s="39"/>
      <c r="DD56" s="39"/>
      <c r="DE56" s="39"/>
      <c r="DF56" s="39"/>
      <c r="DG56" s="39"/>
      <c r="DH56" s="39"/>
      <c r="DI56" s="39"/>
      <c r="DJ56" s="39"/>
      <c r="DK56" s="39"/>
      <c r="DL56" s="39"/>
      <c r="DM56" s="39"/>
    </row>
    <row r="57" spans="1:117" x14ac:dyDescent="0.15">
      <c r="A57" s="6" t="s">
        <v>78</v>
      </c>
      <c r="B57" s="39"/>
      <c r="C57" s="56">
        <f t="shared" ref="C57:F57" si="174">C12/B12-1</f>
        <v>5.0705436757074063E-2</v>
      </c>
      <c r="D57" s="56">
        <f t="shared" si="174"/>
        <v>-1.7544271038736015E-2</v>
      </c>
      <c r="E57" s="56">
        <f t="shared" si="174"/>
        <v>5.3885160425196643E-2</v>
      </c>
      <c r="F57" s="56">
        <f t="shared" si="174"/>
        <v>8.9233543955874239E-2</v>
      </c>
      <c r="G57" s="56">
        <f t="shared" si="172"/>
        <v>3.3940466199408714E-2</v>
      </c>
      <c r="H57" s="56">
        <f t="shared" si="172"/>
        <v>5.0000000000000044E-2</v>
      </c>
      <c r="I57" s="56">
        <f t="shared" si="172"/>
        <v>5.0000000000000044E-2</v>
      </c>
      <c r="J57" s="56">
        <f t="shared" si="172"/>
        <v>5.0000000000000044E-2</v>
      </c>
      <c r="K57" s="56">
        <f t="shared" si="172"/>
        <v>5.0000000000000044E-2</v>
      </c>
      <c r="L57" s="56">
        <f t="shared" si="172"/>
        <v>5.0000000000000044E-2</v>
      </c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39"/>
      <c r="BS57" s="39"/>
      <c r="BT57" s="39"/>
      <c r="BU57" s="39"/>
      <c r="BV57" s="39"/>
      <c r="BW57" s="39"/>
      <c r="BX57" s="39"/>
      <c r="BY57" s="39"/>
      <c r="BZ57" s="39"/>
      <c r="CA57" s="39"/>
      <c r="CB57" s="39"/>
      <c r="CC57" s="39"/>
      <c r="CD57" s="39"/>
      <c r="CE57" s="39"/>
      <c r="CF57" s="39"/>
      <c r="CG57" s="39"/>
      <c r="CH57" s="39"/>
      <c r="CI57" s="39"/>
      <c r="CJ57" s="39"/>
      <c r="CK57" s="39"/>
      <c r="CL57" s="39"/>
      <c r="CM57" s="39"/>
      <c r="CN57" s="39"/>
      <c r="CO57" s="39"/>
      <c r="CP57" s="39"/>
      <c r="CQ57" s="39"/>
      <c r="CR57" s="39"/>
      <c r="CS57" s="39"/>
      <c r="CT57" s="39"/>
      <c r="CU57" s="39"/>
      <c r="CV57" s="39"/>
      <c r="CW57" s="39"/>
      <c r="CX57" s="39"/>
      <c r="CY57" s="39"/>
      <c r="CZ57" s="39"/>
      <c r="DA57" s="39"/>
      <c r="DB57" s="39"/>
      <c r="DC57" s="39"/>
      <c r="DD57" s="39"/>
      <c r="DE57" s="39"/>
      <c r="DF57" s="39"/>
      <c r="DG57" s="39"/>
      <c r="DH57" s="39"/>
      <c r="DI57" s="39"/>
      <c r="DJ57" s="39"/>
      <c r="DK57" s="39"/>
      <c r="DL57" s="39"/>
      <c r="DM57" s="39"/>
    </row>
  </sheetData>
  <hyperlinks>
    <hyperlink ref="A1" r:id="rId1" xr:uid="{00000000-0004-0000-0000-000000000000}"/>
    <hyperlink ref="A7" r:id="rId2" xr:uid="{00000000-0004-0000-0000-000001000000}"/>
    <hyperlink ref="A8" r:id="rId3" xr:uid="{00000000-0004-0000-0000-000002000000}"/>
    <hyperlink ref="A4" r:id="rId4" xr:uid="{00000000-0004-0000-0000-000003000000}"/>
    <hyperlink ref="L4" r:id="rId5" xr:uid="{CBCA994A-BC74-CB48-8009-AD2DE8254A02}"/>
  </hyperlinks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52"/>
  <sheetViews>
    <sheetView zoomScale="125" zoomScaleNormal="125" workbookViewId="0">
      <pane xSplit="1" ySplit="2" topLeftCell="P3" activePane="bottomRight" state="frozen"/>
      <selection pane="topRight" activeCell="B1" sqref="B1"/>
      <selection pane="bottomLeft" activeCell="A3" sqref="A3"/>
      <selection pane="bottomRight" activeCell="AB19" sqref="AB19"/>
    </sheetView>
  </sheetViews>
  <sheetFormatPr baseColWidth="10" defaultRowHeight="13" x14ac:dyDescent="0.15"/>
  <cols>
    <col min="1" max="1" width="20.33203125" style="70" bestFit="1" customWidth="1"/>
    <col min="2" max="5" width="10.83203125" style="20" customWidth="1"/>
    <col min="6" max="6" width="10.83203125" style="21" customWidth="1"/>
    <col min="7" max="8" width="10.83203125" style="20" customWidth="1"/>
    <col min="9" max="9" width="10.83203125" style="20"/>
    <col min="10" max="10" width="10.83203125" style="21"/>
    <col min="11" max="13" width="10.83203125" style="20"/>
    <col min="14" max="14" width="10.83203125" style="21"/>
    <col min="15" max="17" width="10.83203125" style="20"/>
    <col min="18" max="18" width="10.83203125" style="21"/>
    <col min="19" max="21" width="10.83203125" style="20"/>
    <col min="22" max="22" width="10.83203125" style="21"/>
    <col min="23" max="25" width="10.83203125" style="20"/>
    <col min="26" max="16384" width="10.83203125" style="6"/>
  </cols>
  <sheetData>
    <row r="1" spans="1:29" s="20" customFormat="1" x14ac:dyDescent="0.15">
      <c r="A1" s="65" t="s">
        <v>45</v>
      </c>
      <c r="B1" s="20" t="s">
        <v>38</v>
      </c>
      <c r="C1" s="20" t="s">
        <v>39</v>
      </c>
      <c r="D1" s="20" t="s">
        <v>40</v>
      </c>
      <c r="E1" s="20" t="s">
        <v>41</v>
      </c>
      <c r="F1" s="21" t="s">
        <v>22</v>
      </c>
      <c r="G1" s="20" t="s">
        <v>23</v>
      </c>
      <c r="H1" s="20" t="s">
        <v>24</v>
      </c>
      <c r="I1" s="20" t="s">
        <v>25</v>
      </c>
      <c r="J1" s="22" t="s">
        <v>0</v>
      </c>
      <c r="K1" s="23" t="s">
        <v>1</v>
      </c>
      <c r="L1" s="23" t="s">
        <v>2</v>
      </c>
      <c r="M1" s="23" t="s">
        <v>3</v>
      </c>
      <c r="N1" s="22" t="s">
        <v>34</v>
      </c>
      <c r="O1" s="23" t="s">
        <v>35</v>
      </c>
      <c r="P1" s="23" t="s">
        <v>36</v>
      </c>
      <c r="Q1" s="23" t="s">
        <v>37</v>
      </c>
      <c r="R1" s="22" t="s">
        <v>52</v>
      </c>
      <c r="S1" s="23" t="s">
        <v>53</v>
      </c>
      <c r="T1" s="23" t="s">
        <v>54</v>
      </c>
      <c r="U1" s="23" t="s">
        <v>55</v>
      </c>
      <c r="V1" s="22" t="s">
        <v>98</v>
      </c>
      <c r="W1" s="23" t="s">
        <v>112</v>
      </c>
      <c r="X1" s="23" t="s">
        <v>113</v>
      </c>
      <c r="Y1" s="23" t="s">
        <v>99</v>
      </c>
      <c r="Z1" s="20" t="s">
        <v>117</v>
      </c>
      <c r="AA1" s="20" t="s">
        <v>118</v>
      </c>
      <c r="AB1" s="20" t="s">
        <v>119</v>
      </c>
      <c r="AC1" s="20" t="s">
        <v>120</v>
      </c>
    </row>
    <row r="2" spans="1:29" s="20" customFormat="1" x14ac:dyDescent="0.15">
      <c r="A2" s="65"/>
      <c r="B2" s="20" t="s">
        <v>96</v>
      </c>
      <c r="C2" s="20" t="s">
        <v>94</v>
      </c>
      <c r="D2" s="20" t="s">
        <v>92</v>
      </c>
      <c r="E2" s="20" t="s">
        <v>90</v>
      </c>
      <c r="F2" s="21" t="s">
        <v>95</v>
      </c>
      <c r="G2" s="20" t="s">
        <v>93</v>
      </c>
      <c r="H2" s="20" t="s">
        <v>91</v>
      </c>
      <c r="I2" s="20" t="s">
        <v>89</v>
      </c>
      <c r="J2" s="21" t="s">
        <v>88</v>
      </c>
      <c r="K2" s="20" t="s">
        <v>87</v>
      </c>
      <c r="L2" s="20" t="s">
        <v>85</v>
      </c>
      <c r="M2" s="20" t="s">
        <v>83</v>
      </c>
      <c r="N2" s="21" t="s">
        <v>81</v>
      </c>
      <c r="O2" s="20" t="s">
        <v>86</v>
      </c>
      <c r="P2" s="20" t="s">
        <v>84</v>
      </c>
      <c r="Q2" s="20" t="s">
        <v>79</v>
      </c>
      <c r="R2" s="21" t="s">
        <v>80</v>
      </c>
      <c r="S2" s="20" t="s">
        <v>97</v>
      </c>
      <c r="T2" s="20" t="s">
        <v>100</v>
      </c>
      <c r="U2" s="20" t="s">
        <v>101</v>
      </c>
      <c r="V2" s="59">
        <v>43889</v>
      </c>
      <c r="W2" s="58">
        <v>43980</v>
      </c>
      <c r="X2" s="58">
        <v>44071</v>
      </c>
      <c r="Y2" s="58">
        <v>44162</v>
      </c>
    </row>
    <row r="3" spans="1:29" s="8" customFormat="1" x14ac:dyDescent="0.15">
      <c r="A3" s="66" t="s">
        <v>73</v>
      </c>
      <c r="B3" s="23">
        <v>713.44200000000001</v>
      </c>
      <c r="C3" s="23">
        <v>773.96299999999997</v>
      </c>
      <c r="D3" s="23">
        <v>829.06500000000005</v>
      </c>
      <c r="E3" s="23">
        <v>907.43399999999997</v>
      </c>
      <c r="F3" s="22">
        <v>1070.25</v>
      </c>
      <c r="G3" s="23">
        <v>1083.7080000000001</v>
      </c>
      <c r="H3" s="23">
        <v>1168.6020000000001</v>
      </c>
      <c r="I3" s="23">
        <v>1262.2729999999999</v>
      </c>
      <c r="J3" s="22">
        <v>1383.856</v>
      </c>
      <c r="K3" s="23">
        <v>1483.69</v>
      </c>
      <c r="L3" s="23">
        <v>1570.336</v>
      </c>
      <c r="M3" s="23">
        <v>1695.9870000000001</v>
      </c>
      <c r="N3" s="22">
        <v>1793.3579999999999</v>
      </c>
      <c r="O3" s="23">
        <v>1923.1310000000001</v>
      </c>
      <c r="P3" s="23">
        <v>2021.5050000000001</v>
      </c>
      <c r="Q3" s="23">
        <v>2184.1579999999999</v>
      </c>
      <c r="R3" s="22">
        <v>2304.9670000000001</v>
      </c>
      <c r="S3" s="23">
        <v>2456.0970000000002</v>
      </c>
      <c r="T3" s="23">
        <v>2546.5709999999999</v>
      </c>
      <c r="U3" s="23">
        <v>2686.8290000000002</v>
      </c>
      <c r="V3" s="22">
        <v>2825</v>
      </c>
      <c r="W3" s="23">
        <v>2874</v>
      </c>
      <c r="X3" s="23">
        <v>3000</v>
      </c>
      <c r="Y3" s="23">
        <v>3115</v>
      </c>
    </row>
    <row r="4" spans="1:29" s="8" customFormat="1" x14ac:dyDescent="0.15">
      <c r="A4" s="66" t="s">
        <v>74</v>
      </c>
      <c r="B4" s="23">
        <v>290.774</v>
      </c>
      <c r="C4" s="23">
        <v>274.53800000000001</v>
      </c>
      <c r="D4" s="23">
        <v>275.33800000000002</v>
      </c>
      <c r="E4" s="23">
        <v>284.49599999999998</v>
      </c>
      <c r="F4" s="22">
        <v>201.11199999999999</v>
      </c>
      <c r="G4" s="23">
        <v>196.5</v>
      </c>
      <c r="H4" s="23">
        <v>180.96</v>
      </c>
      <c r="I4" s="23">
        <v>221.92599999999999</v>
      </c>
      <c r="J4" s="22">
        <v>183.38499999999999</v>
      </c>
      <c r="K4" s="23">
        <v>171.54499999999999</v>
      </c>
      <c r="L4" s="23">
        <v>158.96100000000001</v>
      </c>
      <c r="M4" s="23">
        <v>192.876</v>
      </c>
      <c r="N4" s="22">
        <v>171.608</v>
      </c>
      <c r="O4" s="23">
        <v>150.99299999999999</v>
      </c>
      <c r="P4" s="23">
        <v>149.12700000000001</v>
      </c>
      <c r="Q4" s="23">
        <v>150.42500000000001</v>
      </c>
      <c r="R4" s="22">
        <v>170.554</v>
      </c>
      <c r="S4" s="23">
        <v>152.816</v>
      </c>
      <c r="T4" s="23">
        <v>157.321</v>
      </c>
      <c r="U4" s="23">
        <v>167.09700000000001</v>
      </c>
      <c r="V4" s="22">
        <v>143</v>
      </c>
      <c r="W4" s="23">
        <v>128</v>
      </c>
      <c r="X4" s="23">
        <v>109</v>
      </c>
      <c r="Y4" s="23">
        <v>127</v>
      </c>
    </row>
    <row r="5" spans="1:29" s="8" customFormat="1" x14ac:dyDescent="0.15">
      <c r="A5" s="66" t="s">
        <v>75</v>
      </c>
      <c r="B5" s="23">
        <v>104.965</v>
      </c>
      <c r="C5" s="23">
        <v>113.657</v>
      </c>
      <c r="D5" s="23">
        <v>113.36499999999999</v>
      </c>
      <c r="E5" s="23">
        <v>114.474</v>
      </c>
      <c r="F5" s="22">
        <v>111.973</v>
      </c>
      <c r="G5" s="23">
        <v>118.501</v>
      </c>
      <c r="H5" s="23">
        <v>114.405</v>
      </c>
      <c r="I5" s="23">
        <v>124.22</v>
      </c>
      <c r="J5" s="22">
        <v>114.405</v>
      </c>
      <c r="K5" s="23">
        <v>116.955</v>
      </c>
      <c r="L5" s="23">
        <v>111.777</v>
      </c>
      <c r="M5" s="23">
        <v>117.732</v>
      </c>
      <c r="N5" s="22">
        <v>113.98099999999999</v>
      </c>
      <c r="O5" s="23">
        <v>121.236</v>
      </c>
      <c r="P5" s="23">
        <v>120.444</v>
      </c>
      <c r="Q5" s="23">
        <v>130.042</v>
      </c>
      <c r="R5" s="22">
        <v>125.425</v>
      </c>
      <c r="S5" s="23">
        <v>135.36699999999999</v>
      </c>
      <c r="T5" s="23">
        <v>130.23400000000001</v>
      </c>
      <c r="U5" s="23">
        <v>138.018</v>
      </c>
      <c r="V5" s="22">
        <v>123</v>
      </c>
      <c r="W5" s="23">
        <v>126</v>
      </c>
      <c r="X5" s="23">
        <v>116</v>
      </c>
      <c r="Y5" s="23">
        <v>182</v>
      </c>
    </row>
    <row r="6" spans="1:29" s="23" customFormat="1" x14ac:dyDescent="0.15">
      <c r="A6" s="66"/>
      <c r="F6" s="22"/>
      <c r="J6" s="22"/>
      <c r="N6" s="22"/>
      <c r="R6" s="22"/>
      <c r="V6" s="22"/>
      <c r="W6" s="23">
        <v>3175</v>
      </c>
      <c r="Y6" s="23">
        <v>3350</v>
      </c>
      <c r="Z6" s="23">
        <v>3750</v>
      </c>
    </row>
    <row r="7" spans="1:29" s="17" customFormat="1" x14ac:dyDescent="0.15">
      <c r="A7" s="67" t="s">
        <v>4</v>
      </c>
      <c r="B7" s="24">
        <f t="shared" ref="B7:Y7" si="0">SUM(B3:B5)</f>
        <v>1109.181</v>
      </c>
      <c r="C7" s="24">
        <f t="shared" si="0"/>
        <v>1162.1579999999999</v>
      </c>
      <c r="D7" s="24">
        <f t="shared" si="0"/>
        <v>1217.768</v>
      </c>
      <c r="E7" s="24">
        <f t="shared" si="0"/>
        <v>1306.4039999999998</v>
      </c>
      <c r="F7" s="25">
        <f t="shared" si="0"/>
        <v>1383.335</v>
      </c>
      <c r="G7" s="24">
        <f t="shared" si="0"/>
        <v>1398.7090000000001</v>
      </c>
      <c r="H7" s="24">
        <f t="shared" si="0"/>
        <v>1463.9670000000001</v>
      </c>
      <c r="I7" s="24">
        <f t="shared" si="0"/>
        <v>1608.4189999999999</v>
      </c>
      <c r="J7" s="25">
        <f t="shared" si="0"/>
        <v>1681.646</v>
      </c>
      <c r="K7" s="24">
        <f t="shared" si="0"/>
        <v>1772.19</v>
      </c>
      <c r="L7" s="24">
        <f t="shared" si="0"/>
        <v>1841.0740000000001</v>
      </c>
      <c r="M7" s="24">
        <f t="shared" si="0"/>
        <v>2006.595</v>
      </c>
      <c r="N7" s="25">
        <f t="shared" si="0"/>
        <v>2078.9470000000001</v>
      </c>
      <c r="O7" s="24">
        <f t="shared" si="0"/>
        <v>2195.36</v>
      </c>
      <c r="P7" s="24">
        <f t="shared" si="0"/>
        <v>2291.076</v>
      </c>
      <c r="Q7" s="24">
        <f t="shared" si="0"/>
        <v>2464.625</v>
      </c>
      <c r="R7" s="25">
        <f t="shared" si="0"/>
        <v>2600.9460000000004</v>
      </c>
      <c r="S7" s="24">
        <f t="shared" si="0"/>
        <v>2744.28</v>
      </c>
      <c r="T7" s="24">
        <f t="shared" si="0"/>
        <v>2834.1259999999997</v>
      </c>
      <c r="U7" s="24">
        <f t="shared" si="0"/>
        <v>2991.9440000000004</v>
      </c>
      <c r="V7" s="25">
        <f t="shared" si="0"/>
        <v>3091</v>
      </c>
      <c r="W7" s="24">
        <f t="shared" si="0"/>
        <v>3128</v>
      </c>
      <c r="X7" s="24">
        <f t="shared" si="0"/>
        <v>3225</v>
      </c>
      <c r="Y7" s="24">
        <f t="shared" si="0"/>
        <v>3424</v>
      </c>
    </row>
    <row r="8" spans="1:29" s="8" customFormat="1" x14ac:dyDescent="0.15">
      <c r="A8" s="66" t="s">
        <v>5</v>
      </c>
      <c r="B8" s="23">
        <v>166.798</v>
      </c>
      <c r="C8" s="23">
        <v>185.173</v>
      </c>
      <c r="D8" s="23">
        <v>190.98500000000001</v>
      </c>
      <c r="E8" s="23">
        <v>201.36099999999999</v>
      </c>
      <c r="F8" s="22">
        <v>198.572</v>
      </c>
      <c r="G8" s="23">
        <v>202.07900000000001</v>
      </c>
      <c r="H8" s="23">
        <v>202.70099999999999</v>
      </c>
      <c r="I8" s="23">
        <v>216.55600000000001</v>
      </c>
      <c r="J8" s="22">
        <v>237.33699999999999</v>
      </c>
      <c r="K8" s="23">
        <v>239.36</v>
      </c>
      <c r="L8" s="23">
        <v>262.92200000000003</v>
      </c>
      <c r="M8" s="23">
        <v>270.87200000000001</v>
      </c>
      <c r="N8" s="22">
        <v>258.90199999999999</v>
      </c>
      <c r="O8" s="23">
        <v>281.34399999999999</v>
      </c>
      <c r="P8" s="23">
        <v>295.49200000000002</v>
      </c>
      <c r="Q8" s="23">
        <v>359.26100000000002</v>
      </c>
      <c r="R8" s="22">
        <v>397.286</v>
      </c>
      <c r="S8" s="23">
        <v>407.488</v>
      </c>
      <c r="T8" s="51">
        <v>415.96300000000002</v>
      </c>
      <c r="U8" s="51">
        <v>451.983</v>
      </c>
      <c r="V8" s="22">
        <v>452</v>
      </c>
      <c r="W8" s="51">
        <v>415</v>
      </c>
      <c r="X8" s="51">
        <v>427</v>
      </c>
      <c r="Y8" s="51">
        <v>428</v>
      </c>
    </row>
    <row r="9" spans="1:29" s="8" customFormat="1" x14ac:dyDescent="0.15">
      <c r="A9" s="66" t="s">
        <v>6</v>
      </c>
      <c r="B9" s="27">
        <f>B7-B8</f>
        <v>942.38300000000004</v>
      </c>
      <c r="C9" s="27">
        <f>C7-C8</f>
        <v>976.9849999999999</v>
      </c>
      <c r="D9" s="27">
        <f>D7-D8</f>
        <v>1026.7829999999999</v>
      </c>
      <c r="E9" s="27">
        <f>E7-E8</f>
        <v>1105.0429999999997</v>
      </c>
      <c r="F9" s="28">
        <f>F7-F8</f>
        <v>1184.7629999999999</v>
      </c>
      <c r="G9" s="27">
        <f t="shared" ref="G9:L9" si="1">G7-G8</f>
        <v>1196.6300000000001</v>
      </c>
      <c r="H9" s="27">
        <f t="shared" si="1"/>
        <v>1261.2660000000001</v>
      </c>
      <c r="I9" s="27">
        <f t="shared" si="1"/>
        <v>1391.8629999999998</v>
      </c>
      <c r="J9" s="28">
        <f t="shared" si="1"/>
        <v>1444.309</v>
      </c>
      <c r="K9" s="27">
        <f t="shared" si="1"/>
        <v>1532.83</v>
      </c>
      <c r="L9" s="27">
        <f t="shared" si="1"/>
        <v>1578.152</v>
      </c>
      <c r="M9" s="27">
        <f t="shared" ref="M9" si="2">M7-M8</f>
        <v>1735.723</v>
      </c>
      <c r="N9" s="28">
        <f>N7-N8</f>
        <v>1820.0450000000001</v>
      </c>
      <c r="O9" s="27">
        <f>O7-O8</f>
        <v>1914.0160000000001</v>
      </c>
      <c r="P9" s="27">
        <f t="shared" ref="P9:R9" si="3">P7-P8</f>
        <v>1995.5840000000001</v>
      </c>
      <c r="Q9" s="27">
        <f t="shared" si="3"/>
        <v>2105.364</v>
      </c>
      <c r="R9" s="28">
        <f t="shared" si="3"/>
        <v>2203.6600000000003</v>
      </c>
      <c r="S9" s="27">
        <f t="shared" ref="S9:Y9" si="4">S7-S8</f>
        <v>2336.7920000000004</v>
      </c>
      <c r="T9" s="27">
        <f t="shared" si="4"/>
        <v>2418.1629999999996</v>
      </c>
      <c r="U9" s="27">
        <f t="shared" si="4"/>
        <v>2539.9610000000002</v>
      </c>
      <c r="V9" s="28">
        <f t="shared" ref="V9" si="5">V7-V8</f>
        <v>2639</v>
      </c>
      <c r="W9" s="27">
        <f t="shared" si="4"/>
        <v>2713</v>
      </c>
      <c r="X9" s="27">
        <f t="shared" si="4"/>
        <v>2798</v>
      </c>
      <c r="Y9" s="27">
        <f t="shared" si="4"/>
        <v>2996</v>
      </c>
    </row>
    <row r="10" spans="1:29" s="8" customFormat="1" x14ac:dyDescent="0.15">
      <c r="A10" s="66" t="s">
        <v>7</v>
      </c>
      <c r="B10" s="23">
        <v>215.50899999999999</v>
      </c>
      <c r="C10" s="23">
        <v>208.047</v>
      </c>
      <c r="D10" s="23">
        <v>218.66</v>
      </c>
      <c r="E10" s="23">
        <v>220.51400000000001</v>
      </c>
      <c r="F10" s="22">
        <v>237.20400000000001</v>
      </c>
      <c r="G10" s="23">
        <v>232.48400000000001</v>
      </c>
      <c r="H10" s="23">
        <v>248.45</v>
      </c>
      <c r="I10" s="23">
        <v>257.84899999999999</v>
      </c>
      <c r="J10" s="22">
        <v>285.077</v>
      </c>
      <c r="K10" s="23">
        <v>299.40100000000001</v>
      </c>
      <c r="L10" s="23">
        <v>315.55500000000001</v>
      </c>
      <c r="M10" s="23">
        <v>324.02600000000001</v>
      </c>
      <c r="N10" s="22">
        <v>348.76900000000001</v>
      </c>
      <c r="O10" s="23">
        <v>374.12799999999999</v>
      </c>
      <c r="P10" s="23">
        <v>398.95699999999999</v>
      </c>
      <c r="Q10" s="23">
        <v>415.95800000000003</v>
      </c>
      <c r="R10" s="22">
        <v>464.637</v>
      </c>
      <c r="S10" s="23">
        <v>475.95800000000003</v>
      </c>
      <c r="T10" s="51">
        <v>489.827</v>
      </c>
      <c r="U10" s="51">
        <v>499.80599999999998</v>
      </c>
      <c r="V10" s="22">
        <v>532</v>
      </c>
      <c r="W10" s="51">
        <v>532</v>
      </c>
      <c r="X10" s="51">
        <v>566</v>
      </c>
      <c r="Y10" s="51">
        <v>558</v>
      </c>
    </row>
    <row r="11" spans="1:29" s="8" customFormat="1" x14ac:dyDescent="0.15">
      <c r="A11" s="66" t="s">
        <v>8</v>
      </c>
      <c r="B11" s="23">
        <v>392.74099999999999</v>
      </c>
      <c r="C11" s="23">
        <v>426.99799999999999</v>
      </c>
      <c r="D11" s="23">
        <v>422.03100000000001</v>
      </c>
      <c r="E11" s="23">
        <v>441.47199999999998</v>
      </c>
      <c r="F11" s="22">
        <v>474.89100000000002</v>
      </c>
      <c r="G11" s="23">
        <v>462.78899999999999</v>
      </c>
      <c r="H11" s="23">
        <v>477.47500000000002</v>
      </c>
      <c r="I11" s="23">
        <v>495.04199999999997</v>
      </c>
      <c r="J11" s="22">
        <v>520.29700000000003</v>
      </c>
      <c r="K11" s="23">
        <v>553.09799999999996</v>
      </c>
      <c r="L11" s="23">
        <v>550.09299999999996</v>
      </c>
      <c r="M11" s="23">
        <v>574.10400000000004</v>
      </c>
      <c r="N11" s="22">
        <v>580.95699999999999</v>
      </c>
      <c r="O11" s="23">
        <v>646.21500000000003</v>
      </c>
      <c r="P11" s="23">
        <v>670.08399999999995</v>
      </c>
      <c r="Q11" s="23">
        <v>723.57299999999998</v>
      </c>
      <c r="R11" s="22">
        <v>781.51800000000003</v>
      </c>
      <c r="S11" s="23">
        <v>848.92700000000002</v>
      </c>
      <c r="T11" s="51">
        <v>812.31399999999996</v>
      </c>
      <c r="U11" s="51">
        <v>801.58799999999997</v>
      </c>
      <c r="V11" s="22">
        <v>857</v>
      </c>
      <c r="W11" s="51">
        <v>901</v>
      </c>
      <c r="X11" s="51">
        <v>892</v>
      </c>
      <c r="Y11" s="51">
        <v>941</v>
      </c>
    </row>
    <row r="12" spans="1:29" s="8" customFormat="1" x14ac:dyDescent="0.15">
      <c r="A12" s="66" t="s">
        <v>9</v>
      </c>
      <c r="B12" s="23">
        <f>145.081+1.755+14.272</f>
        <v>161.10799999999998</v>
      </c>
      <c r="C12" s="23">
        <f>130.208+0.034+18.081</f>
        <v>148.32299999999998</v>
      </c>
      <c r="D12" s="23">
        <f>122.578-0.751+18.246</f>
        <v>140.07300000000001</v>
      </c>
      <c r="E12" s="23">
        <f>134.052+0.521+18.05</f>
        <v>152.62299999999999</v>
      </c>
      <c r="F12" s="22">
        <f>146.935-0.419+18.394</f>
        <v>164.91</v>
      </c>
      <c r="G12" s="23">
        <f>138.596-0.466+18.988</f>
        <v>157.11799999999999</v>
      </c>
      <c r="H12" s="23">
        <f>143.702-0.338+22.652</f>
        <v>166.01600000000002</v>
      </c>
      <c r="I12" s="23">
        <f>148.477-0.285+18.5</f>
        <v>166.69200000000001</v>
      </c>
      <c r="J12" s="22">
        <f>150.808+19.128</f>
        <v>169.93599999999998</v>
      </c>
      <c r="K12" s="23">
        <f>156.929+19.32</f>
        <v>176.249</v>
      </c>
      <c r="L12" s="23">
        <f>147.402+19.428</f>
        <v>166.82999999999998</v>
      </c>
      <c r="M12" s="23">
        <f>169.567+18.686</f>
        <v>188.25300000000001</v>
      </c>
      <c r="N12" s="22">
        <f>170.44+17.146</f>
        <v>187.58600000000001</v>
      </c>
      <c r="O12" s="23">
        <f>178.04+17.149</f>
        <v>195.18899999999999</v>
      </c>
      <c r="P12" s="23">
        <f>184.063+23.874</f>
        <v>207.93699999999998</v>
      </c>
      <c r="Q12" s="23">
        <f>212.355+32.932</f>
        <v>245.28699999999998</v>
      </c>
      <c r="R12" s="22">
        <f>216.109+46.566</f>
        <v>262.67500000000001</v>
      </c>
      <c r="S12" s="23">
        <f>219.334+43.026</f>
        <v>262.36</v>
      </c>
      <c r="T12" s="51">
        <f>219.256+42.954</f>
        <v>262.20999999999998</v>
      </c>
      <c r="U12" s="51">
        <f>225.938+42.698</f>
        <v>268.63599999999997</v>
      </c>
      <c r="V12" s="22">
        <f>271+42</f>
        <v>313</v>
      </c>
      <c r="W12" s="51">
        <f>224+40</f>
        <v>264</v>
      </c>
      <c r="X12" s="51">
        <f>230+41</f>
        <v>271</v>
      </c>
      <c r="Y12" s="51">
        <f>243+39</f>
        <v>282</v>
      </c>
    </row>
    <row r="13" spans="1:29" s="8" customFormat="1" x14ac:dyDescent="0.15">
      <c r="A13" s="66" t="s">
        <v>10</v>
      </c>
      <c r="B13" s="27">
        <f>SUM(B10:B12)</f>
        <v>769.35799999999995</v>
      </c>
      <c r="C13" s="27">
        <f>SUM(C10:C12)</f>
        <v>783.36799999999994</v>
      </c>
      <c r="D13" s="27">
        <f>SUM(D10:D12)</f>
        <v>780.76400000000001</v>
      </c>
      <c r="E13" s="27">
        <f>SUM(E10:E12)</f>
        <v>814.60899999999992</v>
      </c>
      <c r="F13" s="28">
        <f>SUM(F10:F12)</f>
        <v>877.005</v>
      </c>
      <c r="G13" s="27">
        <f t="shared" ref="G13:L13" si="6">SUM(G10:G12)</f>
        <v>852.39100000000008</v>
      </c>
      <c r="H13" s="27">
        <f t="shared" si="6"/>
        <v>891.94100000000003</v>
      </c>
      <c r="I13" s="27">
        <f t="shared" si="6"/>
        <v>919.58299999999997</v>
      </c>
      <c r="J13" s="28">
        <f t="shared" si="6"/>
        <v>975.31</v>
      </c>
      <c r="K13" s="27">
        <f t="shared" si="6"/>
        <v>1028.748</v>
      </c>
      <c r="L13" s="27">
        <f t="shared" si="6"/>
        <v>1032.4779999999998</v>
      </c>
      <c r="M13" s="27">
        <f t="shared" ref="M13:N13" si="7">SUM(M10:M12)</f>
        <v>1086.383</v>
      </c>
      <c r="N13" s="28">
        <f t="shared" si="7"/>
        <v>1117.3119999999999</v>
      </c>
      <c r="O13" s="27">
        <f t="shared" ref="O13:P13" si="8">SUM(O10:O12)</f>
        <v>1215.5320000000002</v>
      </c>
      <c r="P13" s="27">
        <f t="shared" si="8"/>
        <v>1276.9779999999998</v>
      </c>
      <c r="Q13" s="27">
        <f t="shared" ref="Q13:S13" si="9">SUM(Q10:Q12)</f>
        <v>1384.818</v>
      </c>
      <c r="R13" s="28">
        <f t="shared" si="9"/>
        <v>1508.83</v>
      </c>
      <c r="S13" s="27">
        <f t="shared" si="9"/>
        <v>1587.2449999999999</v>
      </c>
      <c r="T13" s="27">
        <f t="shared" ref="T13:U13" si="10">SUM(T10:T12)</f>
        <v>1564.3510000000001</v>
      </c>
      <c r="U13" s="27">
        <f t="shared" si="10"/>
        <v>1570.03</v>
      </c>
      <c r="V13" s="28">
        <f t="shared" ref="V13:X13" si="11">SUM(V10:V12)</f>
        <v>1702</v>
      </c>
      <c r="W13" s="27">
        <f t="shared" si="11"/>
        <v>1697</v>
      </c>
      <c r="X13" s="27">
        <f t="shared" si="11"/>
        <v>1729</v>
      </c>
      <c r="Y13" s="27">
        <f t="shared" ref="Y13" si="12">SUM(Y10:Y12)</f>
        <v>1781</v>
      </c>
    </row>
    <row r="14" spans="1:29" s="8" customFormat="1" x14ac:dyDescent="0.15">
      <c r="A14" s="66" t="s">
        <v>11</v>
      </c>
      <c r="B14" s="27">
        <f>B9-B13</f>
        <v>173.02500000000009</v>
      </c>
      <c r="C14" s="27">
        <f>C9-C13</f>
        <v>193.61699999999996</v>
      </c>
      <c r="D14" s="27">
        <f>D9-D13</f>
        <v>246.01899999999989</v>
      </c>
      <c r="E14" s="27">
        <f>E9-E13</f>
        <v>290.43399999999974</v>
      </c>
      <c r="F14" s="28">
        <f>F9-F13</f>
        <v>307.75799999999992</v>
      </c>
      <c r="G14" s="27">
        <f t="shared" ref="G14:H14" si="13">G9-G13</f>
        <v>344.23900000000003</v>
      </c>
      <c r="H14" s="27">
        <f t="shared" si="13"/>
        <v>369.32500000000005</v>
      </c>
      <c r="I14" s="27">
        <f t="shared" ref="I14:P14" si="14">I9-I13</f>
        <v>472.27999999999986</v>
      </c>
      <c r="J14" s="28">
        <f t="shared" si="14"/>
        <v>468.99900000000002</v>
      </c>
      <c r="K14" s="27">
        <f t="shared" si="14"/>
        <v>504.08199999999988</v>
      </c>
      <c r="L14" s="27">
        <f t="shared" si="14"/>
        <v>545.67400000000021</v>
      </c>
      <c r="M14" s="27">
        <f t="shared" si="14"/>
        <v>649.33999999999992</v>
      </c>
      <c r="N14" s="28">
        <f t="shared" si="14"/>
        <v>702.73300000000017</v>
      </c>
      <c r="O14" s="27">
        <f t="shared" si="14"/>
        <v>698.48399999999992</v>
      </c>
      <c r="P14" s="27">
        <f t="shared" si="14"/>
        <v>718.60600000000022</v>
      </c>
      <c r="Q14" s="27">
        <f t="shared" ref="Q14:S14" si="15">Q9-Q13</f>
        <v>720.54600000000005</v>
      </c>
      <c r="R14" s="28">
        <f t="shared" si="15"/>
        <v>694.83000000000038</v>
      </c>
      <c r="S14" s="27">
        <f t="shared" si="15"/>
        <v>749.54700000000048</v>
      </c>
      <c r="T14" s="27">
        <f t="shared" ref="T14:U14" si="16">T9-T13</f>
        <v>853.81199999999944</v>
      </c>
      <c r="U14" s="27">
        <f t="shared" si="16"/>
        <v>969.93100000000027</v>
      </c>
      <c r="V14" s="28">
        <f t="shared" ref="V14:X14" si="17">V9-V13</f>
        <v>937</v>
      </c>
      <c r="W14" s="27">
        <f t="shared" si="17"/>
        <v>1016</v>
      </c>
      <c r="X14" s="27">
        <f t="shared" si="17"/>
        <v>1069</v>
      </c>
      <c r="Y14" s="27">
        <f t="shared" ref="Y14" si="18">Y9-Y13</f>
        <v>1215</v>
      </c>
    </row>
    <row r="15" spans="1:29" s="8" customFormat="1" x14ac:dyDescent="0.15">
      <c r="A15" s="66" t="s">
        <v>12</v>
      </c>
      <c r="B15" s="23">
        <v>-9.7769999999999992</v>
      </c>
      <c r="C15" s="23">
        <v>-12.643000000000001</v>
      </c>
      <c r="D15" s="23">
        <v>-13.4</v>
      </c>
      <c r="E15" s="23">
        <v>6.5060000000000002</v>
      </c>
      <c r="F15" s="22">
        <v>-15.451000000000001</v>
      </c>
      <c r="G15" s="23">
        <v>-14.409000000000001</v>
      </c>
      <c r="H15" s="23">
        <v>-13.023999999999999</v>
      </c>
      <c r="I15" s="23">
        <v>-15.58</v>
      </c>
      <c r="J15" s="22">
        <v>-8.3670000000000009</v>
      </c>
      <c r="K15" s="23">
        <v>-11.464</v>
      </c>
      <c r="L15" s="23">
        <v>-4.2949999999999999</v>
      </c>
      <c r="M15" s="23">
        <v>-6.3280000000000003</v>
      </c>
      <c r="N15" s="22">
        <v>-0.23100000000000001</v>
      </c>
      <c r="O15" s="23">
        <v>-7.6849999999999996</v>
      </c>
      <c r="P15" s="23">
        <v>-17.248000000000001</v>
      </c>
      <c r="Q15" s="23">
        <v>-21.329000000000001</v>
      </c>
      <c r="R15" s="22">
        <v>7.5039999999999996</v>
      </c>
      <c r="S15" s="23">
        <v>-38.774999999999999</v>
      </c>
      <c r="T15" s="51">
        <v>-19.324000000000002</v>
      </c>
      <c r="U15" s="51">
        <v>-12.784000000000001</v>
      </c>
      <c r="V15" s="22">
        <v>-18</v>
      </c>
      <c r="W15" s="51">
        <f>-28+12</f>
        <v>-16</v>
      </c>
      <c r="X15" s="51">
        <v>-9</v>
      </c>
      <c r="Y15" s="51">
        <f>-27+6+3</f>
        <v>-18</v>
      </c>
    </row>
    <row r="16" spans="1:29" s="8" customFormat="1" x14ac:dyDescent="0.15">
      <c r="A16" s="66" t="s">
        <v>13</v>
      </c>
      <c r="B16" s="27">
        <f>B14+B15</f>
        <v>163.2480000000001</v>
      </c>
      <c r="C16" s="27">
        <f>C14+C15</f>
        <v>180.97399999999996</v>
      </c>
      <c r="D16" s="27">
        <f>D14+D15</f>
        <v>232.61899999999989</v>
      </c>
      <c r="E16" s="27">
        <f>E14+E15</f>
        <v>296.93999999999971</v>
      </c>
      <c r="F16" s="28">
        <f>F14+F15</f>
        <v>292.3069999999999</v>
      </c>
      <c r="G16" s="27">
        <f t="shared" ref="G16:I16" si="19">G14+G15</f>
        <v>329.83000000000004</v>
      </c>
      <c r="H16" s="27">
        <f t="shared" si="19"/>
        <v>356.30100000000004</v>
      </c>
      <c r="I16" s="27">
        <f t="shared" si="19"/>
        <v>456.69999999999987</v>
      </c>
      <c r="J16" s="28">
        <f t="shared" ref="J16:K16" si="20">J14+J15</f>
        <v>460.63200000000001</v>
      </c>
      <c r="K16" s="27">
        <f t="shared" si="20"/>
        <v>492.61799999999988</v>
      </c>
      <c r="L16" s="27">
        <f t="shared" ref="L16:N16" si="21">L14+L15</f>
        <v>541.37900000000025</v>
      </c>
      <c r="M16" s="27">
        <f>M14+M15</f>
        <v>643.01199999999994</v>
      </c>
      <c r="N16" s="28">
        <f t="shared" si="21"/>
        <v>702.50200000000018</v>
      </c>
      <c r="O16" s="27">
        <f t="shared" ref="O16" si="22">O14+O15</f>
        <v>690.79899999999998</v>
      </c>
      <c r="P16" s="27">
        <f t="shared" ref="P16:T16" si="23">P14+P15</f>
        <v>701.35800000000017</v>
      </c>
      <c r="Q16" s="27">
        <f t="shared" si="23"/>
        <v>699.2170000000001</v>
      </c>
      <c r="R16" s="28">
        <f t="shared" si="23"/>
        <v>702.3340000000004</v>
      </c>
      <c r="S16" s="27">
        <f t="shared" si="23"/>
        <v>710.7720000000005</v>
      </c>
      <c r="T16" s="27">
        <f t="shared" si="23"/>
        <v>834.48799999999949</v>
      </c>
      <c r="U16" s="27">
        <f t="shared" ref="U16" si="24">U14+U15</f>
        <v>957.14700000000028</v>
      </c>
      <c r="V16" s="28">
        <f t="shared" ref="V16:Y16" si="25">V14+V15</f>
        <v>919</v>
      </c>
      <c r="W16" s="27">
        <f t="shared" si="25"/>
        <v>1000</v>
      </c>
      <c r="X16" s="27">
        <f t="shared" si="25"/>
        <v>1060</v>
      </c>
      <c r="Y16" s="27">
        <f t="shared" si="25"/>
        <v>1197</v>
      </c>
    </row>
    <row r="17" spans="1:25" s="8" customFormat="1" x14ac:dyDescent="0.15">
      <c r="A17" s="66" t="s">
        <v>14</v>
      </c>
      <c r="B17" s="23">
        <v>78.36</v>
      </c>
      <c r="C17" s="23">
        <v>33.481000000000002</v>
      </c>
      <c r="D17" s="23">
        <v>58.154000000000003</v>
      </c>
      <c r="E17" s="23">
        <v>74.234999999999999</v>
      </c>
      <c r="F17" s="22">
        <v>38</v>
      </c>
      <c r="G17" s="23">
        <v>85.756</v>
      </c>
      <c r="H17" s="23">
        <v>85.513000000000005</v>
      </c>
      <c r="I17" s="23">
        <v>57.087000000000003</v>
      </c>
      <c r="J17" s="22">
        <v>62.186</v>
      </c>
      <c r="K17" s="23">
        <v>118.22799999999999</v>
      </c>
      <c r="L17" s="23">
        <v>121.81</v>
      </c>
      <c r="M17" s="23">
        <v>141.46299999999999</v>
      </c>
      <c r="N17" s="22">
        <v>119.426</v>
      </c>
      <c r="O17" s="23">
        <v>27.632000000000001</v>
      </c>
      <c r="P17" s="23">
        <v>35.067</v>
      </c>
      <c r="Q17" s="23">
        <v>20.977</v>
      </c>
      <c r="R17" s="22">
        <v>28.093</v>
      </c>
      <c r="S17" s="23">
        <v>78.179000000000002</v>
      </c>
      <c r="T17" s="23">
        <v>41.725000000000001</v>
      </c>
      <c r="U17" s="23">
        <v>105.286</v>
      </c>
      <c r="V17" s="22">
        <v>-36</v>
      </c>
      <c r="W17" s="23">
        <v>-100</v>
      </c>
      <c r="X17" s="23">
        <v>105</v>
      </c>
      <c r="Y17" s="23">
        <f>Y16*U25</f>
        <v>131.66978739942763</v>
      </c>
    </row>
    <row r="18" spans="1:25" s="8" customFormat="1" x14ac:dyDescent="0.15">
      <c r="A18" s="66" t="s">
        <v>68</v>
      </c>
      <c r="B18" s="23"/>
      <c r="C18" s="23"/>
      <c r="D18" s="23"/>
      <c r="E18" s="23"/>
      <c r="F18" s="22"/>
      <c r="G18" s="23"/>
      <c r="H18" s="23"/>
      <c r="I18" s="23"/>
      <c r="J18" s="22"/>
      <c r="K18" s="23"/>
      <c r="L18" s="23"/>
      <c r="M18" s="23"/>
      <c r="N18" s="22"/>
      <c r="O18" s="23"/>
      <c r="P18" s="23"/>
      <c r="Q18" s="23"/>
      <c r="R18" s="22"/>
      <c r="S18" s="23"/>
      <c r="T18" s="23"/>
      <c r="U18" s="23"/>
      <c r="V18" s="22"/>
      <c r="W18" s="23"/>
      <c r="X18" s="23"/>
      <c r="Y18" s="23">
        <f>-1053-Y17</f>
        <v>-1184.6697873994276</v>
      </c>
    </row>
    <row r="19" spans="1:25" s="17" customFormat="1" x14ac:dyDescent="0.15">
      <c r="A19" s="67" t="s">
        <v>15</v>
      </c>
      <c r="B19" s="24">
        <f>B16-B17</f>
        <v>84.888000000000105</v>
      </c>
      <c r="C19" s="24">
        <f>C16-C17</f>
        <v>147.49299999999997</v>
      </c>
      <c r="D19" s="24">
        <f>D16-D17</f>
        <v>174.46499999999989</v>
      </c>
      <c r="E19" s="24">
        <f>E16-E17</f>
        <v>222.7049999999997</v>
      </c>
      <c r="F19" s="25">
        <f>F16-F17</f>
        <v>254.3069999999999</v>
      </c>
      <c r="G19" s="24">
        <f t="shared" ref="G19:H19" si="26">G16-G17</f>
        <v>244.07400000000004</v>
      </c>
      <c r="H19" s="24">
        <f t="shared" si="26"/>
        <v>270.78800000000001</v>
      </c>
      <c r="I19" s="24">
        <f t="shared" ref="I19:O19" si="27">I16-I17</f>
        <v>399.61299999999989</v>
      </c>
      <c r="J19" s="25">
        <f t="shared" si="27"/>
        <v>398.44600000000003</v>
      </c>
      <c r="K19" s="24">
        <f t="shared" si="27"/>
        <v>374.38999999999987</v>
      </c>
      <c r="L19" s="24">
        <f t="shared" si="27"/>
        <v>419.56900000000024</v>
      </c>
      <c r="M19" s="24">
        <f t="shared" si="27"/>
        <v>501.54899999999998</v>
      </c>
      <c r="N19" s="25">
        <f t="shared" si="27"/>
        <v>583.07600000000014</v>
      </c>
      <c r="O19" s="24">
        <f t="shared" si="27"/>
        <v>663.16700000000003</v>
      </c>
      <c r="P19" s="24">
        <f t="shared" ref="P19:S19" si="28">P16-P17</f>
        <v>666.29100000000017</v>
      </c>
      <c r="Q19" s="24">
        <f t="shared" si="28"/>
        <v>678.24000000000012</v>
      </c>
      <c r="R19" s="25">
        <f t="shared" si="28"/>
        <v>674.24100000000044</v>
      </c>
      <c r="S19" s="24">
        <f t="shared" si="28"/>
        <v>632.59300000000053</v>
      </c>
      <c r="T19" s="24">
        <f t="shared" ref="T19:U19" si="29">T16-T17</f>
        <v>792.76299999999947</v>
      </c>
      <c r="U19" s="24">
        <f t="shared" si="29"/>
        <v>851.86100000000033</v>
      </c>
      <c r="V19" s="25">
        <f t="shared" ref="V19:Y19" si="30">V16-V17</f>
        <v>955</v>
      </c>
      <c r="W19" s="24">
        <f t="shared" si="30"/>
        <v>1100</v>
      </c>
      <c r="X19" s="24">
        <f t="shared" si="30"/>
        <v>955</v>
      </c>
      <c r="Y19" s="24">
        <f t="shared" si="30"/>
        <v>1065.3302126005724</v>
      </c>
    </row>
    <row r="20" spans="1:25" s="4" customFormat="1" x14ac:dyDescent="0.15">
      <c r="A20" s="68" t="s">
        <v>16</v>
      </c>
      <c r="B20" s="60">
        <f t="shared" ref="B20:H20" si="31">IFERROR(B19/B21,0)</f>
        <v>0.1672584261692999</v>
      </c>
      <c r="C20" s="60">
        <f t="shared" si="31"/>
        <v>0.29172913592651634</v>
      </c>
      <c r="D20" s="60">
        <f t="shared" si="31"/>
        <v>0.34492268820839461</v>
      </c>
      <c r="E20" s="60">
        <f>IFERROR(E19/E21,0)</f>
        <v>0.44011802091649943</v>
      </c>
      <c r="F20" s="61">
        <f t="shared" si="31"/>
        <v>0.50290502218812028</v>
      </c>
      <c r="G20" s="60">
        <f t="shared" si="31"/>
        <v>0.48357818614096792</v>
      </c>
      <c r="H20" s="60">
        <f t="shared" si="31"/>
        <v>0.53763086471472343</v>
      </c>
      <c r="I20" s="60">
        <f t="shared" ref="I20:L20" si="32">IFERROR(I19/I21,0)</f>
        <v>0.79735063131514661</v>
      </c>
      <c r="J20" s="61">
        <f t="shared" si="32"/>
        <v>0.79552211092498726</v>
      </c>
      <c r="K20" s="60">
        <f t="shared" si="32"/>
        <v>0.74825472518292135</v>
      </c>
      <c r="L20" s="60">
        <f t="shared" si="32"/>
        <v>0.83847057742037379</v>
      </c>
      <c r="M20" s="60">
        <f t="shared" ref="M20" si="33">IFERROR(M19/M21,0)</f>
        <v>1.002977642682878</v>
      </c>
      <c r="N20" s="61">
        <f t="shared" ref="N20:S20" si="34">IFERROR(N19/N21,0)</f>
        <v>1.1674759176906615</v>
      </c>
      <c r="O20" s="60">
        <f t="shared" si="34"/>
        <v>1.330987131010011</v>
      </c>
      <c r="P20" s="60">
        <f t="shared" si="34"/>
        <v>1.3409873084493609</v>
      </c>
      <c r="Q20" s="60">
        <f t="shared" si="34"/>
        <v>1.3696616234642198</v>
      </c>
      <c r="R20" s="61">
        <f t="shared" si="34"/>
        <v>1.3643411009575312</v>
      </c>
      <c r="S20" s="60">
        <f t="shared" si="34"/>
        <v>1.2852043428441415</v>
      </c>
      <c r="T20" s="60">
        <f t="shared" ref="T20:U20" si="35">IFERROR(T19/T21,0)</f>
        <v>1.6144504950696672</v>
      </c>
      <c r="U20" s="60">
        <f t="shared" si="35"/>
        <v>1.7425780043407917</v>
      </c>
      <c r="V20" s="61">
        <f t="shared" ref="V20:Y20" si="36">IFERROR(V19/V21,0)</f>
        <v>1.9569672131147542</v>
      </c>
      <c r="W20" s="60">
        <f t="shared" si="36"/>
        <v>2.268041237113402</v>
      </c>
      <c r="X20" s="60">
        <f t="shared" si="36"/>
        <v>1.9690721649484537</v>
      </c>
      <c r="Y20" s="60">
        <f t="shared" si="36"/>
        <v>2.2010954805796952</v>
      </c>
    </row>
    <row r="21" spans="1:25" s="8" customFormat="1" x14ac:dyDescent="0.15">
      <c r="A21" s="66" t="s">
        <v>17</v>
      </c>
      <c r="B21" s="23">
        <v>507.52600000000001</v>
      </c>
      <c r="C21" s="23">
        <v>505.58199999999999</v>
      </c>
      <c r="D21" s="23">
        <v>505.80900000000003</v>
      </c>
      <c r="E21" s="23">
        <v>506.012</v>
      </c>
      <c r="F21" s="22">
        <v>505.67599999999999</v>
      </c>
      <c r="G21" s="23">
        <v>504.72500000000002</v>
      </c>
      <c r="H21" s="23">
        <v>503.66899999999998</v>
      </c>
      <c r="I21" s="23">
        <v>501.17599999999999</v>
      </c>
      <c r="J21" s="22">
        <v>500.86099999999999</v>
      </c>
      <c r="K21" s="23">
        <v>500.351</v>
      </c>
      <c r="L21" s="23">
        <v>500.39800000000002</v>
      </c>
      <c r="M21" s="23">
        <v>500.06</v>
      </c>
      <c r="N21" s="22">
        <v>499.43299999999999</v>
      </c>
      <c r="O21" s="23">
        <v>498.25200000000001</v>
      </c>
      <c r="P21" s="23">
        <v>496.86599999999999</v>
      </c>
      <c r="Q21" s="23">
        <v>495.18799999999999</v>
      </c>
      <c r="R21" s="22">
        <v>494.18799999999999</v>
      </c>
      <c r="S21" s="23">
        <v>492.21199999999999</v>
      </c>
      <c r="T21" s="51">
        <v>491.04199999999997</v>
      </c>
      <c r="U21" s="51">
        <v>488.851</v>
      </c>
      <c r="V21" s="22">
        <v>488</v>
      </c>
      <c r="W21" s="51">
        <v>485</v>
      </c>
      <c r="X21" s="51">
        <v>485</v>
      </c>
      <c r="Y21" s="51">
        <v>484</v>
      </c>
    </row>
    <row r="22" spans="1:25" s="42" customFormat="1" x14ac:dyDescent="0.15">
      <c r="A22" s="69"/>
      <c r="B22" s="40"/>
      <c r="C22" s="40"/>
      <c r="D22" s="40"/>
      <c r="E22" s="40"/>
      <c r="F22" s="41"/>
      <c r="G22" s="40"/>
      <c r="H22" s="40"/>
      <c r="I22" s="40"/>
      <c r="J22" s="41"/>
      <c r="K22" s="40"/>
      <c r="L22" s="40"/>
      <c r="M22" s="40"/>
      <c r="N22" s="57"/>
      <c r="Q22" s="40"/>
      <c r="R22" s="57"/>
      <c r="V22" s="57"/>
    </row>
    <row r="23" spans="1:25" x14ac:dyDescent="0.15">
      <c r="A23" s="70" t="s">
        <v>19</v>
      </c>
      <c r="B23" s="34">
        <f t="shared" ref="B23:Q23" si="37">IFERROR(B9/B7,0)</f>
        <v>0.84962057590240003</v>
      </c>
      <c r="C23" s="34">
        <f t="shared" si="37"/>
        <v>0.8406645223799174</v>
      </c>
      <c r="D23" s="34">
        <f t="shared" si="37"/>
        <v>0.84316799258972142</v>
      </c>
      <c r="E23" s="34">
        <f t="shared" si="37"/>
        <v>0.84586620984014127</v>
      </c>
      <c r="F23" s="35">
        <f t="shared" si="37"/>
        <v>0.85645414885042304</v>
      </c>
      <c r="G23" s="34">
        <f t="shared" si="37"/>
        <v>0.85552463021257463</v>
      </c>
      <c r="H23" s="34">
        <f t="shared" si="37"/>
        <v>0.86153991176030609</v>
      </c>
      <c r="I23" s="34">
        <f t="shared" si="37"/>
        <v>0.86536095383106015</v>
      </c>
      <c r="J23" s="35">
        <f t="shared" si="37"/>
        <v>0.8588662536586178</v>
      </c>
      <c r="K23" s="34">
        <f t="shared" si="37"/>
        <v>0.86493547531585202</v>
      </c>
      <c r="L23" s="34">
        <f t="shared" si="37"/>
        <v>0.85719096570805953</v>
      </c>
      <c r="M23" s="34">
        <f t="shared" si="37"/>
        <v>0.86500913238595722</v>
      </c>
      <c r="N23" s="35">
        <f t="shared" si="37"/>
        <v>0.87546483868997138</v>
      </c>
      <c r="O23" s="34">
        <f t="shared" si="37"/>
        <v>0.87184607535893888</v>
      </c>
      <c r="P23" s="34">
        <f t="shared" si="37"/>
        <v>0.87102479359043528</v>
      </c>
      <c r="Q23" s="34">
        <f t="shared" si="37"/>
        <v>0.85423299690622312</v>
      </c>
      <c r="R23" s="35">
        <f t="shared" ref="R23:S23" si="38">IFERROR(R9/R7,0)</f>
        <v>0.8472532686184181</v>
      </c>
      <c r="S23" s="34">
        <f t="shared" si="38"/>
        <v>0.85151369393793641</v>
      </c>
      <c r="T23" s="34">
        <f t="shared" ref="T23:V23" si="39">IFERROR(T9/T7,0)</f>
        <v>0.85323059031249837</v>
      </c>
      <c r="U23" s="34">
        <f t="shared" ref="U23" si="40">IFERROR(U9/U7,0)</f>
        <v>0.8489333356506672</v>
      </c>
      <c r="V23" s="35">
        <f t="shared" si="39"/>
        <v>0.85376900679391787</v>
      </c>
      <c r="W23" s="34">
        <f t="shared" ref="W23:X23" si="41">IFERROR(W9/W7,0)</f>
        <v>0.86732736572890023</v>
      </c>
      <c r="X23" s="34">
        <f t="shared" si="41"/>
        <v>0.86759689922480621</v>
      </c>
      <c r="Y23" s="34">
        <f t="shared" ref="Y23" si="42">IFERROR(Y9/Y7,0)</f>
        <v>0.875</v>
      </c>
    </row>
    <row r="24" spans="1:25" x14ac:dyDescent="0.15">
      <c r="A24" s="70" t="s">
        <v>20</v>
      </c>
      <c r="B24" s="36">
        <f t="shared" ref="B24:Q24" si="43">IFERROR(B14/B7,0)</f>
        <v>0.15599347626762455</v>
      </c>
      <c r="C24" s="36">
        <f t="shared" si="43"/>
        <v>0.16660127108362199</v>
      </c>
      <c r="D24" s="36">
        <f t="shared" si="43"/>
        <v>0.2020245235545686</v>
      </c>
      <c r="E24" s="36">
        <f t="shared" si="43"/>
        <v>0.22231560834167668</v>
      </c>
      <c r="F24" s="37">
        <f t="shared" si="43"/>
        <v>0.22247539460795823</v>
      </c>
      <c r="G24" s="36">
        <f t="shared" si="43"/>
        <v>0.24611195037709774</v>
      </c>
      <c r="H24" s="36">
        <f t="shared" si="43"/>
        <v>0.25227686143198585</v>
      </c>
      <c r="I24" s="36">
        <f t="shared" si="43"/>
        <v>0.29362995587592527</v>
      </c>
      <c r="J24" s="37">
        <f t="shared" si="43"/>
        <v>0.27889282286521661</v>
      </c>
      <c r="K24" s="36">
        <f t="shared" si="43"/>
        <v>0.2844401559652181</v>
      </c>
      <c r="L24" s="36">
        <f t="shared" si="43"/>
        <v>0.29638895557701656</v>
      </c>
      <c r="M24" s="36">
        <f t="shared" si="43"/>
        <v>0.32360291937336627</v>
      </c>
      <c r="N24" s="37">
        <f t="shared" si="43"/>
        <v>0.33802352825733417</v>
      </c>
      <c r="O24" s="36">
        <f t="shared" si="43"/>
        <v>0.31816376357408349</v>
      </c>
      <c r="P24" s="36">
        <f t="shared" si="43"/>
        <v>0.31365437026096044</v>
      </c>
      <c r="Q24" s="36">
        <f t="shared" si="43"/>
        <v>0.29235522645432876</v>
      </c>
      <c r="R24" s="37">
        <f t="shared" ref="R24:S24" si="44">IFERROR(R14/R7,0)</f>
        <v>0.26714510797225327</v>
      </c>
      <c r="S24" s="36">
        <f t="shared" si="44"/>
        <v>0.27313065722156649</v>
      </c>
      <c r="T24" s="36">
        <f t="shared" ref="T24:V24" si="45">IFERROR(T14/T7,0)</f>
        <v>0.301261129533408</v>
      </c>
      <c r="U24" s="36">
        <f t="shared" ref="U24" si="46">IFERROR(U14/U7,0)</f>
        <v>0.32418086702157534</v>
      </c>
      <c r="V24" s="37">
        <f t="shared" si="45"/>
        <v>0.30313814299579422</v>
      </c>
      <c r="W24" s="36">
        <f t="shared" ref="W24:X24" si="47">IFERROR(W14/W7,0)</f>
        <v>0.32480818414322249</v>
      </c>
      <c r="X24" s="36">
        <f t="shared" si="47"/>
        <v>0.33147286821705424</v>
      </c>
      <c r="Y24" s="36">
        <f t="shared" ref="Y24" si="48">IFERROR(Y14/Y7,0)</f>
        <v>0.35484813084112149</v>
      </c>
    </row>
    <row r="25" spans="1:25" x14ac:dyDescent="0.15">
      <c r="A25" s="70" t="s">
        <v>21</v>
      </c>
      <c r="B25" s="36">
        <f t="shared" ref="B25:Q25" si="49">IFERROR(B17/B16,0)</f>
        <v>0.48000588062334576</v>
      </c>
      <c r="C25" s="36">
        <f t="shared" si="49"/>
        <v>0.18500447578105148</v>
      </c>
      <c r="D25" s="36">
        <f t="shared" si="49"/>
        <v>0.24999677584376181</v>
      </c>
      <c r="E25" s="36">
        <f t="shared" si="49"/>
        <v>0.25000000000000022</v>
      </c>
      <c r="F25" s="37">
        <f t="shared" si="49"/>
        <v>0.1300003078954661</v>
      </c>
      <c r="G25" s="36">
        <f t="shared" si="49"/>
        <v>0.26000060637298</v>
      </c>
      <c r="H25" s="36">
        <f t="shared" si="49"/>
        <v>0.24000213302797352</v>
      </c>
      <c r="I25" s="36">
        <f t="shared" si="49"/>
        <v>0.12499890518940228</v>
      </c>
      <c r="J25" s="37">
        <f t="shared" si="49"/>
        <v>0.13500147623265427</v>
      </c>
      <c r="K25" s="36">
        <f t="shared" si="49"/>
        <v>0.23999935040944509</v>
      </c>
      <c r="L25" s="36">
        <f t="shared" si="49"/>
        <v>0.22499949203792527</v>
      </c>
      <c r="M25" s="36">
        <f t="shared" si="49"/>
        <v>0.22000055986513473</v>
      </c>
      <c r="N25" s="37">
        <f t="shared" si="49"/>
        <v>0.17000093949910458</v>
      </c>
      <c r="O25" s="36">
        <f t="shared" si="49"/>
        <v>4.0000057903963382E-2</v>
      </c>
      <c r="P25" s="36">
        <f t="shared" si="49"/>
        <v>4.999871677517044E-2</v>
      </c>
      <c r="Q25" s="36">
        <f t="shared" si="49"/>
        <v>3.0000700783876819E-2</v>
      </c>
      <c r="R25" s="37">
        <f t="shared" ref="R25:S25" si="50">IFERROR(R17/R16,0)</f>
        <v>3.9999487423362651E-2</v>
      </c>
      <c r="S25" s="36">
        <f t="shared" si="50"/>
        <v>0.10999167102812146</v>
      </c>
      <c r="T25" s="36">
        <f t="shared" ref="T25:V25" si="51">IFERROR(T17/T16,0)</f>
        <v>5.0000719003748438E-2</v>
      </c>
      <c r="U25" s="36">
        <f t="shared" ref="U25" si="52">IFERROR(U17/U16,0)</f>
        <v>0.10999982238882844</v>
      </c>
      <c r="V25" s="37">
        <f t="shared" si="51"/>
        <v>-3.9173014145810661E-2</v>
      </c>
      <c r="W25" s="36">
        <f t="shared" ref="W25:X25" si="53">IFERROR(W17/W16,0)</f>
        <v>-0.1</v>
      </c>
      <c r="X25" s="36">
        <f t="shared" si="53"/>
        <v>9.9056603773584911E-2</v>
      </c>
      <c r="Y25" s="36">
        <f t="shared" ref="Y25" si="54">IFERROR(Y17/Y16,0)</f>
        <v>0.10999982238882844</v>
      </c>
    </row>
    <row r="26" spans="1:25" s="42" customFormat="1" x14ac:dyDescent="0.15">
      <c r="A26" s="69"/>
      <c r="B26" s="40"/>
      <c r="C26" s="40"/>
      <c r="D26" s="40"/>
      <c r="E26" s="40"/>
      <c r="F26" s="41"/>
      <c r="G26" s="40"/>
      <c r="H26" s="40"/>
      <c r="I26" s="40"/>
      <c r="J26" s="41"/>
      <c r="K26" s="40"/>
      <c r="L26" s="40"/>
      <c r="M26" s="40"/>
      <c r="N26" s="57"/>
      <c r="Q26" s="40"/>
      <c r="R26" s="57"/>
      <c r="V26" s="57"/>
    </row>
    <row r="27" spans="1:25" s="12" customFormat="1" x14ac:dyDescent="0.15">
      <c r="A27" s="71" t="s">
        <v>18</v>
      </c>
      <c r="B27" s="30"/>
      <c r="C27" s="30"/>
      <c r="D27" s="30"/>
      <c r="E27" s="30"/>
      <c r="F27" s="31">
        <f t="shared" ref="F27:Y27" si="55">IFERROR((F7/B7)-1,0)</f>
        <v>0.24716795545542158</v>
      </c>
      <c r="G27" s="30">
        <f t="shared" si="55"/>
        <v>0.20354461269465962</v>
      </c>
      <c r="H27" s="30">
        <f t="shared" si="55"/>
        <v>0.20217233496035369</v>
      </c>
      <c r="I27" s="30">
        <f t="shared" si="55"/>
        <v>0.23118040054990652</v>
      </c>
      <c r="J27" s="31">
        <f t="shared" si="55"/>
        <v>0.21564624620934181</v>
      </c>
      <c r="K27" s="30">
        <f t="shared" si="55"/>
        <v>0.26701837194155464</v>
      </c>
      <c r="L27" s="30">
        <f t="shared" si="55"/>
        <v>0.2575925550234397</v>
      </c>
      <c r="M27" s="30">
        <f t="shared" si="55"/>
        <v>0.24755738399011706</v>
      </c>
      <c r="N27" s="31">
        <f t="shared" si="55"/>
        <v>0.2362572146575439</v>
      </c>
      <c r="O27" s="30">
        <f t="shared" si="55"/>
        <v>0.23878365186577066</v>
      </c>
      <c r="P27" s="30">
        <f t="shared" si="55"/>
        <v>0.24442363533459277</v>
      </c>
      <c r="Q27" s="30">
        <f t="shared" si="55"/>
        <v>0.22826230504910061</v>
      </c>
      <c r="R27" s="31">
        <f t="shared" si="55"/>
        <v>0.25108817107891657</v>
      </c>
      <c r="S27" s="30">
        <f t="shared" si="55"/>
        <v>0.25003644049267537</v>
      </c>
      <c r="T27" s="30">
        <f t="shared" si="55"/>
        <v>0.23702836571113295</v>
      </c>
      <c r="U27" s="30">
        <f t="shared" si="55"/>
        <v>0.21395506415783361</v>
      </c>
      <c r="V27" s="31">
        <f t="shared" ref="V27" si="56">IFERROR((V7/R7)-1,0)</f>
        <v>0.18841375407255656</v>
      </c>
      <c r="W27" s="30">
        <f t="shared" si="55"/>
        <v>0.13982538224962449</v>
      </c>
      <c r="X27" s="30">
        <f t="shared" si="55"/>
        <v>0.13791694511817765</v>
      </c>
      <c r="Y27" s="30">
        <f t="shared" si="55"/>
        <v>0.14440644610995368</v>
      </c>
    </row>
    <row r="28" spans="1:25" s="12" customFormat="1" x14ac:dyDescent="0.15">
      <c r="A28" s="70" t="s">
        <v>42</v>
      </c>
      <c r="B28" s="32"/>
      <c r="C28" s="32"/>
      <c r="D28" s="32"/>
      <c r="E28" s="32"/>
      <c r="F28" s="33">
        <f t="shared" ref="F28:Y31" si="57">F10/B10-1</f>
        <v>0.10066864956915955</v>
      </c>
      <c r="G28" s="32">
        <f t="shared" si="57"/>
        <v>0.11745903569866423</v>
      </c>
      <c r="H28" s="32">
        <f t="shared" si="57"/>
        <v>0.13623890972285735</v>
      </c>
      <c r="I28" s="32">
        <f t="shared" si="57"/>
        <v>0.16930897811476808</v>
      </c>
      <c r="J28" s="33">
        <f t="shared" si="57"/>
        <v>0.20182206033625061</v>
      </c>
      <c r="K28" s="32">
        <f t="shared" si="57"/>
        <v>0.28783486175392725</v>
      </c>
      <c r="L28" s="32">
        <f t="shared" si="57"/>
        <v>0.27009458643590278</v>
      </c>
      <c r="M28" s="32">
        <f t="shared" si="57"/>
        <v>0.25665021000663191</v>
      </c>
      <c r="N28" s="33">
        <f t="shared" si="57"/>
        <v>0.22342033906628744</v>
      </c>
      <c r="O28" s="32">
        <f t="shared" si="57"/>
        <v>0.24958834472830738</v>
      </c>
      <c r="P28" s="32">
        <f t="shared" si="57"/>
        <v>0.26430257799749635</v>
      </c>
      <c r="Q28" s="32">
        <f t="shared" si="57"/>
        <v>0.28371797324906023</v>
      </c>
      <c r="R28" s="33">
        <f t="shared" si="57"/>
        <v>0.33221989339648883</v>
      </c>
      <c r="S28" s="32">
        <f t="shared" si="57"/>
        <v>0.27217957490484546</v>
      </c>
      <c r="T28" s="32">
        <f t="shared" si="57"/>
        <v>0.22776890742611355</v>
      </c>
      <c r="U28" s="32">
        <f t="shared" si="57"/>
        <v>0.20157804393712819</v>
      </c>
      <c r="V28" s="33">
        <f t="shared" ref="V28:V30" si="58">V10/R10-1</f>
        <v>0.14497984448074508</v>
      </c>
      <c r="W28" s="32">
        <f t="shared" si="57"/>
        <v>0.11774568344265668</v>
      </c>
      <c r="X28" s="32">
        <f t="shared" si="57"/>
        <v>0.15551000659416481</v>
      </c>
      <c r="Y28" s="32">
        <f t="shared" si="57"/>
        <v>0.11643317607231607</v>
      </c>
    </row>
    <row r="29" spans="1:25" s="12" customFormat="1" x14ac:dyDescent="0.15">
      <c r="A29" s="70" t="s">
        <v>43</v>
      </c>
      <c r="B29" s="32"/>
      <c r="C29" s="32"/>
      <c r="D29" s="32"/>
      <c r="E29" s="32"/>
      <c r="F29" s="33">
        <f t="shared" si="57"/>
        <v>0.20917092944204962</v>
      </c>
      <c r="G29" s="32">
        <f t="shared" si="57"/>
        <v>8.3820064730982358E-2</v>
      </c>
      <c r="H29" s="32">
        <f t="shared" si="57"/>
        <v>0.13137423554193894</v>
      </c>
      <c r="I29" s="32">
        <f t="shared" si="57"/>
        <v>0.12134404899970996</v>
      </c>
      <c r="J29" s="33">
        <f t="shared" si="57"/>
        <v>9.5613519734002228E-2</v>
      </c>
      <c r="K29" s="32">
        <f t="shared" si="57"/>
        <v>0.19514076609426745</v>
      </c>
      <c r="L29" s="32">
        <f t="shared" si="57"/>
        <v>0.15208754385046319</v>
      </c>
      <c r="M29" s="32">
        <f t="shared" si="57"/>
        <v>0.15970766116814339</v>
      </c>
      <c r="N29" s="33">
        <f t="shared" si="57"/>
        <v>0.11658725689365879</v>
      </c>
      <c r="O29" s="32">
        <f t="shared" si="57"/>
        <v>0.16835533666728164</v>
      </c>
      <c r="P29" s="32">
        <f t="shared" si="57"/>
        <v>0.21812857098708771</v>
      </c>
      <c r="Q29" s="32">
        <f t="shared" si="57"/>
        <v>0.2603517829522175</v>
      </c>
      <c r="R29" s="33">
        <f t="shared" si="57"/>
        <v>0.34522520599631301</v>
      </c>
      <c r="S29" s="32">
        <f t="shared" si="57"/>
        <v>0.31369126374349099</v>
      </c>
      <c r="T29" s="32">
        <f t="shared" si="57"/>
        <v>0.21225697076784411</v>
      </c>
      <c r="U29" s="32">
        <f t="shared" si="57"/>
        <v>0.10781911431189384</v>
      </c>
      <c r="V29" s="33">
        <f t="shared" si="58"/>
        <v>9.6583827883682805E-2</v>
      </c>
      <c r="W29" s="32">
        <f t="shared" si="57"/>
        <v>6.1339785399686875E-2</v>
      </c>
      <c r="X29" s="32">
        <f t="shared" si="57"/>
        <v>9.8097533712332874E-2</v>
      </c>
      <c r="Y29" s="32">
        <f t="shared" si="57"/>
        <v>0.17391976925802277</v>
      </c>
    </row>
    <row r="30" spans="1:25" s="12" customFormat="1" x14ac:dyDescent="0.15">
      <c r="A30" s="70" t="s">
        <v>44</v>
      </c>
      <c r="B30" s="32"/>
      <c r="C30" s="32"/>
      <c r="D30" s="32"/>
      <c r="E30" s="32"/>
      <c r="F30" s="33">
        <f t="shared" si="57"/>
        <v>2.3599076395958152E-2</v>
      </c>
      <c r="G30" s="32">
        <f t="shared" si="57"/>
        <v>5.9296265582546415E-2</v>
      </c>
      <c r="H30" s="32">
        <f t="shared" si="57"/>
        <v>0.18521056877485309</v>
      </c>
      <c r="I30" s="32">
        <f t="shared" si="57"/>
        <v>9.218138812629828E-2</v>
      </c>
      <c r="J30" s="33">
        <f t="shared" si="57"/>
        <v>3.0477230004244626E-2</v>
      </c>
      <c r="K30" s="32">
        <f t="shared" si="57"/>
        <v>0.12176198780534375</v>
      </c>
      <c r="L30" s="32">
        <f t="shared" si="57"/>
        <v>4.9031418658440629E-3</v>
      </c>
      <c r="M30" s="32">
        <f t="shared" si="57"/>
        <v>0.12934633935641782</v>
      </c>
      <c r="N30" s="33">
        <f t="shared" si="57"/>
        <v>0.10386263063741663</v>
      </c>
      <c r="O30" s="32">
        <f t="shared" si="57"/>
        <v>0.10746160261902205</v>
      </c>
      <c r="P30" s="32">
        <f t="shared" si="57"/>
        <v>0.24640052748306651</v>
      </c>
      <c r="Q30" s="32">
        <f t="shared" si="57"/>
        <v>0.30296462738973595</v>
      </c>
      <c r="R30" s="33">
        <f t="shared" si="57"/>
        <v>0.40029106649749968</v>
      </c>
      <c r="S30" s="32">
        <f t="shared" si="57"/>
        <v>0.34413312225586501</v>
      </c>
      <c r="T30" s="32">
        <f t="shared" si="57"/>
        <v>0.26100693960189858</v>
      </c>
      <c r="U30" s="32">
        <f t="shared" si="57"/>
        <v>9.5190531907520581E-2</v>
      </c>
      <c r="V30" s="33">
        <f t="shared" si="58"/>
        <v>0.19158656134005891</v>
      </c>
      <c r="W30" s="32">
        <f t="shared" si="57"/>
        <v>6.2509528891598887E-3</v>
      </c>
      <c r="X30" s="32">
        <f t="shared" si="57"/>
        <v>3.3522748941688052E-2</v>
      </c>
      <c r="Y30" s="32">
        <f t="shared" si="57"/>
        <v>4.9747613871558682E-2</v>
      </c>
    </row>
    <row r="31" spans="1:25" x14ac:dyDescent="0.15">
      <c r="A31" s="70" t="s">
        <v>82</v>
      </c>
      <c r="J31" s="35">
        <f t="shared" ref="J31:P31" si="59">J13/F13-1</f>
        <v>0.11209172125586497</v>
      </c>
      <c r="K31" s="34">
        <f t="shared" si="59"/>
        <v>0.20689683490323096</v>
      </c>
      <c r="L31" s="34">
        <f t="shared" si="59"/>
        <v>0.15756311235832832</v>
      </c>
      <c r="M31" s="34">
        <f t="shared" si="59"/>
        <v>0.18138656325747649</v>
      </c>
      <c r="N31" s="35">
        <f t="shared" si="59"/>
        <v>0.14559678461207204</v>
      </c>
      <c r="O31" s="34">
        <f t="shared" si="59"/>
        <v>0.18156438700245348</v>
      </c>
      <c r="P31" s="34">
        <f t="shared" si="59"/>
        <v>0.23680891989950403</v>
      </c>
      <c r="Q31" s="34">
        <f>Q13/M13-1</f>
        <v>0.27470514542293079</v>
      </c>
      <c r="R31" s="35">
        <f>R13/N13-1</f>
        <v>0.35041062836521952</v>
      </c>
      <c r="S31" s="34">
        <f t="shared" si="57"/>
        <v>0.30580272670731801</v>
      </c>
      <c r="T31" s="34">
        <f t="shared" si="57"/>
        <v>0.22504146508397183</v>
      </c>
      <c r="U31" s="34">
        <f t="shared" si="57"/>
        <v>0.13374465092163734</v>
      </c>
      <c r="V31" s="35">
        <f>V13/R13-1</f>
        <v>0.12802635154391151</v>
      </c>
      <c r="W31" s="34">
        <f t="shared" si="57"/>
        <v>6.9148115130304388E-2</v>
      </c>
      <c r="X31" s="34">
        <f t="shared" si="57"/>
        <v>0.10525067583937364</v>
      </c>
      <c r="Y31" s="34">
        <f t="shared" si="57"/>
        <v>0.13437322853703426</v>
      </c>
    </row>
    <row r="32" spans="1:25" x14ac:dyDescent="0.15">
      <c r="J32" s="46"/>
      <c r="K32" s="45"/>
      <c r="L32" s="45"/>
      <c r="M32" s="45"/>
      <c r="N32" s="46"/>
      <c r="O32" s="45"/>
      <c r="P32" s="45"/>
      <c r="Q32" s="45"/>
      <c r="S32" s="45"/>
    </row>
    <row r="33" spans="1:25" s="17" customFormat="1" x14ac:dyDescent="0.15">
      <c r="A33" s="67" t="s">
        <v>26</v>
      </c>
      <c r="B33" s="23"/>
      <c r="C33" s="23"/>
      <c r="D33" s="23"/>
      <c r="E33" s="24">
        <f>E34-E35</f>
        <v>2080.8530000000001</v>
      </c>
      <c r="F33" s="22"/>
      <c r="G33" s="23"/>
      <c r="H33" s="23"/>
      <c r="I33" s="24">
        <f t="shared" ref="I33" si="60">I34-I35</f>
        <v>2859.232</v>
      </c>
      <c r="J33" s="22"/>
      <c r="K33" s="23"/>
      <c r="L33" s="23"/>
      <c r="M33" s="24">
        <f t="shared" ref="M33:P33" si="61">M34-M35</f>
        <v>3938.3530000000001</v>
      </c>
      <c r="N33" s="25">
        <f t="shared" si="61"/>
        <v>4273.1760000000004</v>
      </c>
      <c r="O33" s="24">
        <f t="shared" si="61"/>
        <v>4460.0070000000005</v>
      </c>
      <c r="P33" s="24">
        <f t="shared" si="61"/>
        <v>3069.8160000000003</v>
      </c>
      <c r="Q33" s="24">
        <f t="shared" ref="Q33:S33" si="62">Q34-Q35</f>
        <v>-895.83800000000019</v>
      </c>
      <c r="R33" s="25">
        <f t="shared" si="62"/>
        <v>-903.33000000000038</v>
      </c>
      <c r="S33" s="24">
        <f t="shared" si="62"/>
        <v>-654.62699999999995</v>
      </c>
      <c r="T33" s="24">
        <f t="shared" ref="T33" si="63">T34-T35</f>
        <v>-486.22799999999961</v>
      </c>
      <c r="U33" s="24">
        <f t="shared" ref="U33" si="64">U34-U35</f>
        <v>38.709000000000742</v>
      </c>
      <c r="V33" s="25">
        <f t="shared" ref="V33:Y33" si="65">V34-V35</f>
        <v>58</v>
      </c>
      <c r="W33" s="24">
        <f t="shared" si="65"/>
        <v>237</v>
      </c>
      <c r="X33" s="24">
        <f t="shared" si="65"/>
        <v>1148</v>
      </c>
      <c r="Y33" s="24">
        <f t="shared" si="65"/>
        <v>1875</v>
      </c>
    </row>
    <row r="34" spans="1:25" s="8" customFormat="1" x14ac:dyDescent="0.15">
      <c r="A34" s="66" t="s">
        <v>27</v>
      </c>
      <c r="B34" s="23"/>
      <c r="C34" s="23"/>
      <c r="D34" s="23"/>
      <c r="E34" s="23">
        <f>876.56+3111.524</f>
        <v>3988.0839999999998</v>
      </c>
      <c r="F34" s="22"/>
      <c r="G34" s="23"/>
      <c r="H34" s="23"/>
      <c r="I34" s="23">
        <f>1011.315+3749.985</f>
        <v>4761.3</v>
      </c>
      <c r="J34" s="22"/>
      <c r="K34" s="23"/>
      <c r="L34" s="23"/>
      <c r="M34" s="23">
        <f>2306.072+3513.702</f>
        <v>5819.7740000000003</v>
      </c>
      <c r="N34" s="22">
        <f>2666.981+3480.989</f>
        <v>6147.97</v>
      </c>
      <c r="O34" s="23">
        <f>2987.986+3346.078</f>
        <v>6334.0640000000003</v>
      </c>
      <c r="P34" s="23">
        <f>1747.144+3197.326</f>
        <v>4944.47</v>
      </c>
      <c r="Q34" s="23">
        <f>1642.775+1586.187</f>
        <v>3228.962</v>
      </c>
      <c r="R34" s="22">
        <f>1738.846+1487.411</f>
        <v>3226.2570000000001</v>
      </c>
      <c r="S34" s="23">
        <f>2082.91+1396.069</f>
        <v>3478.9789999999998</v>
      </c>
      <c r="T34" s="23">
        <f>2209.047+1441.741</f>
        <v>3650.788</v>
      </c>
      <c r="U34" s="23">
        <f>2650.221+1526.755</f>
        <v>4176.9760000000006</v>
      </c>
      <c r="V34" s="22">
        <f>2688+1483</f>
        <v>4171</v>
      </c>
      <c r="W34" s="23">
        <f>3044+1307</f>
        <v>4351</v>
      </c>
      <c r="X34" s="23">
        <f>3767+1497</f>
        <v>5264</v>
      </c>
      <c r="Y34" s="23">
        <f>4478+1514</f>
        <v>5992</v>
      </c>
    </row>
    <row r="35" spans="1:25" s="8" customFormat="1" x14ac:dyDescent="0.15">
      <c r="A35" s="66" t="s">
        <v>28</v>
      </c>
      <c r="B35" s="23"/>
      <c r="C35" s="23"/>
      <c r="D35" s="23"/>
      <c r="E35" s="23">
        <v>1907.231</v>
      </c>
      <c r="F35" s="22"/>
      <c r="G35" s="23"/>
      <c r="H35" s="23"/>
      <c r="I35" s="23">
        <v>1902.068</v>
      </c>
      <c r="J35" s="22"/>
      <c r="K35" s="23"/>
      <c r="L35" s="23"/>
      <c r="M35" s="23">
        <v>1881.421</v>
      </c>
      <c r="N35" s="22">
        <v>1874.7940000000001</v>
      </c>
      <c r="O35" s="23">
        <v>1874.057</v>
      </c>
      <c r="P35" s="23">
        <v>1874.654</v>
      </c>
      <c r="Q35" s="23">
        <v>4124.8</v>
      </c>
      <c r="R35" s="22">
        <f>892.754+3236.833</f>
        <v>4129.5870000000004</v>
      </c>
      <c r="S35" s="23">
        <f>3145.668+987.938</f>
        <v>4133.6059999999998</v>
      </c>
      <c r="T35" s="23">
        <f>3148.587+988.429</f>
        <v>4137.0159999999996</v>
      </c>
      <c r="U35" s="23">
        <f>3149.343+988.924</f>
        <v>4138.2669999999998</v>
      </c>
      <c r="V35" s="22">
        <v>4113</v>
      </c>
      <c r="W35" s="23">
        <v>4114</v>
      </c>
      <c r="X35" s="23">
        <v>4116</v>
      </c>
      <c r="Y35" s="23">
        <v>4117</v>
      </c>
    </row>
    <row r="36" spans="1:25" s="8" customFormat="1" x14ac:dyDescent="0.15">
      <c r="A36" s="66"/>
      <c r="B36" s="23"/>
      <c r="C36" s="23"/>
      <c r="D36" s="23"/>
      <c r="E36" s="23"/>
      <c r="F36" s="22"/>
      <c r="G36" s="23"/>
      <c r="H36" s="23"/>
      <c r="I36" s="23"/>
      <c r="J36" s="22"/>
      <c r="K36" s="23"/>
      <c r="L36" s="23"/>
      <c r="M36" s="23"/>
      <c r="N36" s="22"/>
      <c r="O36" s="23"/>
      <c r="P36" s="23"/>
      <c r="Q36" s="23"/>
      <c r="R36" s="22"/>
      <c r="S36" s="23"/>
      <c r="T36" s="23"/>
      <c r="U36" s="23"/>
      <c r="V36" s="22"/>
      <c r="W36" s="23"/>
      <c r="X36" s="23"/>
      <c r="Y36" s="23"/>
    </row>
    <row r="37" spans="1:25" s="8" customFormat="1" x14ac:dyDescent="0.15">
      <c r="A37" s="72" t="s">
        <v>56</v>
      </c>
      <c r="B37" s="23"/>
      <c r="C37" s="23"/>
      <c r="D37" s="23"/>
      <c r="E37" s="38">
        <f>5366.881+510.007</f>
        <v>5876.8879999999999</v>
      </c>
      <c r="F37" s="22"/>
      <c r="G37" s="23"/>
      <c r="H37" s="23"/>
      <c r="I37" s="38">
        <f>5406.474+414.405</f>
        <v>5820.8789999999999</v>
      </c>
      <c r="J37" s="22"/>
      <c r="K37" s="23"/>
      <c r="L37" s="23"/>
      <c r="M37" s="38">
        <f>5821.561+385.658</f>
        <v>6207.2190000000001</v>
      </c>
      <c r="N37" s="22">
        <f>5843.899+353.74</f>
        <v>6197.6390000000001</v>
      </c>
      <c r="O37" s="23">
        <f>5823.792+320.478</f>
        <v>6144.27</v>
      </c>
      <c r="P37" s="23">
        <f>7136.853+669.476</f>
        <v>7806.3289999999997</v>
      </c>
      <c r="Q37" s="23">
        <f>10581.048+2069.001</f>
        <v>12650.049000000001</v>
      </c>
      <c r="R37" s="22">
        <f>10707.715+2017.103</f>
        <v>12724.817999999999</v>
      </c>
      <c r="S37" s="23">
        <f>10697.874+1917.149</f>
        <v>12615.022999999999</v>
      </c>
      <c r="T37" s="23">
        <f>10688.068+1815.625</f>
        <v>12503.692999999999</v>
      </c>
      <c r="U37" s="23">
        <f>10691.199+1720.565</f>
        <v>12411.764000000001</v>
      </c>
      <c r="V37" s="22">
        <f>10691+1626</f>
        <v>12317</v>
      </c>
      <c r="W37" s="23">
        <f>10695+1535</f>
        <v>12230</v>
      </c>
      <c r="X37" s="23">
        <f>10739+1445</f>
        <v>12184</v>
      </c>
      <c r="Y37" s="23">
        <f>10742+1359</f>
        <v>12101</v>
      </c>
    </row>
    <row r="38" spans="1:25" s="8" customFormat="1" x14ac:dyDescent="0.15">
      <c r="A38" s="72" t="s">
        <v>57</v>
      </c>
      <c r="B38" s="23"/>
      <c r="C38" s="23"/>
      <c r="D38" s="23"/>
      <c r="E38" s="38">
        <v>11726.472</v>
      </c>
      <c r="F38" s="22"/>
      <c r="G38" s="23"/>
      <c r="H38" s="23"/>
      <c r="I38" s="38">
        <v>12707.114</v>
      </c>
      <c r="J38" s="22"/>
      <c r="K38" s="23"/>
      <c r="L38" s="23"/>
      <c r="M38" s="38">
        <v>14535.556</v>
      </c>
      <c r="N38" s="22">
        <v>14973.485000000001</v>
      </c>
      <c r="O38" s="23">
        <v>15163.404</v>
      </c>
      <c r="P38" s="23">
        <v>15395.62</v>
      </c>
      <c r="Q38" s="23">
        <v>18768.682000000001</v>
      </c>
      <c r="R38" s="22">
        <v>19505.536</v>
      </c>
      <c r="S38" s="23">
        <v>19665.909</v>
      </c>
      <c r="T38" s="23">
        <v>20054.88</v>
      </c>
      <c r="U38" s="23">
        <v>20762.400000000001</v>
      </c>
      <c r="V38" s="22">
        <v>21214</v>
      </c>
      <c r="W38" s="23">
        <v>21603</v>
      </c>
      <c r="X38" s="23">
        <v>22414</v>
      </c>
      <c r="Y38" s="23">
        <v>24284</v>
      </c>
    </row>
    <row r="39" spans="1:25" s="8" customFormat="1" x14ac:dyDescent="0.15">
      <c r="A39" s="72" t="s">
        <v>58</v>
      </c>
      <c r="B39" s="23"/>
      <c r="C39" s="23"/>
      <c r="D39" s="23"/>
      <c r="E39" s="38">
        <v>4724.8919999999998</v>
      </c>
      <c r="F39" s="22"/>
      <c r="G39" s="23"/>
      <c r="H39" s="23"/>
      <c r="I39" s="38">
        <v>5282.2790000000005</v>
      </c>
      <c r="J39" s="22"/>
      <c r="K39" s="23"/>
      <c r="L39" s="23"/>
      <c r="M39" s="38">
        <v>6075.6869999999999</v>
      </c>
      <c r="N39" s="22">
        <v>6339.4570000000003</v>
      </c>
      <c r="O39" s="23">
        <v>6457.8209999999999</v>
      </c>
      <c r="P39" s="23">
        <v>6533.6949999999997</v>
      </c>
      <c r="Q39" s="23">
        <v>9406.5679999999993</v>
      </c>
      <c r="R39" s="22">
        <v>9634.0509999999995</v>
      </c>
      <c r="S39" s="23">
        <v>9734.2160000000003</v>
      </c>
      <c r="T39" s="23">
        <v>9812.107</v>
      </c>
      <c r="U39" s="23">
        <v>10232.245000000001</v>
      </c>
      <c r="V39" s="22">
        <v>10749</v>
      </c>
      <c r="W39" s="23">
        <v>10722</v>
      </c>
      <c r="X39" s="23">
        <v>10701</v>
      </c>
      <c r="Y39" s="23">
        <v>11020</v>
      </c>
    </row>
    <row r="40" spans="1:25" s="8" customFormat="1" x14ac:dyDescent="0.15">
      <c r="A40" s="66"/>
      <c r="B40" s="23"/>
      <c r="C40" s="23"/>
      <c r="D40" s="23"/>
      <c r="E40" s="38"/>
      <c r="F40" s="22"/>
      <c r="G40" s="23"/>
      <c r="H40" s="23"/>
      <c r="I40" s="38"/>
      <c r="J40" s="22"/>
      <c r="K40" s="23"/>
      <c r="L40" s="23"/>
      <c r="M40" s="38"/>
      <c r="N40" s="22"/>
      <c r="O40" s="23"/>
      <c r="P40" s="23"/>
      <c r="Q40" s="23"/>
      <c r="R40" s="22"/>
      <c r="S40" s="23"/>
      <c r="T40" s="23"/>
      <c r="U40" s="23"/>
      <c r="V40" s="22"/>
      <c r="W40" s="23"/>
      <c r="X40" s="23"/>
      <c r="Y40" s="23"/>
    </row>
    <row r="41" spans="1:25" s="8" customFormat="1" x14ac:dyDescent="0.15">
      <c r="A41" s="72" t="s">
        <v>59</v>
      </c>
      <c r="B41" s="23"/>
      <c r="C41" s="23"/>
      <c r="D41" s="23"/>
      <c r="E41" s="27">
        <f>E38-E34-E37</f>
        <v>1861.5</v>
      </c>
      <c r="F41" s="22"/>
      <c r="G41" s="23"/>
      <c r="H41" s="23"/>
      <c r="I41" s="27">
        <f t="shared" ref="I41:O41" si="66">I38-I34-I37</f>
        <v>2124.9349999999995</v>
      </c>
      <c r="J41" s="22"/>
      <c r="K41" s="23"/>
      <c r="L41" s="23"/>
      <c r="M41" s="27">
        <f t="shared" si="66"/>
        <v>2508.5629999999992</v>
      </c>
      <c r="N41" s="28">
        <f t="shared" si="66"/>
        <v>2627.8759999999993</v>
      </c>
      <c r="O41" s="27">
        <f t="shared" si="66"/>
        <v>2685.0699999999997</v>
      </c>
      <c r="P41" s="27">
        <f t="shared" ref="P41:V41" si="67">P38-P34-P37</f>
        <v>2644.8210000000017</v>
      </c>
      <c r="Q41" s="27">
        <f t="shared" si="67"/>
        <v>2889.6710000000003</v>
      </c>
      <c r="R41" s="28">
        <f t="shared" si="67"/>
        <v>3554.4610000000011</v>
      </c>
      <c r="S41" s="27">
        <f t="shared" si="67"/>
        <v>3571.9070000000011</v>
      </c>
      <c r="T41" s="27">
        <f t="shared" si="67"/>
        <v>3900.3990000000013</v>
      </c>
      <c r="U41" s="27">
        <f t="shared" si="67"/>
        <v>4173.659999999998</v>
      </c>
      <c r="V41" s="28">
        <f t="shared" si="67"/>
        <v>4726</v>
      </c>
      <c r="W41" s="27">
        <f t="shared" ref="W41:X41" si="68">W38-W34-W37</f>
        <v>5022</v>
      </c>
      <c r="X41" s="27">
        <f t="shared" si="68"/>
        <v>4966</v>
      </c>
      <c r="Y41" s="27">
        <f t="shared" ref="Y41" si="69">Y38-Y34-Y37</f>
        <v>6191</v>
      </c>
    </row>
    <row r="42" spans="1:25" s="8" customFormat="1" x14ac:dyDescent="0.15">
      <c r="A42" s="72" t="s">
        <v>60</v>
      </c>
      <c r="B42" s="23"/>
      <c r="C42" s="23"/>
      <c r="D42" s="23"/>
      <c r="E42" s="27">
        <f>E38-E39</f>
        <v>7001.58</v>
      </c>
      <c r="F42" s="22"/>
      <c r="G42" s="23"/>
      <c r="H42" s="23"/>
      <c r="I42" s="27">
        <f>I38-I39</f>
        <v>7424.8349999999991</v>
      </c>
      <c r="J42" s="22"/>
      <c r="K42" s="23"/>
      <c r="L42" s="23"/>
      <c r="M42" s="27">
        <f t="shared" ref="M42:P42" si="70">M38-M39</f>
        <v>8459.8690000000006</v>
      </c>
      <c r="N42" s="28">
        <f t="shared" si="70"/>
        <v>8634.0280000000002</v>
      </c>
      <c r="O42" s="27">
        <f t="shared" si="70"/>
        <v>8705.5830000000005</v>
      </c>
      <c r="P42" s="27">
        <f t="shared" si="70"/>
        <v>8861.9250000000011</v>
      </c>
      <c r="Q42" s="27">
        <f t="shared" ref="Q42:S42" si="71">Q38-Q39</f>
        <v>9362.1140000000014</v>
      </c>
      <c r="R42" s="28">
        <f t="shared" si="71"/>
        <v>9871.4850000000006</v>
      </c>
      <c r="S42" s="27">
        <f t="shared" si="71"/>
        <v>9931.6929999999993</v>
      </c>
      <c r="T42" s="27">
        <f>T38-T39</f>
        <v>10242.773000000001</v>
      </c>
      <c r="U42" s="27">
        <f>U38-U39</f>
        <v>10530.155000000001</v>
      </c>
      <c r="V42" s="28">
        <f t="shared" ref="V42" si="72">V38-V39</f>
        <v>10465</v>
      </c>
      <c r="W42" s="27">
        <f>W38-W39</f>
        <v>10881</v>
      </c>
      <c r="X42" s="27">
        <f>X38-X39</f>
        <v>11713</v>
      </c>
      <c r="Y42" s="27">
        <f>Y38-Y39</f>
        <v>13264</v>
      </c>
    </row>
    <row r="43" spans="1:25" s="8" customFormat="1" x14ac:dyDescent="0.15">
      <c r="A43" s="66"/>
      <c r="B43" s="23"/>
      <c r="C43" s="23"/>
      <c r="D43" s="23"/>
      <c r="E43" s="38"/>
      <c r="F43" s="22"/>
      <c r="G43" s="23"/>
      <c r="H43" s="23"/>
      <c r="I43" s="38"/>
      <c r="J43" s="22"/>
      <c r="K43" s="23"/>
      <c r="L43" s="23"/>
      <c r="M43" s="38"/>
      <c r="N43" s="22"/>
      <c r="O43" s="23"/>
      <c r="P43" s="23"/>
      <c r="Q43" s="23"/>
      <c r="R43" s="22"/>
      <c r="S43" s="23"/>
      <c r="T43" s="23"/>
      <c r="U43" s="23"/>
      <c r="V43" s="22"/>
      <c r="W43" s="23"/>
      <c r="X43" s="23"/>
      <c r="Y43" s="23"/>
    </row>
    <row r="44" spans="1:25" s="17" customFormat="1" x14ac:dyDescent="0.15">
      <c r="A44" s="73" t="s">
        <v>61</v>
      </c>
      <c r="B44" s="47"/>
      <c r="C44" s="47"/>
      <c r="D44" s="47"/>
      <c r="E44" s="24">
        <f>SUM(B19:E19)</f>
        <v>629.5509999999997</v>
      </c>
      <c r="F44" s="22"/>
      <c r="G44" s="23"/>
      <c r="H44" s="23"/>
      <c r="I44" s="24">
        <f>SUM(F19:I19)</f>
        <v>1168.7819999999999</v>
      </c>
      <c r="J44" s="22"/>
      <c r="K44" s="23"/>
      <c r="L44" s="23"/>
      <c r="M44" s="24">
        <f t="shared" ref="M44:U44" si="73">SUM(J19:M19)</f>
        <v>1693.9540000000002</v>
      </c>
      <c r="N44" s="25">
        <f t="shared" si="73"/>
        <v>1878.5840000000003</v>
      </c>
      <c r="O44" s="24">
        <f t="shared" si="73"/>
        <v>2167.3610000000003</v>
      </c>
      <c r="P44" s="24">
        <f t="shared" si="73"/>
        <v>2414.0830000000001</v>
      </c>
      <c r="Q44" s="24">
        <f t="shared" si="73"/>
        <v>2590.7740000000003</v>
      </c>
      <c r="R44" s="25">
        <f t="shared" si="73"/>
        <v>2681.9390000000008</v>
      </c>
      <c r="S44" s="24">
        <f t="shared" si="73"/>
        <v>2651.3650000000016</v>
      </c>
      <c r="T44" s="24">
        <f t="shared" si="73"/>
        <v>2777.8370000000004</v>
      </c>
      <c r="U44" s="24">
        <f t="shared" si="73"/>
        <v>2951.458000000001</v>
      </c>
      <c r="V44" s="25">
        <f t="shared" ref="V44" si="74">SUM(S19:V19)</f>
        <v>3232.2170000000006</v>
      </c>
      <c r="W44" s="24">
        <f>SUM(T19:W19)</f>
        <v>3699.6239999999998</v>
      </c>
      <c r="X44" s="24">
        <f>SUM(U19:X19)</f>
        <v>3861.8610000000003</v>
      </c>
      <c r="Y44" s="24">
        <f>SUM(V19:Y19)</f>
        <v>4075.3302126005724</v>
      </c>
    </row>
    <row r="45" spans="1:25" x14ac:dyDescent="0.15">
      <c r="A45" s="74" t="s">
        <v>62</v>
      </c>
      <c r="E45" s="34">
        <f>E19/E42</f>
        <v>3.1807820520511045E-2</v>
      </c>
      <c r="I45" s="34">
        <f t="shared" ref="I45:O45" si="75">I44/I42</f>
        <v>0.15741521528761246</v>
      </c>
      <c r="J45" s="22"/>
      <c r="K45" s="23"/>
      <c r="L45" s="23"/>
      <c r="M45" s="34">
        <f t="shared" si="75"/>
        <v>0.2002340698183388</v>
      </c>
      <c r="N45" s="35">
        <f t="shared" si="75"/>
        <v>0.21757909518014074</v>
      </c>
      <c r="O45" s="34">
        <f t="shared" si="75"/>
        <v>0.2489621889768899</v>
      </c>
      <c r="P45" s="34">
        <f t="shared" ref="P45:V45" si="76">P44/P42</f>
        <v>0.27241067826685511</v>
      </c>
      <c r="Q45" s="34">
        <f t="shared" si="76"/>
        <v>0.27672959333757313</v>
      </c>
      <c r="R45" s="35">
        <f t="shared" si="76"/>
        <v>0.27168546576325653</v>
      </c>
      <c r="S45" s="34">
        <f t="shared" si="76"/>
        <v>0.2669600238348086</v>
      </c>
      <c r="T45" s="34">
        <f t="shared" si="76"/>
        <v>0.2711997034396838</v>
      </c>
      <c r="U45" s="34">
        <f t="shared" si="76"/>
        <v>0.28028628258558402</v>
      </c>
      <c r="V45" s="35">
        <f t="shared" si="76"/>
        <v>0.30885972288580987</v>
      </c>
      <c r="W45" s="34">
        <f t="shared" ref="W45:X45" si="77">W44/W42</f>
        <v>0.34000771987868761</v>
      </c>
      <c r="X45" s="34">
        <f t="shared" si="77"/>
        <v>0.32970724835652698</v>
      </c>
      <c r="Y45" s="34">
        <f t="shared" ref="Y45" si="78">Y44/Y42</f>
        <v>0.30724745269907816</v>
      </c>
    </row>
    <row r="46" spans="1:25" x14ac:dyDescent="0.15">
      <c r="A46" s="74" t="s">
        <v>63</v>
      </c>
      <c r="E46" s="34">
        <f>E19/E38</f>
        <v>1.899164556910209E-2</v>
      </c>
      <c r="I46" s="34">
        <f t="shared" ref="I46:O46" si="79">I44/I38</f>
        <v>9.1978556263837719E-2</v>
      </c>
      <c r="J46" s="22"/>
      <c r="K46" s="23"/>
      <c r="L46" s="23"/>
      <c r="M46" s="34">
        <f t="shared" si="79"/>
        <v>0.11653864496136233</v>
      </c>
      <c r="N46" s="35">
        <f t="shared" si="79"/>
        <v>0.12546070604137916</v>
      </c>
      <c r="O46" s="34">
        <f t="shared" si="79"/>
        <v>0.14293367109390478</v>
      </c>
      <c r="P46" s="34">
        <f t="shared" ref="P46:V46" si="80">P44/P38</f>
        <v>0.15680323364697232</v>
      </c>
      <c r="Q46" s="34">
        <f t="shared" si="80"/>
        <v>0.13803707687092787</v>
      </c>
      <c r="R46" s="35">
        <f t="shared" si="80"/>
        <v>0.1374962984867476</v>
      </c>
      <c r="S46" s="34">
        <f t="shared" si="80"/>
        <v>0.13482036350315674</v>
      </c>
      <c r="T46" s="34">
        <f t="shared" si="80"/>
        <v>0.13851177369298645</v>
      </c>
      <c r="U46" s="34">
        <f t="shared" si="80"/>
        <v>0.142153989904828</v>
      </c>
      <c r="V46" s="35">
        <f t="shared" si="80"/>
        <v>0.15236244932591686</v>
      </c>
      <c r="W46" s="34">
        <f t="shared" ref="W46:X46" si="81">W44/W38</f>
        <v>0.17125510345785305</v>
      </c>
      <c r="X46" s="34">
        <f t="shared" si="81"/>
        <v>0.17229682341393773</v>
      </c>
      <c r="Y46" s="34">
        <f t="shared" ref="Y46" si="82">Y44/Y38</f>
        <v>0.16781956072313345</v>
      </c>
    </row>
    <row r="47" spans="1:25" x14ac:dyDescent="0.15">
      <c r="A47" s="74" t="s">
        <v>64</v>
      </c>
      <c r="E47" s="34">
        <f>E19/(E42-E37)</f>
        <v>0.19801421189089963</v>
      </c>
      <c r="I47" s="34">
        <f t="shared" ref="I47:O47" si="83">I44/(I42-I37)</f>
        <v>0.72868707121641774</v>
      </c>
      <c r="J47" s="22"/>
      <c r="K47" s="23"/>
      <c r="L47" s="23"/>
      <c r="M47" s="34">
        <f t="shared" si="83"/>
        <v>0.75198277584178619</v>
      </c>
      <c r="N47" s="35">
        <f t="shared" si="83"/>
        <v>0.77105257001242422</v>
      </c>
      <c r="O47" s="34">
        <f t="shared" si="83"/>
        <v>0.84619138699565433</v>
      </c>
      <c r="P47" s="34">
        <f t="shared" ref="P47:V47" si="84">P44/(P42-P37)</f>
        <v>2.2869383741507137</v>
      </c>
      <c r="Q47" s="34">
        <f t="shared" si="84"/>
        <v>-0.78796387398169387</v>
      </c>
      <c r="R47" s="35">
        <f t="shared" si="84"/>
        <v>-0.9399320023285056</v>
      </c>
      <c r="S47" s="34">
        <f t="shared" si="84"/>
        <v>-0.98808756284169363</v>
      </c>
      <c r="T47" s="34">
        <f t="shared" si="84"/>
        <v>-1.2286312651487017</v>
      </c>
      <c r="U47" s="34">
        <f t="shared" si="84"/>
        <v>-1.5685819955155405</v>
      </c>
      <c r="V47" s="35">
        <f t="shared" si="84"/>
        <v>-1.7452575593952486</v>
      </c>
      <c r="W47" s="34">
        <f t="shared" ref="W47:X47" si="85">W44/(W42-W37)</f>
        <v>-2.7424936990363231</v>
      </c>
      <c r="X47" s="34">
        <f t="shared" si="85"/>
        <v>-8.1992802547770705</v>
      </c>
      <c r="Y47" s="34">
        <f t="shared" ref="Y47" si="86">Y44/(Y42-Y37)</f>
        <v>3.5041532352541465</v>
      </c>
    </row>
    <row r="48" spans="1:25" x14ac:dyDescent="0.15">
      <c r="A48" s="74" t="s">
        <v>65</v>
      </c>
      <c r="E48" s="34">
        <f>E19/E41</f>
        <v>0.11963738920225608</v>
      </c>
      <c r="I48" s="34">
        <f t="shared" ref="I48:O48" si="87">I44/I41</f>
        <v>0.55003188332819597</v>
      </c>
      <c r="J48" s="22"/>
      <c r="K48" s="23"/>
      <c r="L48" s="23"/>
      <c r="M48" s="34">
        <f t="shared" si="87"/>
        <v>0.67526866975236444</v>
      </c>
      <c r="N48" s="35">
        <f t="shared" si="87"/>
        <v>0.71486782481365208</v>
      </c>
      <c r="O48" s="34">
        <f t="shared" si="87"/>
        <v>0.80718975669163207</v>
      </c>
      <c r="P48" s="34">
        <f t="shared" ref="P48:V48" si="88">P44/P41</f>
        <v>0.91275855719536347</v>
      </c>
      <c r="Q48" s="34">
        <f t="shared" si="88"/>
        <v>0.89656365724679388</v>
      </c>
      <c r="R48" s="35">
        <f t="shared" si="88"/>
        <v>0.75452762036213084</v>
      </c>
      <c r="S48" s="34">
        <f t="shared" si="88"/>
        <v>0.74228276380096148</v>
      </c>
      <c r="T48" s="34">
        <f t="shared" si="88"/>
        <v>0.71219303461004879</v>
      </c>
      <c r="U48" s="34">
        <f t="shared" si="88"/>
        <v>0.70716301759127542</v>
      </c>
      <c r="V48" s="35">
        <f t="shared" si="88"/>
        <v>0.68392234447735945</v>
      </c>
      <c r="W48" s="34">
        <f t="shared" ref="W48:X48" si="89">W44/W41</f>
        <v>0.7366833930704898</v>
      </c>
      <c r="X48" s="34">
        <f t="shared" si="89"/>
        <v>0.77766028997180836</v>
      </c>
      <c r="Y48" s="34">
        <f t="shared" ref="Y48" si="90">Y44/Y41</f>
        <v>0.65826687330004396</v>
      </c>
    </row>
    <row r="50" spans="1:25" x14ac:dyDescent="0.15">
      <c r="A50" s="70" t="s">
        <v>76</v>
      </c>
      <c r="F50" s="35">
        <f t="shared" ref="F50:Y52" si="91">F3/B3-1</f>
        <v>0.50012194404030041</v>
      </c>
      <c r="G50" s="34">
        <f t="shared" si="91"/>
        <v>0.40020646981832475</v>
      </c>
      <c r="H50" s="34">
        <f t="shared" si="91"/>
        <v>0.40954207450561775</v>
      </c>
      <c r="I50" s="34">
        <f t="shared" si="91"/>
        <v>0.39103560148727068</v>
      </c>
      <c r="J50" s="35">
        <f t="shared" si="91"/>
        <v>0.29302125671572066</v>
      </c>
      <c r="K50" s="34">
        <f t="shared" si="91"/>
        <v>0.36908650669737608</v>
      </c>
      <c r="L50" s="34">
        <f t="shared" si="91"/>
        <v>0.34377315801273656</v>
      </c>
      <c r="M50" s="34">
        <f t="shared" si="91"/>
        <v>0.34359762111682679</v>
      </c>
      <c r="N50" s="35">
        <f t="shared" si="91"/>
        <v>0.29591373668936649</v>
      </c>
      <c r="O50" s="34">
        <f t="shared" si="91"/>
        <v>0.29618114296113074</v>
      </c>
      <c r="P50" s="34">
        <f t="shared" si="91"/>
        <v>0.28730730238624091</v>
      </c>
      <c r="Q50" s="34">
        <f t="shared" si="91"/>
        <v>0.28783888084047793</v>
      </c>
      <c r="R50" s="35">
        <f t="shared" si="91"/>
        <v>0.28527990507193768</v>
      </c>
      <c r="S50" s="34">
        <f t="shared" si="91"/>
        <v>0.2771345269771015</v>
      </c>
      <c r="T50" s="34">
        <f t="shared" si="91"/>
        <v>0.25974014410055868</v>
      </c>
      <c r="U50" s="34">
        <f t="shared" si="91"/>
        <v>0.23014406466931425</v>
      </c>
      <c r="V50" s="35">
        <f t="shared" ref="V50:V52" si="92">V3/R3-1</f>
        <v>0.22561407603666339</v>
      </c>
      <c r="W50" s="34">
        <f t="shared" si="91"/>
        <v>0.17014922456238479</v>
      </c>
      <c r="X50" s="34">
        <f t="shared" si="91"/>
        <v>0.17805472535421174</v>
      </c>
      <c r="Y50" s="34">
        <f t="shared" si="91"/>
        <v>0.15935922978351047</v>
      </c>
    </row>
    <row r="51" spans="1:25" x14ac:dyDescent="0.15">
      <c r="A51" s="70" t="s">
        <v>77</v>
      </c>
      <c r="F51" s="35">
        <f t="shared" si="91"/>
        <v>-0.30835631796515506</v>
      </c>
      <c r="G51" s="34">
        <f t="shared" si="91"/>
        <v>-0.284252088964005</v>
      </c>
      <c r="H51" s="34">
        <f t="shared" si="91"/>
        <v>-0.34277143002418853</v>
      </c>
      <c r="I51" s="34">
        <f t="shared" si="91"/>
        <v>-0.21993279343119054</v>
      </c>
      <c r="J51" s="35">
        <f t="shared" si="91"/>
        <v>-8.8144914276621966E-2</v>
      </c>
      <c r="K51" s="34">
        <f t="shared" si="91"/>
        <v>-0.12699745547073793</v>
      </c>
      <c r="L51" s="34">
        <f t="shared" si="91"/>
        <v>-0.1215683023872679</v>
      </c>
      <c r="M51" s="34">
        <f t="shared" si="91"/>
        <v>-0.13089948901886206</v>
      </c>
      <c r="N51" s="35">
        <f t="shared" si="91"/>
        <v>-6.4220083431033026E-2</v>
      </c>
      <c r="O51" s="34">
        <f t="shared" si="91"/>
        <v>-0.11980529890116287</v>
      </c>
      <c r="P51" s="34">
        <f t="shared" si="91"/>
        <v>-6.1864230849076218E-2</v>
      </c>
      <c r="Q51" s="34">
        <f t="shared" si="91"/>
        <v>-0.22009477591820648</v>
      </c>
      <c r="R51" s="35">
        <f t="shared" si="91"/>
        <v>-6.1419048063027226E-3</v>
      </c>
      <c r="S51" s="34">
        <f t="shared" si="91"/>
        <v>1.2073407376500978E-2</v>
      </c>
      <c r="T51" s="34">
        <f t="shared" si="91"/>
        <v>5.4946455034970088E-2</v>
      </c>
      <c r="U51" s="34">
        <f t="shared" si="91"/>
        <v>0.11083264085092237</v>
      </c>
      <c r="V51" s="35">
        <f t="shared" si="92"/>
        <v>-0.16155587086787759</v>
      </c>
      <c r="W51" s="34">
        <f t="shared" si="91"/>
        <v>-0.16239137263113812</v>
      </c>
      <c r="X51" s="34">
        <f t="shared" si="91"/>
        <v>-0.30714907736411545</v>
      </c>
      <c r="Y51" s="34">
        <f t="shared" si="91"/>
        <v>-0.23996241703920485</v>
      </c>
    </row>
    <row r="52" spans="1:25" x14ac:dyDescent="0.15">
      <c r="A52" s="70" t="s">
        <v>78</v>
      </c>
      <c r="F52" s="35">
        <f t="shared" si="91"/>
        <v>6.6765112180250608E-2</v>
      </c>
      <c r="G52" s="34">
        <f t="shared" si="91"/>
        <v>4.2619460306008605E-2</v>
      </c>
      <c r="H52" s="34">
        <f t="shared" si="91"/>
        <v>9.1739072906100727E-3</v>
      </c>
      <c r="I52" s="34">
        <f t="shared" si="91"/>
        <v>8.5137236403026062E-2</v>
      </c>
      <c r="J52" s="35">
        <f t="shared" si="91"/>
        <v>2.1719521670402697E-2</v>
      </c>
      <c r="K52" s="34">
        <f t="shared" si="91"/>
        <v>-1.3046303406722415E-2</v>
      </c>
      <c r="L52" s="34">
        <f t="shared" si="91"/>
        <v>-2.2971023993706541E-2</v>
      </c>
      <c r="M52" s="34">
        <f t="shared" si="91"/>
        <v>-5.2229914667525357E-2</v>
      </c>
      <c r="N52" s="35">
        <f t="shared" si="91"/>
        <v>-3.7061317250121073E-3</v>
      </c>
      <c r="O52" s="34">
        <f t="shared" si="91"/>
        <v>3.6603821982813978E-2</v>
      </c>
      <c r="P52" s="34">
        <f t="shared" si="91"/>
        <v>7.7538312890845118E-2</v>
      </c>
      <c r="Q52" s="34">
        <f t="shared" si="91"/>
        <v>0.10455950803519865</v>
      </c>
      <c r="R52" s="35">
        <f t="shared" si="91"/>
        <v>0.10040269869539653</v>
      </c>
      <c r="S52" s="34">
        <f t="shared" si="91"/>
        <v>0.11655778811574113</v>
      </c>
      <c r="T52" s="34">
        <f t="shared" si="91"/>
        <v>8.1282587758626512E-2</v>
      </c>
      <c r="U52" s="34">
        <f t="shared" si="91"/>
        <v>6.1334030543978013E-2</v>
      </c>
      <c r="V52" s="35">
        <f t="shared" si="92"/>
        <v>-1.9334263504086069E-2</v>
      </c>
      <c r="W52" s="34">
        <f t="shared" si="91"/>
        <v>-6.9197071664438115E-2</v>
      </c>
      <c r="X52" s="34">
        <f t="shared" si="91"/>
        <v>-0.10929557565612669</v>
      </c>
      <c r="Y52" s="34">
        <f t="shared" si="91"/>
        <v>0.31866857946065008</v>
      </c>
    </row>
  </sheetData>
  <hyperlinks>
    <hyperlink ref="A1" r:id="rId1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C13"/>
  <sheetViews>
    <sheetView zoomScale="130" zoomScaleNormal="130" workbookViewId="0">
      <selection activeCell="C16" sqref="C16"/>
    </sheetView>
  </sheetViews>
  <sheetFormatPr baseColWidth="10" defaultRowHeight="13" x14ac:dyDescent="0.15"/>
  <cols>
    <col min="1" max="1" width="10.83203125" style="3"/>
    <col min="2" max="2" width="12.5" style="3" bestFit="1" customWidth="1"/>
    <col min="3" max="3" width="30.6640625" style="3" bestFit="1" customWidth="1"/>
    <col min="4" max="16384" width="10.83203125" style="3"/>
  </cols>
  <sheetData>
    <row r="4" spans="2:3" x14ac:dyDescent="0.15">
      <c r="B4" s="64" t="s">
        <v>114</v>
      </c>
    </row>
    <row r="6" spans="2:3" x14ac:dyDescent="0.15">
      <c r="B6" s="3" t="s">
        <v>115</v>
      </c>
      <c r="C6" s="3" t="s">
        <v>116</v>
      </c>
    </row>
    <row r="7" spans="2:3" x14ac:dyDescent="0.15">
      <c r="B7" s="3" t="s">
        <v>102</v>
      </c>
    </row>
    <row r="8" spans="2:3" x14ac:dyDescent="0.15">
      <c r="B8" s="3" t="s">
        <v>103</v>
      </c>
    </row>
    <row r="9" spans="2:3" x14ac:dyDescent="0.15">
      <c r="B9" s="3" t="s">
        <v>104</v>
      </c>
    </row>
    <row r="10" spans="2:3" x14ac:dyDescent="0.15">
      <c r="B10" s="3" t="s">
        <v>105</v>
      </c>
    </row>
    <row r="11" spans="2:3" x14ac:dyDescent="0.15">
      <c r="B11" s="3" t="s">
        <v>106</v>
      </c>
    </row>
    <row r="12" spans="2:3" x14ac:dyDescent="0.15">
      <c r="B12" s="3" t="s">
        <v>107</v>
      </c>
    </row>
    <row r="13" spans="2:3" x14ac:dyDescent="0.15">
      <c r="B13" s="3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Reports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2018-01-04T19:16:18Z</dcterms:created>
  <dcterms:modified xsi:type="dcterms:W3CDTF">2021-02-12T16:56:49Z</dcterms:modified>
</cp:coreProperties>
</file>