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415B294D-5AB2-784A-885A-AF6A74DB3919}" xr6:coauthVersionLast="46" xr6:coauthVersionMax="46" xr10:uidLastSave="{00000000-0000-0000-0000-000000000000}"/>
  <bookViews>
    <workbookView xWindow="-54560" yWindow="-5940" windowWidth="26120" windowHeight="26740" tabRatio="500" activeTab="1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0" i="1" l="1"/>
  <c r="M50" i="1"/>
  <c r="I50" i="1"/>
  <c r="J50" i="1"/>
  <c r="L50" i="1"/>
  <c r="K50" i="1"/>
  <c r="N50" i="1"/>
  <c r="O50" i="1"/>
  <c r="E49" i="1"/>
  <c r="I49" i="1"/>
  <c r="H49" i="1"/>
  <c r="G49" i="1"/>
  <c r="F49" i="1"/>
  <c r="J49" i="1"/>
  <c r="L49" i="1"/>
  <c r="K49" i="1"/>
  <c r="H43" i="1"/>
  <c r="G43" i="1"/>
  <c r="F43" i="1"/>
  <c r="L43" i="1"/>
  <c r="K43" i="1"/>
  <c r="J43" i="1"/>
  <c r="N43" i="1"/>
  <c r="O43" i="1"/>
  <c r="C3" i="2"/>
  <c r="C4" i="2" s="1"/>
  <c r="E10" i="2"/>
  <c r="D45" i="2"/>
  <c r="D44" i="2"/>
  <c r="D43" i="2"/>
  <c r="C45" i="2"/>
  <c r="C44" i="2"/>
  <c r="C43" i="2"/>
  <c r="C41" i="2"/>
  <c r="B45" i="2"/>
  <c r="B44" i="2"/>
  <c r="D27" i="2"/>
  <c r="E27" i="2" s="1"/>
  <c r="D24" i="2"/>
  <c r="D19" i="2"/>
  <c r="D18" i="2"/>
  <c r="D17" i="2"/>
  <c r="D15" i="2"/>
  <c r="D12" i="2"/>
  <c r="D57" i="2" s="1"/>
  <c r="D11" i="2"/>
  <c r="D10" i="2"/>
  <c r="C27" i="2"/>
  <c r="C24" i="2"/>
  <c r="C19" i="2"/>
  <c r="C18" i="2"/>
  <c r="C17" i="2"/>
  <c r="C15" i="2"/>
  <c r="C12" i="2"/>
  <c r="C11" i="2"/>
  <c r="C10" i="2"/>
  <c r="C14" i="2" s="1"/>
  <c r="C16" i="2" s="1"/>
  <c r="B27" i="2"/>
  <c r="B24" i="2"/>
  <c r="B19" i="2"/>
  <c r="B18" i="2"/>
  <c r="B17" i="2"/>
  <c r="B15" i="2"/>
  <c r="B12" i="2"/>
  <c r="B11" i="2"/>
  <c r="B10" i="2"/>
  <c r="C9" i="2"/>
  <c r="Q4" i="1"/>
  <c r="Q53" i="1" s="1"/>
  <c r="Q3" i="1"/>
  <c r="Q11" i="1"/>
  <c r="Q12" i="1"/>
  <c r="E19" i="2" s="1"/>
  <c r="Q10" i="1"/>
  <c r="Q27" i="1" s="1"/>
  <c r="Q5" i="1"/>
  <c r="E12" i="2" s="1"/>
  <c r="Q54" i="1"/>
  <c r="Q52" i="1"/>
  <c r="K57" i="1"/>
  <c r="J57" i="1"/>
  <c r="I57" i="1"/>
  <c r="I52" i="1"/>
  <c r="H52" i="1"/>
  <c r="G52" i="1"/>
  <c r="F54" i="1"/>
  <c r="G54" i="1"/>
  <c r="F52" i="1"/>
  <c r="J54" i="1"/>
  <c r="J52" i="1"/>
  <c r="I28" i="1"/>
  <c r="G28" i="1"/>
  <c r="F28" i="1"/>
  <c r="F29" i="1"/>
  <c r="F27" i="1"/>
  <c r="K29" i="1"/>
  <c r="J29" i="1"/>
  <c r="K28" i="1"/>
  <c r="J28" i="1"/>
  <c r="K27" i="1"/>
  <c r="J27" i="1"/>
  <c r="B15" i="1"/>
  <c r="B13" i="1"/>
  <c r="B7" i="1"/>
  <c r="B9" i="1" s="1"/>
  <c r="B22" i="1" s="1"/>
  <c r="F15" i="1"/>
  <c r="F13" i="1"/>
  <c r="F7" i="1"/>
  <c r="C15" i="1"/>
  <c r="C13" i="1"/>
  <c r="C7" i="1"/>
  <c r="C9" i="1" s="1"/>
  <c r="K54" i="1"/>
  <c r="K52" i="1"/>
  <c r="G29" i="1"/>
  <c r="G27" i="1"/>
  <c r="G15" i="1"/>
  <c r="G13" i="1"/>
  <c r="G7" i="1"/>
  <c r="G9" i="1" s="1"/>
  <c r="G22" i="1" s="1"/>
  <c r="I54" i="1"/>
  <c r="I53" i="1"/>
  <c r="H54" i="1"/>
  <c r="L54" i="1"/>
  <c r="L52" i="1"/>
  <c r="L29" i="1"/>
  <c r="L28" i="1"/>
  <c r="L27" i="1"/>
  <c r="H29" i="1"/>
  <c r="H28" i="1"/>
  <c r="H27" i="1"/>
  <c r="D15" i="1"/>
  <c r="H15" i="1"/>
  <c r="D7" i="1"/>
  <c r="D9" i="1" s="1"/>
  <c r="H7" i="1"/>
  <c r="H9" i="1" s="1"/>
  <c r="E34" i="1"/>
  <c r="E36" i="1"/>
  <c r="E33" i="1"/>
  <c r="B40" i="2" s="1"/>
  <c r="I29" i="1"/>
  <c r="I27" i="1"/>
  <c r="E15" i="1"/>
  <c r="E41" i="1"/>
  <c r="E13" i="1"/>
  <c r="D13" i="1"/>
  <c r="E7" i="1"/>
  <c r="E9" i="1" s="1"/>
  <c r="H13" i="1"/>
  <c r="H30" i="1" s="1"/>
  <c r="M54" i="1"/>
  <c r="M53" i="1"/>
  <c r="M52" i="1"/>
  <c r="N54" i="1"/>
  <c r="N53" i="1"/>
  <c r="N52" i="1"/>
  <c r="O54" i="1"/>
  <c r="O53" i="1"/>
  <c r="O52" i="1"/>
  <c r="M29" i="1"/>
  <c r="M28" i="1"/>
  <c r="M27" i="1"/>
  <c r="I15" i="1"/>
  <c r="I13" i="1"/>
  <c r="M15" i="1"/>
  <c r="I7" i="1"/>
  <c r="M7" i="1"/>
  <c r="J15" i="1"/>
  <c r="N15" i="1"/>
  <c r="J7" i="1"/>
  <c r="J9" i="1" s="1"/>
  <c r="N7" i="1"/>
  <c r="K15" i="1"/>
  <c r="O15" i="1"/>
  <c r="K7" i="1"/>
  <c r="K9" i="1" s="1"/>
  <c r="O7" i="1"/>
  <c r="M34" i="1"/>
  <c r="D41" i="2" s="1"/>
  <c r="M36" i="1"/>
  <c r="M33" i="1"/>
  <c r="D40" i="2" s="1"/>
  <c r="P36" i="1"/>
  <c r="P33" i="1"/>
  <c r="P54" i="1"/>
  <c r="P53" i="1"/>
  <c r="P52" i="1"/>
  <c r="L15" i="1"/>
  <c r="P15" i="1"/>
  <c r="Q15" i="1" s="1"/>
  <c r="L7" i="1"/>
  <c r="P7" i="1"/>
  <c r="P9" i="1" s="1"/>
  <c r="P28" i="1"/>
  <c r="O13" i="1"/>
  <c r="K13" i="1"/>
  <c r="J13" i="1"/>
  <c r="I33" i="1"/>
  <c r="I32" i="1" s="1"/>
  <c r="I41" i="1"/>
  <c r="B20" i="2" l="1"/>
  <c r="F26" i="1"/>
  <c r="F30" i="1"/>
  <c r="M26" i="1"/>
  <c r="H26" i="1"/>
  <c r="Q7" i="1"/>
  <c r="Q26" i="1" s="1"/>
  <c r="O49" i="1"/>
  <c r="C56" i="2"/>
  <c r="E11" i="2"/>
  <c r="F11" i="2" s="1"/>
  <c r="G11" i="2" s="1"/>
  <c r="H11" i="2" s="1"/>
  <c r="I11" i="2" s="1"/>
  <c r="M49" i="1"/>
  <c r="C57" i="2"/>
  <c r="E55" i="2"/>
  <c r="F10" i="2" s="1"/>
  <c r="F55" i="2" s="1"/>
  <c r="G10" i="2" s="1"/>
  <c r="G26" i="1"/>
  <c r="C22" i="2"/>
  <c r="B14" i="2"/>
  <c r="B16" i="2" s="1"/>
  <c r="B21" i="2" s="1"/>
  <c r="J26" i="1"/>
  <c r="G30" i="1"/>
  <c r="E22" i="2"/>
  <c r="F9" i="1"/>
  <c r="F22" i="1" s="1"/>
  <c r="E40" i="1"/>
  <c r="P49" i="1"/>
  <c r="B22" i="2"/>
  <c r="E32" i="1"/>
  <c r="D22" i="2"/>
  <c r="K26" i="1"/>
  <c r="J30" i="1"/>
  <c r="K30" i="1"/>
  <c r="D55" i="2"/>
  <c r="C22" i="1"/>
  <c r="C14" i="1"/>
  <c r="E57" i="2"/>
  <c r="F12" i="2" s="1"/>
  <c r="F57" i="2" s="1"/>
  <c r="G12" i="2" s="1"/>
  <c r="D56" i="2"/>
  <c r="I9" i="1"/>
  <c r="I22" i="1" s="1"/>
  <c r="C55" i="2"/>
  <c r="I26" i="1"/>
  <c r="D14" i="2"/>
  <c r="N49" i="1"/>
  <c r="B41" i="2"/>
  <c r="B39" i="2" s="1"/>
  <c r="B43" i="2"/>
  <c r="B47" i="2" s="1"/>
  <c r="Q13" i="1"/>
  <c r="C40" i="2"/>
  <c r="E17" i="2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G14" i="1"/>
  <c r="B14" i="1"/>
  <c r="L26" i="1"/>
  <c r="I30" i="1"/>
  <c r="E18" i="2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B48" i="2"/>
  <c r="Q28" i="1"/>
  <c r="F19" i="2"/>
  <c r="G19" i="2" s="1"/>
  <c r="H19" i="2" s="1"/>
  <c r="I19" i="2" s="1"/>
  <c r="Q29" i="1"/>
  <c r="D14" i="1"/>
  <c r="D22" i="1"/>
  <c r="E14" i="1"/>
  <c r="E22" i="1"/>
  <c r="H22" i="1"/>
  <c r="H14" i="1"/>
  <c r="P13" i="1"/>
  <c r="I40" i="1"/>
  <c r="J14" i="1"/>
  <c r="J22" i="1"/>
  <c r="K14" i="1"/>
  <c r="K22" i="1"/>
  <c r="E14" i="2" l="1"/>
  <c r="E56" i="2"/>
  <c r="C33" i="2"/>
  <c r="F56" i="2"/>
  <c r="F14" i="1"/>
  <c r="F16" i="1" s="1"/>
  <c r="I14" i="1"/>
  <c r="I23" i="1" s="1"/>
  <c r="B29" i="2"/>
  <c r="E33" i="2"/>
  <c r="F14" i="2"/>
  <c r="F33" i="2" s="1"/>
  <c r="G23" i="1"/>
  <c r="G16" i="1"/>
  <c r="J19" i="2"/>
  <c r="K19" i="2" s="1"/>
  <c r="L19" i="2" s="1"/>
  <c r="M19" i="2" s="1"/>
  <c r="N19" i="2" s="1"/>
  <c r="O19" i="2" s="1"/>
  <c r="P19" i="2" s="1"/>
  <c r="Q19" i="2" s="1"/>
  <c r="R19" i="2" s="1"/>
  <c r="S19" i="2" s="1"/>
  <c r="G14" i="2"/>
  <c r="B30" i="2"/>
  <c r="B23" i="2"/>
  <c r="C23" i="1"/>
  <c r="C16" i="1"/>
  <c r="B16" i="1"/>
  <c r="B23" i="1"/>
  <c r="G57" i="2"/>
  <c r="H12" i="2" s="1"/>
  <c r="G56" i="2"/>
  <c r="E23" i="1"/>
  <c r="E16" i="1"/>
  <c r="D23" i="1"/>
  <c r="D16" i="1"/>
  <c r="H23" i="1"/>
  <c r="H16" i="1"/>
  <c r="E20" i="2"/>
  <c r="O35" i="2"/>
  <c r="F20" i="2"/>
  <c r="K16" i="1"/>
  <c r="K23" i="1"/>
  <c r="J16" i="1"/>
  <c r="J23" i="1"/>
  <c r="P41" i="1"/>
  <c r="P32" i="1"/>
  <c r="C5" i="2" s="1"/>
  <c r="P27" i="1"/>
  <c r="P22" i="1"/>
  <c r="Q9" i="1" s="1"/>
  <c r="Q8" i="1" s="1"/>
  <c r="E15" i="2" s="1"/>
  <c r="E16" i="2" s="1"/>
  <c r="E29" i="2" s="1"/>
  <c r="F16" i="2" l="1"/>
  <c r="F23" i="1"/>
  <c r="I16" i="1"/>
  <c r="I24" i="1" s="1"/>
  <c r="E21" i="2"/>
  <c r="E23" i="2" s="1"/>
  <c r="B25" i="2"/>
  <c r="B31" i="2"/>
  <c r="B18" i="1"/>
  <c r="B19" i="1" s="1"/>
  <c r="B24" i="1"/>
  <c r="C24" i="1"/>
  <c r="C18" i="1"/>
  <c r="C19" i="1" s="1"/>
  <c r="F24" i="1"/>
  <c r="F18" i="1"/>
  <c r="F19" i="1" s="1"/>
  <c r="Q14" i="1"/>
  <c r="Q16" i="1" s="1"/>
  <c r="G24" i="1"/>
  <c r="G18" i="1"/>
  <c r="G19" i="1" s="1"/>
  <c r="G55" i="2"/>
  <c r="H10" i="2" s="1"/>
  <c r="H14" i="2" s="1"/>
  <c r="H56" i="2"/>
  <c r="I56" i="2" s="1"/>
  <c r="D18" i="1"/>
  <c r="D24" i="1"/>
  <c r="E24" i="1"/>
  <c r="E18" i="1"/>
  <c r="E19" i="1" s="1"/>
  <c r="H24" i="1"/>
  <c r="H18" i="1"/>
  <c r="P14" i="1"/>
  <c r="F21" i="2"/>
  <c r="O34" i="2"/>
  <c r="J18" i="1"/>
  <c r="J19" i="1" s="1"/>
  <c r="J24" i="1"/>
  <c r="K18" i="1"/>
  <c r="K19" i="1" s="1"/>
  <c r="K24" i="1"/>
  <c r="P40" i="1"/>
  <c r="O28" i="1"/>
  <c r="O27" i="1"/>
  <c r="O9" i="1"/>
  <c r="O22" i="1" s="1"/>
  <c r="I18" i="1" l="1"/>
  <c r="I19" i="1" s="1"/>
  <c r="B26" i="2"/>
  <c r="B51" i="2"/>
  <c r="B50" i="2"/>
  <c r="B53" i="2"/>
  <c r="B52" i="2"/>
  <c r="H55" i="2"/>
  <c r="H57" i="2"/>
  <c r="I12" i="2" s="1"/>
  <c r="D19" i="1"/>
  <c r="E43" i="1"/>
  <c r="H19" i="1"/>
  <c r="I43" i="1"/>
  <c r="P16" i="1"/>
  <c r="P23" i="1"/>
  <c r="M41" i="1"/>
  <c r="M13" i="1"/>
  <c r="M30" i="1" l="1"/>
  <c r="Q30" i="1"/>
  <c r="I10" i="2"/>
  <c r="I57" i="2"/>
  <c r="E47" i="1"/>
  <c r="E44" i="1"/>
  <c r="E45" i="1"/>
  <c r="E46" i="1"/>
  <c r="I47" i="1"/>
  <c r="I44" i="1"/>
  <c r="I45" i="1"/>
  <c r="I46" i="1"/>
  <c r="D48" i="2"/>
  <c r="M32" i="1"/>
  <c r="P18" i="1"/>
  <c r="P19" i="1" s="1"/>
  <c r="P24" i="1"/>
  <c r="Q17" i="1" s="1"/>
  <c r="M40" i="1"/>
  <c r="D39" i="2"/>
  <c r="O14" i="1"/>
  <c r="M9" i="1"/>
  <c r="M22" i="1" s="1"/>
  <c r="E34" i="2"/>
  <c r="E24" i="2" l="1"/>
  <c r="Q18" i="1"/>
  <c r="Q19" i="1" s="1"/>
  <c r="I55" i="2"/>
  <c r="I14" i="2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O23" i="1"/>
  <c r="O16" i="1"/>
  <c r="M14" i="1"/>
  <c r="D47" i="2"/>
  <c r="D16" i="2"/>
  <c r="M23" i="1" l="1"/>
  <c r="M16" i="1"/>
  <c r="O24" i="1"/>
  <c r="O18" i="1"/>
  <c r="O19" i="1" s="1"/>
  <c r="M18" i="1" l="1"/>
  <c r="M24" i="1"/>
  <c r="M19" i="1" l="1"/>
  <c r="P29" i="1"/>
  <c r="P26" i="1"/>
  <c r="N28" i="1"/>
  <c r="N27" i="1"/>
  <c r="N13" i="1"/>
  <c r="L9" i="1" l="1"/>
  <c r="L13" i="1"/>
  <c r="L30" i="1" s="1"/>
  <c r="N9" i="1"/>
  <c r="O29" i="1"/>
  <c r="N29" i="1"/>
  <c r="F27" i="2"/>
  <c r="G27" i="2" s="1"/>
  <c r="H27" i="2" s="1"/>
  <c r="I27" i="2" s="1"/>
  <c r="J27" i="2" s="1"/>
  <c r="K27" i="2" s="1"/>
  <c r="L27" i="2" s="1"/>
  <c r="M27" i="2" s="1"/>
  <c r="N27" i="2" s="1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l="1"/>
  <c r="P9" i="2" s="1"/>
  <c r="Q9" i="2" s="1"/>
  <c r="R9" i="2" s="1"/>
  <c r="S9" i="2" s="1"/>
  <c r="O27" i="2"/>
  <c r="P27" i="2" s="1"/>
  <c r="Q27" i="2" s="1"/>
  <c r="R27" i="2" s="1"/>
  <c r="S27" i="2" s="1"/>
  <c r="O26" i="1"/>
  <c r="N30" i="1"/>
  <c r="N26" i="1"/>
  <c r="L14" i="1"/>
  <c r="L16" i="1" s="1"/>
  <c r="L18" i="1" s="1"/>
  <c r="P30" i="1"/>
  <c r="C39" i="2"/>
  <c r="N14" i="1"/>
  <c r="N22" i="1"/>
  <c r="C48" i="2"/>
  <c r="C47" i="2"/>
  <c r="C6" i="2"/>
  <c r="C7" i="2" s="1"/>
  <c r="D20" i="2" l="1"/>
  <c r="D21" i="2" s="1"/>
  <c r="D23" i="2" s="1"/>
  <c r="L19" i="1"/>
  <c r="O30" i="1"/>
  <c r="N23" i="1"/>
  <c r="N16" i="1"/>
  <c r="D35" i="2"/>
  <c r="C20" i="2"/>
  <c r="N18" i="1" l="1"/>
  <c r="P43" i="1" s="1"/>
  <c r="N24" i="1"/>
  <c r="D34" i="2"/>
  <c r="E35" i="2"/>
  <c r="L22" i="1"/>
  <c r="D36" i="2"/>
  <c r="C21" i="2"/>
  <c r="C29" i="2"/>
  <c r="D37" i="2"/>
  <c r="P44" i="1" l="1"/>
  <c r="P46" i="1"/>
  <c r="N19" i="1"/>
  <c r="L23" i="1"/>
  <c r="E36" i="2"/>
  <c r="F35" i="2"/>
  <c r="D33" i="2"/>
  <c r="C30" i="2"/>
  <c r="C23" i="2"/>
  <c r="E37" i="2"/>
  <c r="M43" i="1" l="1"/>
  <c r="P47" i="1"/>
  <c r="P45" i="1"/>
  <c r="F37" i="2"/>
  <c r="F34" i="2"/>
  <c r="D29" i="2"/>
  <c r="F36" i="2"/>
  <c r="G35" i="2"/>
  <c r="C31" i="2"/>
  <c r="C25" i="2"/>
  <c r="M47" i="1" l="1"/>
  <c r="M45" i="1"/>
  <c r="M46" i="1"/>
  <c r="M44" i="1"/>
  <c r="G20" i="2"/>
  <c r="G37" i="2" s="1"/>
  <c r="C53" i="2"/>
  <c r="C52" i="2"/>
  <c r="C50" i="2"/>
  <c r="G34" i="2"/>
  <c r="L24" i="1"/>
  <c r="C26" i="2"/>
  <c r="C51" i="2"/>
  <c r="H35" i="2"/>
  <c r="D30" i="2"/>
  <c r="G36" i="2"/>
  <c r="E30" i="2" l="1"/>
  <c r="H20" i="2"/>
  <c r="H37" i="2" s="1"/>
  <c r="H34" i="2"/>
  <c r="D31" i="2"/>
  <c r="G33" i="2"/>
  <c r="I35" i="2"/>
  <c r="H36" i="2"/>
  <c r="F15" i="2" l="1"/>
  <c r="F29" i="2"/>
  <c r="G16" i="2" s="1"/>
  <c r="P34" i="2"/>
  <c r="D25" i="2"/>
  <c r="I34" i="2"/>
  <c r="H33" i="2"/>
  <c r="I36" i="2"/>
  <c r="I20" i="2"/>
  <c r="I37" i="2" s="1"/>
  <c r="J35" i="2"/>
  <c r="F30" i="2"/>
  <c r="G15" i="2" l="1"/>
  <c r="G21" i="2"/>
  <c r="G30" i="2" s="1"/>
  <c r="Q34" i="2"/>
  <c r="D26" i="2"/>
  <c r="D50" i="2"/>
  <c r="D52" i="2"/>
  <c r="D51" i="2"/>
  <c r="D53" i="2"/>
  <c r="J34" i="2"/>
  <c r="K20" i="2"/>
  <c r="J36" i="2"/>
  <c r="I33" i="2"/>
  <c r="J20" i="2"/>
  <c r="J37" i="2" s="1"/>
  <c r="K35" i="2"/>
  <c r="G29" i="2" l="1"/>
  <c r="H16" i="2" s="1"/>
  <c r="O33" i="2"/>
  <c r="R34" i="2"/>
  <c r="K34" i="2"/>
  <c r="E31" i="2"/>
  <c r="J33" i="2"/>
  <c r="K37" i="2"/>
  <c r="L35" i="2"/>
  <c r="K36" i="2"/>
  <c r="S34" i="2" l="1"/>
  <c r="E25" i="2"/>
  <c r="E39" i="2" s="1"/>
  <c r="L34" i="2"/>
  <c r="K33" i="2"/>
  <c r="M35" i="2"/>
  <c r="L36" i="2"/>
  <c r="L20" i="2"/>
  <c r="L37" i="2" s="1"/>
  <c r="H21" i="2" l="1"/>
  <c r="H30" i="2" s="1"/>
  <c r="H29" i="2"/>
  <c r="I16" i="2" s="1"/>
  <c r="H15" i="2"/>
  <c r="E26" i="2"/>
  <c r="M34" i="2"/>
  <c r="M36" i="2"/>
  <c r="M20" i="2"/>
  <c r="M37" i="2" s="1"/>
  <c r="N35" i="2"/>
  <c r="L33" i="2"/>
  <c r="O36" i="2" l="1"/>
  <c r="O20" i="2"/>
  <c r="N20" i="2"/>
  <c r="N37" i="2" s="1"/>
  <c r="P20" i="2"/>
  <c r="P35" i="2"/>
  <c r="N34" i="2"/>
  <c r="M33" i="2"/>
  <c r="F22" i="2"/>
  <c r="F23" i="2" s="1"/>
  <c r="N36" i="2"/>
  <c r="I29" i="2" l="1"/>
  <c r="J16" i="2" s="1"/>
  <c r="I21" i="2"/>
  <c r="I30" i="2" s="1"/>
  <c r="I15" i="2"/>
  <c r="O37" i="2"/>
  <c r="P37" i="2"/>
  <c r="Q35" i="2"/>
  <c r="P36" i="2"/>
  <c r="F31" i="2"/>
  <c r="N33" i="2"/>
  <c r="Q20" i="2" l="1"/>
  <c r="Q37" i="2" s="1"/>
  <c r="R20" i="2"/>
  <c r="Q36" i="2"/>
  <c r="R35" i="2"/>
  <c r="P33" i="2"/>
  <c r="F25" i="2"/>
  <c r="J21" i="2" l="1"/>
  <c r="J30" i="2" s="1"/>
  <c r="J15" i="2"/>
  <c r="J29" i="2"/>
  <c r="K16" i="2" s="1"/>
  <c r="R37" i="2"/>
  <c r="R36" i="2"/>
  <c r="S35" i="2"/>
  <c r="Q33" i="2"/>
  <c r="F26" i="2"/>
  <c r="F39" i="2"/>
  <c r="G22" i="2" s="1"/>
  <c r="G23" i="2" s="1"/>
  <c r="K21" i="2" l="1"/>
  <c r="K30" i="2" s="1"/>
  <c r="K15" i="2"/>
  <c r="K29" i="2"/>
  <c r="L16" i="2" s="1"/>
  <c r="S36" i="2"/>
  <c r="S20" i="2"/>
  <c r="R33" i="2"/>
  <c r="G31" i="2"/>
  <c r="L21" i="2" l="1"/>
  <c r="L30" i="2" s="1"/>
  <c r="L15" i="2"/>
  <c r="L29" i="2"/>
  <c r="M16" i="2" s="1"/>
  <c r="S37" i="2"/>
  <c r="S33" i="2"/>
  <c r="G25" i="2"/>
  <c r="M15" i="2" l="1"/>
  <c r="M21" i="2"/>
  <c r="M30" i="2" s="1"/>
  <c r="M29" i="2"/>
  <c r="N16" i="2" s="1"/>
  <c r="G39" i="2"/>
  <c r="H22" i="2" s="1"/>
  <c r="H23" i="2" s="1"/>
  <c r="G26" i="2"/>
  <c r="N29" i="2" l="1"/>
  <c r="O16" i="2" s="1"/>
  <c r="N15" i="2"/>
  <c r="N21" i="2"/>
  <c r="N30" i="2" s="1"/>
  <c r="H31" i="2"/>
  <c r="O29" i="2" l="1"/>
  <c r="P16" i="2" s="1"/>
  <c r="O15" i="2"/>
  <c r="O21" i="2"/>
  <c r="O30" i="2" s="1"/>
  <c r="H25" i="2"/>
  <c r="P29" i="2" l="1"/>
  <c r="Q16" i="2" s="1"/>
  <c r="P21" i="2"/>
  <c r="P30" i="2" s="1"/>
  <c r="P15" i="2"/>
  <c r="H26" i="2"/>
  <c r="H39" i="2"/>
  <c r="I22" i="2" s="1"/>
  <c r="I23" i="2" s="1"/>
  <c r="Q15" i="2" l="1"/>
  <c r="Q29" i="2"/>
  <c r="R16" i="2" s="1"/>
  <c r="Q21" i="2"/>
  <c r="Q30" i="2" s="1"/>
  <c r="I31" i="2"/>
  <c r="R21" i="2" l="1"/>
  <c r="R30" i="2" s="1"/>
  <c r="R15" i="2"/>
  <c r="R29" i="2"/>
  <c r="S16" i="2" s="1"/>
  <c r="I25" i="2"/>
  <c r="I26" i="2" s="1"/>
  <c r="I39" i="2" l="1"/>
  <c r="J22" i="2" s="1"/>
  <c r="J23" i="2" s="1"/>
  <c r="J24" i="2" s="1"/>
  <c r="S29" i="2"/>
  <c r="S21" i="2"/>
  <c r="S30" i="2" s="1"/>
  <c r="S15" i="2"/>
  <c r="J31" i="2" l="1"/>
  <c r="J25" i="2" l="1"/>
  <c r="J26" i="2" s="1"/>
  <c r="J39" i="2" l="1"/>
  <c r="K22" i="2" s="1"/>
  <c r="K23" i="2" s="1"/>
  <c r="K24" i="2" s="1"/>
  <c r="K31" i="2" l="1"/>
  <c r="K25" i="2" l="1"/>
  <c r="K26" i="2" l="1"/>
  <c r="K39" i="2"/>
  <c r="L22" i="2" l="1"/>
  <c r="L23" i="2" s="1"/>
  <c r="L24" i="2" s="1"/>
  <c r="L31" i="2" l="1"/>
  <c r="L25" i="2" l="1"/>
  <c r="L26" i="2" s="1"/>
  <c r="L39" i="2" l="1"/>
  <c r="M22" i="2" s="1"/>
  <c r="M23" i="2" s="1"/>
  <c r="M24" i="2" s="1"/>
  <c r="M31" i="2" l="1"/>
  <c r="M25" i="2" l="1"/>
  <c r="M26" i="2" s="1"/>
  <c r="M39" i="2" l="1"/>
  <c r="N22" i="2" s="1"/>
  <c r="N23" i="2" s="1"/>
  <c r="N24" i="2" s="1"/>
  <c r="N31" i="2" l="1"/>
  <c r="N25" i="2" l="1"/>
  <c r="N26" i="2" l="1"/>
  <c r="N39" i="2"/>
  <c r="O22" i="2" l="1"/>
  <c r="O23" i="2" s="1"/>
  <c r="O24" i="2" s="1"/>
  <c r="O31" i="2" l="1"/>
  <c r="O25" i="2" l="1"/>
  <c r="O26" i="2" s="1"/>
  <c r="O39" i="2"/>
  <c r="P22" i="2" s="1"/>
  <c r="P23" i="2" s="1"/>
  <c r="P24" i="2" l="1"/>
  <c r="P31" i="2" s="1"/>
  <c r="P25" i="2" l="1"/>
  <c r="P26" i="2" l="1"/>
  <c r="P39" i="2"/>
  <c r="Q22" i="2" s="1"/>
  <c r="Q23" i="2" s="1"/>
  <c r="Q24" i="2" s="1"/>
  <c r="Q31" i="2" s="1"/>
  <c r="Q25" i="2" l="1"/>
  <c r="Q26" i="2" s="1"/>
  <c r="Q39" i="2" l="1"/>
  <c r="R22" i="2"/>
  <c r="R23" i="2" s="1"/>
  <c r="R24" i="2" s="1"/>
  <c r="R31" i="2" l="1"/>
  <c r="R25" i="2" l="1"/>
  <c r="R26" i="2" s="1"/>
  <c r="R39" i="2" l="1"/>
  <c r="S22" i="2" s="1"/>
  <c r="S23" i="2" s="1"/>
  <c r="S24" i="2" s="1"/>
  <c r="S31" i="2" l="1"/>
  <c r="S25" i="2" l="1"/>
  <c r="T25" i="2" s="1"/>
  <c r="S26" i="2" l="1"/>
  <c r="S39" i="2"/>
  <c r="U25" i="2" l="1"/>
  <c r="V25" i="2" l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O25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EF25" i="2" s="1"/>
  <c r="EG25" i="2" s="1"/>
  <c r="EH25" i="2" s="1"/>
  <c r="EI25" i="2" s="1"/>
  <c r="EJ25" i="2" s="1"/>
  <c r="EK25" i="2" s="1"/>
  <c r="EL25" i="2" s="1"/>
  <c r="EM25" i="2" s="1"/>
  <c r="EN25" i="2" s="1"/>
  <c r="EO25" i="2" s="1"/>
  <c r="EP25" i="2" s="1"/>
  <c r="EQ25" i="2" s="1"/>
  <c r="ER25" i="2" s="1"/>
  <c r="ES25" i="2" s="1"/>
  <c r="ET25" i="2" s="1"/>
  <c r="EU25" i="2" s="1"/>
  <c r="EV25" i="2" s="1"/>
  <c r="EW25" i="2" s="1"/>
  <c r="EX25" i="2" s="1"/>
  <c r="EY25" i="2" s="1"/>
  <c r="EZ25" i="2" s="1"/>
  <c r="FA25" i="2" s="1"/>
  <c r="FB25" i="2" s="1"/>
  <c r="FC25" i="2" s="1"/>
  <c r="FD25" i="2" s="1"/>
  <c r="FE25" i="2" s="1"/>
  <c r="FF25" i="2" s="1"/>
  <c r="FG25" i="2" s="1"/>
  <c r="FH25" i="2" s="1"/>
  <c r="FI25" i="2" s="1"/>
  <c r="FJ25" i="2" s="1"/>
  <c r="FK25" i="2" s="1"/>
  <c r="FL25" i="2" s="1"/>
  <c r="FM25" i="2" s="1"/>
  <c r="FN25" i="2" s="1"/>
  <c r="FO25" i="2" s="1"/>
  <c r="FP25" i="2" s="1"/>
  <c r="FQ25" i="2" s="1"/>
  <c r="FR25" i="2" s="1"/>
  <c r="FS25" i="2" s="1"/>
  <c r="FT25" i="2" s="1"/>
  <c r="FU25" i="2" s="1"/>
  <c r="FV25" i="2" s="1"/>
  <c r="FW25" i="2" s="1"/>
  <c r="FX25" i="2" s="1"/>
  <c r="FY25" i="2" s="1"/>
  <c r="FZ25" i="2" s="1"/>
  <c r="GA25" i="2" s="1"/>
  <c r="GB25" i="2" s="1"/>
  <c r="GC25" i="2" s="1"/>
  <c r="GD25" i="2" s="1"/>
  <c r="GE25" i="2" s="1"/>
  <c r="GF25" i="2" s="1"/>
  <c r="GG25" i="2" s="1"/>
  <c r="GH25" i="2" s="1"/>
  <c r="GI25" i="2" s="1"/>
  <c r="GJ25" i="2" s="1"/>
  <c r="GK25" i="2" s="1"/>
  <c r="GL25" i="2" s="1"/>
  <c r="GM25" i="2" s="1"/>
  <c r="GN25" i="2" s="1"/>
  <c r="GO25" i="2" s="1"/>
  <c r="GP25" i="2" s="1"/>
  <c r="F5" i="2" l="1"/>
  <c r="F6" i="2" s="1"/>
  <c r="F7" i="2" s="1"/>
  <c r="G7" i="2" s="1"/>
</calcChain>
</file>

<file path=xl/sharedStrings.xml><?xml version="1.0" encoding="utf-8"?>
<sst xmlns="http://schemas.openxmlformats.org/spreadsheetml/2006/main" count="136" uniqueCount="91">
  <si>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</si>
  <si>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</si>
  <si>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</si>
  <si>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</si>
  <si>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</si>
  <si>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</si>
  <si>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</si>
  <si>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</si>
  <si>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</si>
  <si>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</si>
  <si>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</si>
  <si>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</si>
  <si>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</si>
  <si>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</si>
  <si>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</si>
  <si>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</si>
  <si>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</si>
  <si>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</si>
  <si>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</si>
  <si>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</si>
  <si>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</si>
  <si>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</si>
  <si>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</si>
  <si>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</si>
  <si>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</si>
  <si>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</si>
  <si>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</si>
  <si>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</si>
  <si>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</si>
  <si>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</si>
  <si>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</si>
  <si>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</si>
  <si>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</si>
  <si>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</si>
  <si>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</si>
  <si>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</si>
  <si>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</si>
  <si>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</si>
  <si>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</si>
  <si>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</si>
  <si>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</si>
  <si>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</si>
  <si>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</si>
  <si>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</si>
  <si>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</si>
  <si>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</si>
  <si>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</si>
  <si>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</si>
  <si>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</si>
  <si>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</si>
  <si>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</si>
  <si>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</si>
  <si>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</si>
  <si>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Investor Relations</t>
  </si>
  <si>
    <t>Operating Expenses y/y</t>
  </si>
  <si>
    <t>Q120</t>
  </si>
  <si>
    <t>Q420</t>
  </si>
  <si>
    <t>Q220</t>
  </si>
  <si>
    <t>Q320</t>
  </si>
  <si>
    <t>Sea Limited (SE)</t>
  </si>
  <si>
    <t>Digital entertainment</t>
  </si>
  <si>
    <t>E-commerce</t>
  </si>
  <si>
    <t>Other</t>
  </si>
  <si>
    <t>Digital entertainment y/y</t>
  </si>
  <si>
    <t>E-commerce y/y</t>
  </si>
  <si>
    <t>Other y/y</t>
  </si>
  <si>
    <t>Q117</t>
  </si>
  <si>
    <t>Q217</t>
  </si>
  <si>
    <t>Q317</t>
  </si>
  <si>
    <t>Q417</t>
  </si>
  <si>
    <t>MAU</t>
  </si>
  <si>
    <t>OE y/y</t>
  </si>
  <si>
    <t>PRODUCTS</t>
  </si>
  <si>
    <t>Garena</t>
  </si>
  <si>
    <t>Video game publisher</t>
  </si>
  <si>
    <t>www.garena.sg</t>
  </si>
  <si>
    <t>Free Fire</t>
  </si>
  <si>
    <t>Battle-royale mobile game</t>
  </si>
  <si>
    <t>ff.garena.com</t>
  </si>
  <si>
    <t>Games</t>
  </si>
  <si>
    <t>Shopee</t>
  </si>
  <si>
    <t>www.shopee.com</t>
  </si>
  <si>
    <t>Online shopping platform (SE Asia, Brazil)</t>
  </si>
  <si>
    <t>SeaMoney</t>
  </si>
  <si>
    <t>Payments and credit provider</t>
  </si>
  <si>
    <t>www.seamoney.com</t>
  </si>
  <si>
    <t>Forrest Li</t>
  </si>
  <si>
    <t>Gang Ye</t>
  </si>
  <si>
    <t>Revenue TTM</t>
  </si>
  <si>
    <t>Revenue TTM y/y</t>
  </si>
  <si>
    <t>NI 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</si>
</sst>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14" fontId="6" fillId="0" borderId="0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3" fontId="6" fillId="0" borderId="0" xfId="0" applyNumberFormat="1" applyFont="1" applyFill="1" applyBorder="1"/>
    <xf numFmtId="3" fontId="5" fillId="0" borderId="0" xfId="0" applyNumberFormat="1" applyFont="1" applyFill="1" applyBorder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4"/>
    <xf numFmtId="0" fontId="4" fillId="0" borderId="0" xfId="4" applyBorder="1"/>
    <xf numFmtId="9" fontId="6" fillId="0" borderId="0" xfId="0" applyNumberFormat="1" applyFont="1" applyBorder="1"/>
    <xf numFmtId="0" fontId="7" fillId="0" borderId="0" xfId="0" applyFont="1" applyAlignment="1">
      <alignment horizontal="right"/>
    </xf>
    <xf numFmtId="9" fontId="7" fillId="0" borderId="0" xfId="1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9" fontId="6" fillId="0" borderId="2" xfId="0" applyNumberFormat="1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8" fillId="0" borderId="0" xfId="0" applyFont="1" applyAlignment="1">
      <alignment horizontal="left"/>
    </xf>
    <xf numFmtId="0" fontId="4" fillId="0" borderId="0" xfId="4" applyAlignment="1">
      <alignment horizontal="left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9" fontId="5" fillId="0" borderId="0" xfId="0" applyNumberFormat="1" applyFont="1" applyBorder="1"/>
    <xf numFmtId="9" fontId="5" fillId="0" borderId="1" xfId="0" applyNumberFormat="1" applyFont="1" applyBorder="1" applyAlignment="1">
      <alignment horizontal="right"/>
    </xf>
    <xf numFmtId="9" fontId="5" fillId="0" borderId="0" xfId="0" applyNumberFormat="1" applyFont="1" applyBorder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154940</xdr:colOff>
      <xdr:row>7</xdr:row>
      <xdr:rowOff>152400</xdr:rowOff>
    </xdr:from>
    <xdr:to>
      <xdr:col>4</xdr:col>
      <xdr:colOff>154940</xdr:colOff>
      <xdr:row>58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178300" y="1290320"/>
          <a:ext cx="0" cy="81381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218017</xdr:colOff>
      <xdr:row>0</xdr:row>
      <xdr:rowOff>152400</xdr:rowOff>
    </xdr:from>
    <xdr:to>
      <xdr:col>16</xdr:col>
      <xdr:colOff>218017</xdr:colOff>
      <xdr:row>57</xdr:row>
      <xdr:rowOff>156307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4227094" y="152400"/>
          <a:ext cx="0" cy="947029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a.com/aboutus/leadership/management/ForrestLi" TargetMode="External"/><Relationship Id="rId2" Type="http://schemas.openxmlformats.org/officeDocument/2006/relationships/hyperlink" Target="https://www.sea.com/aboutus/leadership/management/ForrestLi" TargetMode="External"/><Relationship Id="rId1" Type="http://schemas.openxmlformats.org/officeDocument/2006/relationships/hyperlink" Target="https://www.sea.com/investor/home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sea.com/aboutus/leadership/management/GangY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1703399&amp;owner=exclud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hopee.com/" TargetMode="External"/><Relationship Id="rId2" Type="http://schemas.openxmlformats.org/officeDocument/2006/relationships/hyperlink" Target="https://ff.garena.com/" TargetMode="External"/><Relationship Id="rId1" Type="http://schemas.openxmlformats.org/officeDocument/2006/relationships/hyperlink" Target="http://www.garena.sg/" TargetMode="External"/><Relationship Id="rId4" Type="http://schemas.openxmlformats.org/officeDocument/2006/relationships/hyperlink" Target="http://www.seamone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P57"/>
  <sheetViews>
    <sheetView zoomScale="130" zoomScaleNormal="13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K20" sqref="K20"/>
    </sheetView>
  </sheetViews>
  <sheetFormatPr baseColWidth="10" defaultRowHeight="13" x14ac:dyDescent="0.15"/>
  <cols>
    <col min="1" max="1" width="20.33203125" style="3" bestFit="1" customWidth="1"/>
    <col min="2" max="4" width="10.83203125" style="3"/>
    <col min="5" max="5" width="10.83203125" style="3" customWidth="1"/>
    <col min="6" max="16384" width="10.83203125" style="3"/>
  </cols>
  <sheetData>
    <row r="1" spans="1:115" x14ac:dyDescent="0.15">
      <c r="A1" s="62" t="s">
        <v>53</v>
      </c>
      <c r="B1" s="2" t="s">
        <v>59</v>
      </c>
    </row>
    <row r="2" spans="1:115" x14ac:dyDescent="0.15">
      <c r="B2" s="3" t="s">
        <v>36</v>
      </c>
      <c r="C2" s="4">
        <v>235.69</v>
      </c>
      <c r="D2" s="59">
        <v>44253</v>
      </c>
      <c r="E2" s="6" t="s">
        <v>21</v>
      </c>
      <c r="F2" s="7">
        <v>-5.0000000000000001E-3</v>
      </c>
      <c r="I2" s="2"/>
    </row>
    <row r="3" spans="1:115" x14ac:dyDescent="0.15">
      <c r="A3" s="2" t="s">
        <v>34</v>
      </c>
      <c r="B3" s="3" t="s">
        <v>13</v>
      </c>
      <c r="C3" s="8">
        <f>Reports!P20</f>
        <v>491.13972000000001</v>
      </c>
      <c r="D3" s="60" t="s">
        <v>58</v>
      </c>
      <c r="E3" s="6" t="s">
        <v>22</v>
      </c>
      <c r="F3" s="7">
        <v>0.05</v>
      </c>
      <c r="G3" s="5"/>
    </row>
    <row r="4" spans="1:115" x14ac:dyDescent="0.15">
      <c r="A4" s="61" t="s">
        <v>86</v>
      </c>
      <c r="B4" s="3" t="s">
        <v>37</v>
      </c>
      <c r="C4" s="10">
        <f>C2*C3</f>
        <v>115756.72060680001</v>
      </c>
      <c r="D4" s="60"/>
      <c r="E4" s="6" t="s">
        <v>23</v>
      </c>
      <c r="F4" s="7">
        <v>0.06</v>
      </c>
      <c r="G4" s="5"/>
      <c r="I4" s="9"/>
    </row>
    <row r="5" spans="1:115" x14ac:dyDescent="0.15">
      <c r="B5" s="3" t="s">
        <v>18</v>
      </c>
      <c r="C5" s="8">
        <f>Reports!P32</f>
        <v>2567</v>
      </c>
      <c r="D5" s="60" t="s">
        <v>58</v>
      </c>
      <c r="E5" s="6" t="s">
        <v>24</v>
      </c>
      <c r="F5" s="11">
        <f>NPV(F4,E25:GP25)</f>
        <v>103329.58117182087</v>
      </c>
      <c r="G5" s="5"/>
    </row>
    <row r="6" spans="1:115" x14ac:dyDescent="0.15">
      <c r="A6" s="2" t="s">
        <v>35</v>
      </c>
      <c r="B6" s="3" t="s">
        <v>38</v>
      </c>
      <c r="C6" s="10">
        <f>C4-C5</f>
        <v>113189.72060680001</v>
      </c>
      <c r="D6" s="60"/>
      <c r="E6" s="12" t="s">
        <v>25</v>
      </c>
      <c r="F6" s="13">
        <f>F5+C5</f>
        <v>105896.58117182087</v>
      </c>
    </row>
    <row r="7" spans="1:115" x14ac:dyDescent="0.15">
      <c r="A7" s="61" t="s">
        <v>86</v>
      </c>
      <c r="B7" s="5" t="s">
        <v>39</v>
      </c>
      <c r="C7" s="41">
        <f>C6/C3</f>
        <v>230.46338139134829</v>
      </c>
      <c r="D7" s="60"/>
      <c r="E7" s="14" t="s">
        <v>39</v>
      </c>
      <c r="F7" s="40">
        <f>F6/C3</f>
        <v>215.61396250301416</v>
      </c>
      <c r="G7" s="19">
        <f>F7/C2-1</f>
        <v>-8.5179844274198446E-2</v>
      </c>
    </row>
    <row r="8" spans="1:115" x14ac:dyDescent="0.15">
      <c r="A8" s="61" t="s">
        <v>87</v>
      </c>
      <c r="C8" s="6"/>
      <c r="D8" s="15"/>
    </row>
    <row r="9" spans="1:115" x14ac:dyDescent="0.15">
      <c r="B9" s="38">
        <v>2017</v>
      </c>
      <c r="C9" s="38">
        <f t="shared" ref="C9:T9" si="0">B9+1</f>
        <v>2018</v>
      </c>
      <c r="D9" s="38">
        <f t="shared" si="0"/>
        <v>2019</v>
      </c>
      <c r="E9" s="38">
        <f t="shared" si="0"/>
        <v>2020</v>
      </c>
      <c r="F9" s="38">
        <f t="shared" si="0"/>
        <v>2021</v>
      </c>
      <c r="G9" s="38">
        <f t="shared" si="0"/>
        <v>2022</v>
      </c>
      <c r="H9" s="38">
        <f t="shared" si="0"/>
        <v>2023</v>
      </c>
      <c r="I9" s="38">
        <f t="shared" si="0"/>
        <v>2024</v>
      </c>
      <c r="J9" s="38">
        <f t="shared" si="0"/>
        <v>2025</v>
      </c>
      <c r="K9" s="38">
        <f t="shared" si="0"/>
        <v>2026</v>
      </c>
      <c r="L9" s="38">
        <f t="shared" si="0"/>
        <v>2027</v>
      </c>
      <c r="M9" s="38">
        <f t="shared" si="0"/>
        <v>2028</v>
      </c>
      <c r="N9" s="38">
        <f t="shared" si="0"/>
        <v>2029</v>
      </c>
      <c r="O9" s="38">
        <f t="shared" si="0"/>
        <v>2030</v>
      </c>
      <c r="P9" s="38">
        <f t="shared" si="0"/>
        <v>2031</v>
      </c>
      <c r="Q9" s="38">
        <f t="shared" si="0"/>
        <v>2032</v>
      </c>
      <c r="R9" s="38">
        <f t="shared" si="0"/>
        <v>2033</v>
      </c>
      <c r="S9" s="38">
        <f t="shared" si="0"/>
        <v>2034</v>
      </c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</row>
    <row r="10" spans="1:115" s="16" customFormat="1" x14ac:dyDescent="0.15">
      <c r="A10" s="8" t="s">
        <v>60</v>
      </c>
      <c r="B10" s="16">
        <f>SUM(Reports!B3:E3)</f>
        <v>365.16700000000003</v>
      </c>
      <c r="C10" s="16">
        <f>SUM(Reports!F3:I3)</f>
        <v>462.464</v>
      </c>
      <c r="D10" s="16">
        <f>SUM(Reports!J3:M3)</f>
        <v>1136.0169999999998</v>
      </c>
      <c r="E10" s="16">
        <f>SUM(Reports!N3:Q3)</f>
        <v>2049.9576000000002</v>
      </c>
      <c r="F10" s="16">
        <f>E10*(1+E55-0.15)</f>
        <v>3391.6817788517969</v>
      </c>
      <c r="G10" s="16">
        <f t="shared" ref="G10:I10" si="1">F10*(1+F55-0.15)</f>
        <v>5102.8297917451928</v>
      </c>
      <c r="H10" s="16">
        <f t="shared" si="1"/>
        <v>6911.8499871977538</v>
      </c>
      <c r="I10" s="16">
        <f t="shared" si="1"/>
        <v>8325.4141083910599</v>
      </c>
    </row>
    <row r="11" spans="1:115" s="16" customFormat="1" x14ac:dyDescent="0.15">
      <c r="A11" s="8" t="s">
        <v>61</v>
      </c>
      <c r="B11" s="16">
        <f>SUM(Reports!B4:E4)</f>
        <v>17.754000000000001</v>
      </c>
      <c r="C11" s="16">
        <f>SUM(Reports!F4:I4)</f>
        <v>112.35599999999999</v>
      </c>
      <c r="D11" s="16">
        <f>SUM(Reports!J4:M4)</f>
        <v>822.65899999999999</v>
      </c>
      <c r="E11" s="16">
        <f>SUM(Reports!N4:Q4)</f>
        <v>1773.0970000000002</v>
      </c>
      <c r="F11" s="16">
        <f>E11*1.3</f>
        <v>2305.0261000000005</v>
      </c>
      <c r="G11" s="16">
        <f t="shared" ref="G11:I11" si="2">F11*1.3</f>
        <v>2996.533930000001</v>
      </c>
      <c r="H11" s="16">
        <f t="shared" si="2"/>
        <v>3895.4941090000016</v>
      </c>
      <c r="I11" s="16">
        <f t="shared" si="2"/>
        <v>5064.1423417000024</v>
      </c>
    </row>
    <row r="12" spans="1:115" x14ac:dyDescent="0.15">
      <c r="A12" s="8" t="s">
        <v>62</v>
      </c>
      <c r="B12" s="16">
        <f>SUM(Reports!B5:E5)</f>
        <v>31.268999999999998</v>
      </c>
      <c r="C12" s="16">
        <f>SUM(Reports!F5:I5)</f>
        <v>252.14799999999997</v>
      </c>
      <c r="D12" s="16">
        <f>SUM(Reports!J5:M5)</f>
        <v>216.702</v>
      </c>
      <c r="E12" s="16">
        <f>SUM(Reports!N5:Q5)</f>
        <v>557.3075</v>
      </c>
      <c r="F12" s="16">
        <f>E12*(1+E57-0.25)</f>
        <v>1293.9393133888937</v>
      </c>
      <c r="G12" s="16">
        <f t="shared" ref="G12:I12" si="3">F12*(1+F57-0.25)</f>
        <v>2680.7434419224596</v>
      </c>
      <c r="H12" s="16">
        <f t="shared" si="3"/>
        <v>4883.6954746407082</v>
      </c>
      <c r="I12" s="16">
        <f t="shared" si="3"/>
        <v>7676.0414716418682</v>
      </c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</row>
    <row r="13" spans="1:115" s="37" customFormat="1" x14ac:dyDescent="0.15"/>
    <row r="14" spans="1:115" x14ac:dyDescent="0.15">
      <c r="A14" s="2" t="s">
        <v>0</v>
      </c>
      <c r="B14" s="24">
        <f>SUM(B10:B12)</f>
        <v>414.19000000000005</v>
      </c>
      <c r="C14" s="24">
        <f>SUM(C10:C12)</f>
        <v>826.96799999999985</v>
      </c>
      <c r="D14" s="24">
        <f>SUM(D10:D12)</f>
        <v>2175.3779999999997</v>
      </c>
      <c r="E14" s="24">
        <f>SUM(E10:E12)</f>
        <v>4380.3621000000003</v>
      </c>
      <c r="F14" s="43">
        <f>SUM(F10:F12)</f>
        <v>6990.6471922406909</v>
      </c>
      <c r="G14" s="43">
        <f t="shared" ref="G14:I14" si="4">SUM(G10:G12)</f>
        <v>10780.107163667653</v>
      </c>
      <c r="H14" s="43">
        <f t="shared" si="4"/>
        <v>15691.039570838464</v>
      </c>
      <c r="I14" s="43">
        <f t="shared" si="4"/>
        <v>21065.59792173293</v>
      </c>
      <c r="J14" s="43">
        <f>I14*1.15</f>
        <v>24225.437609992867</v>
      </c>
      <c r="K14" s="43">
        <f t="shared" ref="K14:N14" si="5">J14*1.15</f>
        <v>27859.253251491795</v>
      </c>
      <c r="L14" s="43">
        <f t="shared" si="5"/>
        <v>32038.141239215562</v>
      </c>
      <c r="M14" s="43">
        <f t="shared" si="5"/>
        <v>36843.86242509789</v>
      </c>
      <c r="N14" s="43">
        <f t="shared" si="5"/>
        <v>42370.441788862569</v>
      </c>
      <c r="O14" s="43">
        <f>N14*1.05</f>
        <v>44488.963878305702</v>
      </c>
      <c r="P14" s="43">
        <f t="shared" ref="P14:S14" si="6">O14*1.05</f>
        <v>46713.412072220992</v>
      </c>
      <c r="Q14" s="43">
        <f t="shared" si="6"/>
        <v>49049.08267583204</v>
      </c>
      <c r="R14" s="43">
        <f t="shared" si="6"/>
        <v>51501.536809623642</v>
      </c>
      <c r="S14" s="43">
        <f t="shared" si="6"/>
        <v>54076.613650104824</v>
      </c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</row>
    <row r="15" spans="1:115" x14ac:dyDescent="0.15">
      <c r="A15" s="3" t="s">
        <v>1</v>
      </c>
      <c r="B15" s="16">
        <f>SUM(Reports!B8:E8)</f>
        <v>326.87799999999999</v>
      </c>
      <c r="C15" s="16">
        <f>SUM(Reports!F8:I8)</f>
        <v>812.21</v>
      </c>
      <c r="D15" s="16">
        <f>SUM(Reports!J8:M8)</f>
        <v>1570.4580000000001</v>
      </c>
      <c r="E15" s="16">
        <f>SUM(Reports!N8:Q8)</f>
        <v>3036.8651843678226</v>
      </c>
      <c r="F15" s="23">
        <f t="shared" ref="F15" si="7">F14-F16</f>
        <v>4776.645614334213</v>
      </c>
      <c r="G15" s="23">
        <f t="shared" ref="G15:N15" si="8">G14-G16</f>
        <v>7258.1480585870031</v>
      </c>
      <c r="H15" s="23">
        <f t="shared" si="8"/>
        <v>10407.723765084653</v>
      </c>
      <c r="I15" s="23">
        <f>I14-I16</f>
        <v>13761.96343366088</v>
      </c>
      <c r="J15" s="23">
        <f t="shared" si="8"/>
        <v>15584.003572610081</v>
      </c>
      <c r="K15" s="23">
        <f t="shared" si="8"/>
        <v>17921.60410850159</v>
      </c>
      <c r="L15" s="23">
        <f t="shared" si="8"/>
        <v>20609.844724776827</v>
      </c>
      <c r="M15" s="23">
        <f t="shared" si="8"/>
        <v>23701.321433493351</v>
      </c>
      <c r="N15" s="23">
        <f t="shared" si="8"/>
        <v>27256.519648517351</v>
      </c>
      <c r="O15" s="23">
        <f t="shared" ref="O15" si="9">O14-O16</f>
        <v>28619.345630943219</v>
      </c>
      <c r="P15" s="23">
        <f t="shared" ref="P15:S15" si="10">P14-P16</f>
        <v>30050.312912490383</v>
      </c>
      <c r="Q15" s="23">
        <f t="shared" si="10"/>
        <v>31552.828558114903</v>
      </c>
      <c r="R15" s="23">
        <f t="shared" si="10"/>
        <v>33130.469986020646</v>
      </c>
      <c r="S15" s="23">
        <f t="shared" si="10"/>
        <v>34786.993485321684</v>
      </c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</row>
    <row r="16" spans="1:115" x14ac:dyDescent="0.15">
      <c r="A16" s="3" t="s">
        <v>2</v>
      </c>
      <c r="B16" s="26">
        <f>B14-B15</f>
        <v>87.312000000000069</v>
      </c>
      <c r="C16" s="26">
        <f>C14-C15</f>
        <v>14.757999999999811</v>
      </c>
      <c r="D16" s="26">
        <f>D14-D15</f>
        <v>604.91999999999962</v>
      </c>
      <c r="E16" s="26">
        <f>E14-E15</f>
        <v>1343.4969156321777</v>
      </c>
      <c r="F16" s="23">
        <f>F14*(E29+0.01)</f>
        <v>2214.0015779064784</v>
      </c>
      <c r="G16" s="23">
        <f t="shared" ref="G16:J16" si="11">G14*(F29+0.01)</f>
        <v>3521.9591050806507</v>
      </c>
      <c r="H16" s="23">
        <f t="shared" si="11"/>
        <v>5283.3158057538112</v>
      </c>
      <c r="I16" s="23">
        <f t="shared" si="11"/>
        <v>7303.6344880720499</v>
      </c>
      <c r="J16" s="23">
        <f t="shared" si="11"/>
        <v>8641.4340373827854</v>
      </c>
      <c r="K16" s="23">
        <f t="shared" ref="K16:T16" si="12">K14*J29</f>
        <v>9937.6491429902035</v>
      </c>
      <c r="L16" s="23">
        <f t="shared" si="12"/>
        <v>11428.296514438733</v>
      </c>
      <c r="M16" s="23">
        <f t="shared" si="12"/>
        <v>13142.540991604541</v>
      </c>
      <c r="N16" s="23">
        <f t="shared" si="12"/>
        <v>15113.922140345219</v>
      </c>
      <c r="O16" s="23">
        <f t="shared" si="12"/>
        <v>15869.618247362483</v>
      </c>
      <c r="P16" s="23">
        <f t="shared" si="12"/>
        <v>16663.099159730609</v>
      </c>
      <c r="Q16" s="23">
        <f t="shared" si="12"/>
        <v>17496.254117717137</v>
      </c>
      <c r="R16" s="23">
        <f t="shared" si="12"/>
        <v>18371.066823602992</v>
      </c>
      <c r="S16" s="23">
        <f t="shared" si="12"/>
        <v>19289.62016478314</v>
      </c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</row>
    <row r="17" spans="1:198" x14ac:dyDescent="0.15">
      <c r="A17" s="3" t="s">
        <v>3</v>
      </c>
      <c r="B17" s="16">
        <f>SUM(Reports!B10:E10)</f>
        <v>30</v>
      </c>
      <c r="C17" s="16">
        <f>SUM(Reports!F10:I10)</f>
        <v>68</v>
      </c>
      <c r="D17" s="16">
        <f>SUM(Reports!J10:M10)</f>
        <v>157</v>
      </c>
      <c r="E17" s="16">
        <f>SUM(Reports!N10:Q10)</f>
        <v>351.8</v>
      </c>
      <c r="F17" s="23">
        <f>E17*1.3</f>
        <v>457.34000000000003</v>
      </c>
      <c r="G17" s="23">
        <f t="shared" ref="G17:I17" si="13">F17*1.3</f>
        <v>594.54200000000003</v>
      </c>
      <c r="H17" s="23">
        <f t="shared" si="13"/>
        <v>772.90460000000007</v>
      </c>
      <c r="I17" s="23">
        <f t="shared" si="13"/>
        <v>1004.7759800000001</v>
      </c>
      <c r="J17" s="23">
        <f>I17*1.15</f>
        <v>1155.492377</v>
      </c>
      <c r="K17" s="23">
        <f t="shared" ref="K17:N17" si="14">J17*1.15</f>
        <v>1328.8162335499999</v>
      </c>
      <c r="L17" s="23">
        <f t="shared" si="14"/>
        <v>1528.1386685824998</v>
      </c>
      <c r="M17" s="23">
        <f t="shared" si="14"/>
        <v>1757.3594688698747</v>
      </c>
      <c r="N17" s="23">
        <f t="shared" si="14"/>
        <v>2020.9633892003558</v>
      </c>
      <c r="O17" s="23">
        <f>N17*1.1</f>
        <v>2223.0597281203914</v>
      </c>
      <c r="P17" s="23">
        <f t="shared" ref="P17:S17" si="15">O17*1.1</f>
        <v>2445.3657009324306</v>
      </c>
      <c r="Q17" s="23">
        <f t="shared" si="15"/>
        <v>2689.9022710256741</v>
      </c>
      <c r="R17" s="23">
        <f t="shared" si="15"/>
        <v>2958.8924981282416</v>
      </c>
      <c r="S17" s="23">
        <f t="shared" si="15"/>
        <v>3254.781747941066</v>
      </c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</row>
    <row r="18" spans="1:198" x14ac:dyDescent="0.15">
      <c r="A18" s="3" t="s">
        <v>4</v>
      </c>
      <c r="B18" s="16">
        <f>SUM(Reports!B11:E11)</f>
        <v>426</v>
      </c>
      <c r="C18" s="16">
        <f>SUM(Reports!F11:I11)</f>
        <v>704</v>
      </c>
      <c r="D18" s="16">
        <f>SUM(Reports!J11:M11)</f>
        <v>970</v>
      </c>
      <c r="E18" s="16">
        <f>SUM(Reports!N11:Q11)</f>
        <v>1849</v>
      </c>
      <c r="F18" s="23">
        <f>E18*1.3</f>
        <v>2403.7000000000003</v>
      </c>
      <c r="G18" s="23">
        <f t="shared" ref="G18:I18" si="16">F18*1.3</f>
        <v>3124.8100000000004</v>
      </c>
      <c r="H18" s="23">
        <f t="shared" si="16"/>
        <v>4062.2530000000006</v>
      </c>
      <c r="I18" s="23">
        <f t="shared" si="16"/>
        <v>5280.9289000000008</v>
      </c>
      <c r="J18" s="23">
        <f>I18*0.9</f>
        <v>4752.8360100000009</v>
      </c>
      <c r="K18" s="23">
        <f t="shared" ref="K18:N18" si="17">J18*0.9</f>
        <v>4277.5524090000008</v>
      </c>
      <c r="L18" s="23">
        <f t="shared" si="17"/>
        <v>3849.7971681000008</v>
      </c>
      <c r="M18" s="23">
        <f t="shared" si="17"/>
        <v>3464.8174512900009</v>
      </c>
      <c r="N18" s="23">
        <f t="shared" si="17"/>
        <v>3118.3357061610009</v>
      </c>
      <c r="O18" s="23">
        <f>N18*0.95</f>
        <v>2962.4189208529506</v>
      </c>
      <c r="P18" s="23">
        <f t="shared" ref="P18:S19" si="18">O18*0.95</f>
        <v>2814.297974810303</v>
      </c>
      <c r="Q18" s="23">
        <f t="shared" si="18"/>
        <v>2673.5830760697877</v>
      </c>
      <c r="R18" s="23">
        <f t="shared" si="18"/>
        <v>2539.9039222662982</v>
      </c>
      <c r="S18" s="23">
        <f t="shared" si="18"/>
        <v>2412.908726152983</v>
      </c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</row>
    <row r="19" spans="1:198" x14ac:dyDescent="0.15">
      <c r="A19" s="3" t="s">
        <v>5</v>
      </c>
      <c r="B19" s="16">
        <f>SUM(Reports!B12:E12)</f>
        <v>138</v>
      </c>
      <c r="C19" s="16">
        <f>SUM(Reports!F12:I12)</f>
        <v>240</v>
      </c>
      <c r="D19" s="16">
        <f>SUM(Reports!J12:M12)</f>
        <v>386</v>
      </c>
      <c r="E19" s="16">
        <f>SUM(Reports!N12:Q12)</f>
        <v>679</v>
      </c>
      <c r="F19" s="23">
        <f>E19*1.2</f>
        <v>814.8</v>
      </c>
      <c r="G19" s="23">
        <f t="shared" ref="G19:J19" si="19">F19*1.2</f>
        <v>977.75999999999988</v>
      </c>
      <c r="H19" s="23">
        <f t="shared" si="19"/>
        <v>1173.3119999999999</v>
      </c>
      <c r="I19" s="23">
        <f t="shared" si="19"/>
        <v>1407.9743999999998</v>
      </c>
      <c r="J19" s="23">
        <f>I19*1.15</f>
        <v>1619.1705599999998</v>
      </c>
      <c r="K19" s="23">
        <f t="shared" ref="K19:N19" si="20">J19*1.15</f>
        <v>1862.0461439999997</v>
      </c>
      <c r="L19" s="23">
        <f t="shared" si="20"/>
        <v>2141.3530655999994</v>
      </c>
      <c r="M19" s="23">
        <f t="shared" si="20"/>
        <v>2462.5560254399988</v>
      </c>
      <c r="N19" s="23">
        <f t="shared" si="20"/>
        <v>2831.9394292559987</v>
      </c>
      <c r="O19" s="23">
        <f t="shared" ref="L19:O19" si="21">N19*0.95</f>
        <v>2690.3424577931987</v>
      </c>
      <c r="P19" s="23">
        <f t="shared" si="18"/>
        <v>2555.8253349035385</v>
      </c>
      <c r="Q19" s="23">
        <f t="shared" si="18"/>
        <v>2428.0340681583616</v>
      </c>
      <c r="R19" s="23">
        <f t="shared" si="18"/>
        <v>2306.6323647504432</v>
      </c>
      <c r="S19" s="23">
        <f t="shared" si="18"/>
        <v>2191.3007465129208</v>
      </c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</row>
    <row r="20" spans="1:198" x14ac:dyDescent="0.15">
      <c r="A20" s="3" t="s">
        <v>6</v>
      </c>
      <c r="B20" s="26">
        <f t="shared" ref="B20:T20" si="22">SUM(B17:B19)</f>
        <v>594</v>
      </c>
      <c r="C20" s="26">
        <f t="shared" si="22"/>
        <v>1012</v>
      </c>
      <c r="D20" s="26">
        <f t="shared" si="22"/>
        <v>1513</v>
      </c>
      <c r="E20" s="26">
        <f t="shared" si="22"/>
        <v>2879.8</v>
      </c>
      <c r="F20" s="23">
        <f t="shared" si="22"/>
        <v>3675.84</v>
      </c>
      <c r="G20" s="23">
        <f t="shared" si="22"/>
        <v>4697.1120000000001</v>
      </c>
      <c r="H20" s="23">
        <f t="shared" si="22"/>
        <v>6008.4696000000004</v>
      </c>
      <c r="I20" s="23">
        <f t="shared" si="22"/>
        <v>7693.6792800000012</v>
      </c>
      <c r="J20" s="23">
        <f t="shared" si="22"/>
        <v>7527.498947000001</v>
      </c>
      <c r="K20" s="23">
        <f t="shared" si="22"/>
        <v>7468.4147865500008</v>
      </c>
      <c r="L20" s="23">
        <f t="shared" si="22"/>
        <v>7519.2889022825002</v>
      </c>
      <c r="M20" s="23">
        <f t="shared" si="22"/>
        <v>7684.7329455998743</v>
      </c>
      <c r="N20" s="23">
        <f t="shared" si="22"/>
        <v>7971.2385246173562</v>
      </c>
      <c r="O20" s="23">
        <f t="shared" si="22"/>
        <v>7875.8211067665397</v>
      </c>
      <c r="P20" s="23">
        <f t="shared" si="22"/>
        <v>7815.4890106462717</v>
      </c>
      <c r="Q20" s="23">
        <f t="shared" si="22"/>
        <v>7791.5194152538243</v>
      </c>
      <c r="R20" s="23">
        <f t="shared" si="22"/>
        <v>7805.4287851449826</v>
      </c>
      <c r="S20" s="23">
        <f t="shared" si="22"/>
        <v>7858.9912206069694</v>
      </c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</row>
    <row r="21" spans="1:198" x14ac:dyDescent="0.15">
      <c r="A21" s="3" t="s">
        <v>7</v>
      </c>
      <c r="B21" s="26">
        <f t="shared" ref="B21:T21" si="23">B16-B20</f>
        <v>-506.68799999999993</v>
      </c>
      <c r="C21" s="26">
        <f t="shared" si="23"/>
        <v>-997.24200000000019</v>
      </c>
      <c r="D21" s="26">
        <f t="shared" si="23"/>
        <v>-908.08000000000038</v>
      </c>
      <c r="E21" s="26">
        <f t="shared" si="23"/>
        <v>-1536.3030843678225</v>
      </c>
      <c r="F21" s="23">
        <f t="shared" si="23"/>
        <v>-1461.8384220935218</v>
      </c>
      <c r="G21" s="23">
        <f t="shared" si="23"/>
        <v>-1175.1528949193494</v>
      </c>
      <c r="H21" s="23">
        <f t="shared" si="23"/>
        <v>-725.15379424618914</v>
      </c>
      <c r="I21" s="23">
        <f t="shared" si="23"/>
        <v>-390.04479192795134</v>
      </c>
      <c r="J21" s="23">
        <f t="shared" si="23"/>
        <v>1113.9350903827844</v>
      </c>
      <c r="K21" s="23">
        <f t="shared" si="23"/>
        <v>2469.2343564402026</v>
      </c>
      <c r="L21" s="23">
        <f t="shared" si="23"/>
        <v>3909.0076121562324</v>
      </c>
      <c r="M21" s="23">
        <f t="shared" si="23"/>
        <v>5457.8080460046667</v>
      </c>
      <c r="N21" s="23">
        <f t="shared" si="23"/>
        <v>7142.6836157278631</v>
      </c>
      <c r="O21" s="23">
        <f t="shared" si="23"/>
        <v>7993.7971405959433</v>
      </c>
      <c r="P21" s="23">
        <f t="shared" si="23"/>
        <v>8847.6101490843375</v>
      </c>
      <c r="Q21" s="23">
        <f t="shared" si="23"/>
        <v>9704.7347024633127</v>
      </c>
      <c r="R21" s="23">
        <f t="shared" si="23"/>
        <v>10565.63803845801</v>
      </c>
      <c r="S21" s="23">
        <f t="shared" si="23"/>
        <v>11430.628944176171</v>
      </c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</row>
    <row r="22" spans="1:198" x14ac:dyDescent="0.15">
      <c r="A22" s="3" t="s">
        <v>8</v>
      </c>
      <c r="B22" s="16">
        <f>SUM(Reports!B15:E15)</f>
        <v>-42</v>
      </c>
      <c r="C22" s="16">
        <f>SUM(Reports!F15:I15)</f>
        <v>42</v>
      </c>
      <c r="D22" s="16">
        <f>SUM(Reports!J15:M15)</f>
        <v>-27</v>
      </c>
      <c r="E22" s="16">
        <f>SUM(Reports!N15:Q15)</f>
        <v>46</v>
      </c>
      <c r="F22" s="23">
        <f>E39*$F$3</f>
        <v>37.637569930023993</v>
      </c>
      <c r="G22" s="23">
        <f>F39*$F$3</f>
        <v>-33.572472678150895</v>
      </c>
      <c r="H22" s="23">
        <f>G39*$F$3</f>
        <v>-94.008741058025919</v>
      </c>
      <c r="I22" s="23">
        <f>H39*$F$3</f>
        <v>-134.96686782323667</v>
      </c>
      <c r="J22" s="23">
        <f>I39*$F$3</f>
        <v>-161.21745081079609</v>
      </c>
      <c r="K22" s="23">
        <f>J39*$F$3</f>
        <v>-120.72695112898657</v>
      </c>
      <c r="L22" s="23">
        <f>K39*$F$3</f>
        <v>-20.91538640325988</v>
      </c>
      <c r="M22" s="23">
        <f>L39*$F$3</f>
        <v>144.32853319124143</v>
      </c>
      <c r="N22" s="23">
        <f>M39*$F$3</f>
        <v>382.41933780706751</v>
      </c>
      <c r="O22" s="23">
        <f>N39*$F$3</f>
        <v>702.2362133323021</v>
      </c>
      <c r="P22" s="23">
        <f>O39*$F$3</f>
        <v>1071.8176308742525</v>
      </c>
      <c r="Q22" s="23">
        <f>P39*$F$3</f>
        <v>1493.3933115224927</v>
      </c>
      <c r="R22" s="23">
        <f>Q39*$F$3</f>
        <v>1969.3137521168894</v>
      </c>
      <c r="S22" s="23">
        <f>R39*$F$3</f>
        <v>2502.0492032163229</v>
      </c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</row>
    <row r="23" spans="1:198" x14ac:dyDescent="0.15">
      <c r="A23" s="3" t="s">
        <v>9</v>
      </c>
      <c r="B23" s="26">
        <f>B21+B22</f>
        <v>-548.68799999999987</v>
      </c>
      <c r="C23" s="26">
        <f>C21+C22</f>
        <v>-955.24200000000019</v>
      </c>
      <c r="D23" s="26">
        <f>D21+D22</f>
        <v>-935.08000000000038</v>
      </c>
      <c r="E23" s="26">
        <f>E21+E22</f>
        <v>-1490.3030843678225</v>
      </c>
      <c r="F23" s="23">
        <f>F21+F22</f>
        <v>-1424.2008521634978</v>
      </c>
      <c r="G23" s="23">
        <f t="shared" ref="G23" si="24">G21+G22</f>
        <v>-1208.7253675975003</v>
      </c>
      <c r="H23" s="23">
        <f t="shared" ref="H23" si="25">H21+H22</f>
        <v>-819.162535304215</v>
      </c>
      <c r="I23" s="23">
        <f t="shared" ref="I23" si="26">I21+I22</f>
        <v>-525.01165975118806</v>
      </c>
      <c r="J23" s="23">
        <f t="shared" ref="J23" si="27">J21+J22</f>
        <v>952.71763957198834</v>
      </c>
      <c r="K23" s="23">
        <f t="shared" ref="K23" si="28">K21+K22</f>
        <v>2348.5074053112162</v>
      </c>
      <c r="L23" s="23">
        <f t="shared" ref="L23" si="29">L21+L22</f>
        <v>3888.0922257529724</v>
      </c>
      <c r="M23" s="23">
        <f t="shared" ref="M23" si="30">M21+M22</f>
        <v>5602.1365791959079</v>
      </c>
      <c r="N23" s="23">
        <f t="shared" ref="N23" si="31">N21+N22</f>
        <v>7525.1029535349307</v>
      </c>
      <c r="O23" s="23">
        <f t="shared" ref="O23" si="32">O21+O22</f>
        <v>8696.0333539282456</v>
      </c>
      <c r="P23" s="23">
        <f t="shared" ref="P23:S23" si="33">P21+P22</f>
        <v>9919.4277799585907</v>
      </c>
      <c r="Q23" s="23">
        <f t="shared" si="33"/>
        <v>11198.128013985806</v>
      </c>
      <c r="R23" s="23">
        <f t="shared" si="33"/>
        <v>12534.9517905749</v>
      </c>
      <c r="S23" s="23">
        <f t="shared" si="33"/>
        <v>13932.678147392493</v>
      </c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</row>
    <row r="24" spans="1:198" x14ac:dyDescent="0.15">
      <c r="A24" s="3" t="s">
        <v>10</v>
      </c>
      <c r="B24" s="16">
        <f>SUM(Reports!B17:E17)</f>
        <v>11</v>
      </c>
      <c r="C24" s="16">
        <f>SUM(Reports!F17:I17)</f>
        <v>4</v>
      </c>
      <c r="D24" s="16">
        <f>SUM(Reports!J17:M17)</f>
        <v>85</v>
      </c>
      <c r="E24" s="16">
        <f>SUM(Reports!N17:Q17)</f>
        <v>155.94551703169768</v>
      </c>
      <c r="F24" s="23">
        <v>0</v>
      </c>
      <c r="G24" s="23">
        <v>0</v>
      </c>
      <c r="H24" s="23">
        <v>0</v>
      </c>
      <c r="I24" s="23">
        <v>0</v>
      </c>
      <c r="J24" s="23">
        <f t="shared" ref="F24:T24" si="34">J23*0.15</f>
        <v>142.90764593579826</v>
      </c>
      <c r="K24" s="23">
        <f t="shared" si="34"/>
        <v>352.27611079668242</v>
      </c>
      <c r="L24" s="23">
        <f t="shared" si="34"/>
        <v>583.21383386294588</v>
      </c>
      <c r="M24" s="23">
        <f t="shared" si="34"/>
        <v>840.32048687938618</v>
      </c>
      <c r="N24" s="23">
        <f t="shared" si="34"/>
        <v>1128.7654430302396</v>
      </c>
      <c r="O24" s="23">
        <f t="shared" si="34"/>
        <v>1304.4050030892367</v>
      </c>
      <c r="P24" s="23">
        <f t="shared" si="34"/>
        <v>1487.9141669937885</v>
      </c>
      <c r="Q24" s="23">
        <f t="shared" si="34"/>
        <v>1679.7192020978709</v>
      </c>
      <c r="R24" s="23">
        <f t="shared" si="34"/>
        <v>1880.2427685862349</v>
      </c>
      <c r="S24" s="23">
        <f t="shared" si="34"/>
        <v>2089.9017221088739</v>
      </c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</row>
    <row r="25" spans="1:198" s="2" customFormat="1" x14ac:dyDescent="0.15">
      <c r="A25" s="2" t="s">
        <v>11</v>
      </c>
      <c r="B25" s="24">
        <f>B23-B24</f>
        <v>-559.68799999999987</v>
      </c>
      <c r="C25" s="24">
        <f>C23-C24</f>
        <v>-959.24200000000019</v>
      </c>
      <c r="D25" s="24">
        <f t="shared" ref="D25:F25" si="35">D23-D24</f>
        <v>-1020.0800000000004</v>
      </c>
      <c r="E25" s="24">
        <f>E23-E24</f>
        <v>-1646.2486013995201</v>
      </c>
      <c r="F25" s="24">
        <f t="shared" si="35"/>
        <v>-1424.2008521634978</v>
      </c>
      <c r="G25" s="24">
        <f t="shared" ref="G25:N25" si="36">G23-G24</f>
        <v>-1208.7253675975003</v>
      </c>
      <c r="H25" s="24">
        <f t="shared" si="36"/>
        <v>-819.162535304215</v>
      </c>
      <c r="I25" s="24">
        <f t="shared" si="36"/>
        <v>-525.01165975118806</v>
      </c>
      <c r="J25" s="24">
        <f t="shared" si="36"/>
        <v>809.80999363619003</v>
      </c>
      <c r="K25" s="24">
        <f t="shared" si="36"/>
        <v>1996.2312945145338</v>
      </c>
      <c r="L25" s="24">
        <f t="shared" si="36"/>
        <v>3304.8783918900263</v>
      </c>
      <c r="M25" s="24">
        <f t="shared" si="36"/>
        <v>4761.8160923165215</v>
      </c>
      <c r="N25" s="24">
        <f t="shared" si="36"/>
        <v>6396.3375105046907</v>
      </c>
      <c r="O25" s="24">
        <f t="shared" ref="O25" si="37">O23-O24</f>
        <v>7391.6283508390088</v>
      </c>
      <c r="P25" s="24">
        <f t="shared" ref="P25:S25" si="38">P23-P24</f>
        <v>8431.5136129648017</v>
      </c>
      <c r="Q25" s="24">
        <f t="shared" si="38"/>
        <v>9518.4088118879354</v>
      </c>
      <c r="R25" s="24">
        <f t="shared" si="38"/>
        <v>10654.709021988665</v>
      </c>
      <c r="S25" s="24">
        <f t="shared" si="38"/>
        <v>11842.776425283619</v>
      </c>
      <c r="T25" s="24">
        <f>S25*($F$2+1)</f>
        <v>11783.562543157201</v>
      </c>
      <c r="U25" s="24">
        <f>T25*($F$2+1)</f>
        <v>11724.644730441414</v>
      </c>
      <c r="V25" s="24">
        <f>U25*($F$2+1)</f>
        <v>11666.021506789208</v>
      </c>
      <c r="W25" s="24">
        <f>V25*($F$2+1)</f>
        <v>11607.691399255262</v>
      </c>
      <c r="X25" s="24">
        <f>W25*($F$2+1)</f>
        <v>11549.652942258985</v>
      </c>
      <c r="Y25" s="24">
        <f>X25*($F$2+1)</f>
        <v>11491.904677547689</v>
      </c>
      <c r="Z25" s="24">
        <f>Y25*($F$2+1)</f>
        <v>11434.44515415995</v>
      </c>
      <c r="AA25" s="24">
        <f>Z25*($F$2+1)</f>
        <v>11377.272928389149</v>
      </c>
      <c r="AB25" s="24">
        <f>AA25*($F$2+1)</f>
        <v>11320.386563747204</v>
      </c>
      <c r="AC25" s="24">
        <f>AB25*($F$2+1)</f>
        <v>11263.784630928469</v>
      </c>
      <c r="AD25" s="24">
        <f>AC25*($F$2+1)</f>
        <v>11207.465707773827</v>
      </c>
      <c r="AE25" s="24">
        <f>AD25*($F$2+1)</f>
        <v>11151.428379234958</v>
      </c>
      <c r="AF25" s="24">
        <f>AE25*($F$2+1)</f>
        <v>11095.671237338784</v>
      </c>
      <c r="AG25" s="24">
        <f>AF25*($F$2+1)</f>
        <v>11040.19288115209</v>
      </c>
      <c r="AH25" s="24">
        <f>AG25*($F$2+1)</f>
        <v>10984.99191674633</v>
      </c>
      <c r="AI25" s="24">
        <f>AH25*($F$2+1)</f>
        <v>10930.066957162599</v>
      </c>
      <c r="AJ25" s="24">
        <f>AI25*($F$2+1)</f>
        <v>10875.416622376786</v>
      </c>
      <c r="AK25" s="24">
        <f>AJ25*($F$2+1)</f>
        <v>10821.039539264902</v>
      </c>
      <c r="AL25" s="24">
        <f>AK25*($F$2+1)</f>
        <v>10766.934341568578</v>
      </c>
      <c r="AM25" s="24">
        <f>AL25*($F$2+1)</f>
        <v>10713.099669860736</v>
      </c>
      <c r="AN25" s="24">
        <f>AM25*($F$2+1)</f>
        <v>10659.534171511432</v>
      </c>
      <c r="AO25" s="24">
        <f>AN25*($F$2+1)</f>
        <v>10606.236500653875</v>
      </c>
      <c r="AP25" s="24">
        <f>AO25*($F$2+1)</f>
        <v>10553.205318150605</v>
      </c>
      <c r="AQ25" s="24">
        <f>AP25*($F$2+1)</f>
        <v>10500.439291559853</v>
      </c>
      <c r="AR25" s="24">
        <f>AQ25*($F$2+1)</f>
        <v>10447.937095102054</v>
      </c>
      <c r="AS25" s="24">
        <f>AR25*($F$2+1)</f>
        <v>10395.697409626544</v>
      </c>
      <c r="AT25" s="24">
        <f>AS25*($F$2+1)</f>
        <v>10343.718922578411</v>
      </c>
      <c r="AU25" s="24">
        <f>AT25*($F$2+1)</f>
        <v>10292.000327965519</v>
      </c>
      <c r="AV25" s="24">
        <f>AU25*($F$2+1)</f>
        <v>10240.540326325692</v>
      </c>
      <c r="AW25" s="24">
        <f>AV25*($F$2+1)</f>
        <v>10189.337624694064</v>
      </c>
      <c r="AX25" s="24">
        <f>AW25*($F$2+1)</f>
        <v>10138.390936570593</v>
      </c>
      <c r="AY25" s="24">
        <f>AX25*($F$2+1)</f>
        <v>10087.698981887741</v>
      </c>
      <c r="AZ25" s="24">
        <f>AY25*($F$2+1)</f>
        <v>10037.260486978303</v>
      </c>
      <c r="BA25" s="24">
        <f>AZ25*($F$2+1)</f>
        <v>9987.0741845434113</v>
      </c>
      <c r="BB25" s="24">
        <f>BA25*($F$2+1)</f>
        <v>9937.1388136206933</v>
      </c>
      <c r="BC25" s="24">
        <f>BB25*($F$2+1)</f>
        <v>9887.4531195525906</v>
      </c>
      <c r="BD25" s="24">
        <f>BC25*($F$2+1)</f>
        <v>9838.0158539548283</v>
      </c>
      <c r="BE25" s="24">
        <f>BD25*($F$2+1)</f>
        <v>9788.8257746850541</v>
      </c>
      <c r="BF25" s="24">
        <f>BE25*($F$2+1)</f>
        <v>9739.8816458116289</v>
      </c>
      <c r="BG25" s="24">
        <f>BF25*($F$2+1)</f>
        <v>9691.1822375825705</v>
      </c>
      <c r="BH25" s="24">
        <f>BG25*($F$2+1)</f>
        <v>9642.726326394657</v>
      </c>
      <c r="BI25" s="24">
        <f>BH25*($F$2+1)</f>
        <v>9594.5126947626832</v>
      </c>
      <c r="BJ25" s="24">
        <f>BI25*($F$2+1)</f>
        <v>9546.5401312888698</v>
      </c>
      <c r="BK25" s="24">
        <f>BJ25*($F$2+1)</f>
        <v>9498.8074306324252</v>
      </c>
      <c r="BL25" s="24">
        <f>BK25*($F$2+1)</f>
        <v>9451.3133934792622</v>
      </c>
      <c r="BM25" s="24">
        <f>BL25*($F$2+1)</f>
        <v>9404.0568265118654</v>
      </c>
      <c r="BN25" s="24">
        <f>BM25*($F$2+1)</f>
        <v>9357.0365423793064</v>
      </c>
      <c r="BO25" s="24">
        <f>BN25*($F$2+1)</f>
        <v>9310.2513596674107</v>
      </c>
      <c r="BP25" s="24">
        <f>BO25*($F$2+1)</f>
        <v>9263.7001028690738</v>
      </c>
      <c r="BQ25" s="24">
        <f>BP25*($F$2+1)</f>
        <v>9217.3816023547279</v>
      </c>
      <c r="BR25" s="24">
        <f>BQ25*($F$2+1)</f>
        <v>9171.2946943429542</v>
      </c>
      <c r="BS25" s="24">
        <f>BR25*($F$2+1)</f>
        <v>9125.4382208712395</v>
      </c>
      <c r="BT25" s="24">
        <f>BS25*($F$2+1)</f>
        <v>9079.8110297668827</v>
      </c>
      <c r="BU25" s="24">
        <f>BT25*($F$2+1)</f>
        <v>9034.4119746180477</v>
      </c>
      <c r="BV25" s="24">
        <f>BU25*($F$2+1)</f>
        <v>8989.2399147449578</v>
      </c>
      <c r="BW25" s="24">
        <f>BV25*($F$2+1)</f>
        <v>8944.2937151712322</v>
      </c>
      <c r="BX25" s="24">
        <f>BW25*($F$2+1)</f>
        <v>8899.5722465953768</v>
      </c>
      <c r="BY25" s="24">
        <f>BX25*($F$2+1)</f>
        <v>8855.074385362399</v>
      </c>
      <c r="BZ25" s="24">
        <f>BY25*($F$2+1)</f>
        <v>8810.7990134355878</v>
      </c>
      <c r="CA25" s="24">
        <f>BZ25*($F$2+1)</f>
        <v>8766.7450183684105</v>
      </c>
      <c r="CB25" s="24">
        <f>CA25*($F$2+1)</f>
        <v>8722.9112932765693</v>
      </c>
      <c r="CC25" s="24">
        <f>CB25*($F$2+1)</f>
        <v>8679.2967368101872</v>
      </c>
      <c r="CD25" s="24">
        <f>CC25*($F$2+1)</f>
        <v>8635.9002531261358</v>
      </c>
      <c r="CE25" s="24">
        <f>CD25*($F$2+1)</f>
        <v>8592.7207518605046</v>
      </c>
      <c r="CF25" s="24">
        <f>CE25*($F$2+1)</f>
        <v>8549.7571481012019</v>
      </c>
      <c r="CG25" s="24">
        <f>CF25*($F$2+1)</f>
        <v>8507.0083623606952</v>
      </c>
      <c r="CH25" s="24">
        <f>CG25*($F$2+1)</f>
        <v>8464.4733205488919</v>
      </c>
      <c r="CI25" s="24">
        <f>CH25*($F$2+1)</f>
        <v>8422.1509539461476</v>
      </c>
      <c r="CJ25" s="24">
        <f>CI25*($F$2+1)</f>
        <v>8380.0401991764174</v>
      </c>
      <c r="CK25" s="24">
        <f>CJ25*($F$2+1)</f>
        <v>8338.1399981805353</v>
      </c>
      <c r="CL25" s="24">
        <f>CK25*($F$2+1)</f>
        <v>8296.4492981896328</v>
      </c>
      <c r="CM25" s="24">
        <f>CL25*($F$2+1)</f>
        <v>8254.9670516986844</v>
      </c>
      <c r="CN25" s="24">
        <f>CM25*($F$2+1)</f>
        <v>8213.6922164401913</v>
      </c>
      <c r="CO25" s="24">
        <f>CN25*($F$2+1)</f>
        <v>8172.6237553579904</v>
      </c>
      <c r="CP25" s="24">
        <f>CO25*($F$2+1)</f>
        <v>8131.7606365812007</v>
      </c>
      <c r="CQ25" s="24">
        <f>CP25*($F$2+1)</f>
        <v>8091.1018333982947</v>
      </c>
      <c r="CR25" s="24">
        <f>CQ25*($F$2+1)</f>
        <v>8050.646324231303</v>
      </c>
      <c r="CS25" s="24">
        <f>CR25*($F$2+1)</f>
        <v>8010.3930926101466</v>
      </c>
      <c r="CT25" s="24">
        <f>CS25*($F$2+1)</f>
        <v>7970.3411271470959</v>
      </c>
      <c r="CU25" s="24">
        <f>CT25*($F$2+1)</f>
        <v>7930.48942151136</v>
      </c>
      <c r="CV25" s="24">
        <f>CU25*($F$2+1)</f>
        <v>7890.8369744038027</v>
      </c>
      <c r="CW25" s="24">
        <f>CV25*($F$2+1)</f>
        <v>7851.3827895317836</v>
      </c>
      <c r="CX25" s="24">
        <f>CW25*($F$2+1)</f>
        <v>7812.1258755841245</v>
      </c>
      <c r="CY25" s="24">
        <f>CX25*($F$2+1)</f>
        <v>7773.0652462062035</v>
      </c>
      <c r="CZ25" s="24">
        <f>CY25*($F$2+1)</f>
        <v>7734.1999199751726</v>
      </c>
      <c r="DA25" s="24">
        <f>CZ25*($F$2+1)</f>
        <v>7695.5289203752964</v>
      </c>
      <c r="DB25" s="24">
        <f>DA25*($F$2+1)</f>
        <v>7657.0512757734195</v>
      </c>
      <c r="DC25" s="24">
        <f>DB25*($F$2+1)</f>
        <v>7618.7660193945521</v>
      </c>
      <c r="DD25" s="24">
        <f>DC25*($F$2+1)</f>
        <v>7580.6721892975793</v>
      </c>
      <c r="DE25" s="24">
        <f>DD25*($F$2+1)</f>
        <v>7542.7688283510915</v>
      </c>
      <c r="DF25" s="24">
        <f>DE25*($F$2+1)</f>
        <v>7505.054984209336</v>
      </c>
      <c r="DG25" s="24">
        <f>DF25*($F$2+1)</f>
        <v>7467.5297092882893</v>
      </c>
      <c r="DH25" s="24">
        <f>DG25*($F$2+1)</f>
        <v>7430.1920607418479</v>
      </c>
      <c r="DI25" s="24">
        <f>DH25*($F$2+1)</f>
        <v>7393.0411004381385</v>
      </c>
      <c r="DJ25" s="24">
        <f>DI25*($F$2+1)</f>
        <v>7356.0758949359479</v>
      </c>
      <c r="DK25" s="24">
        <f>DJ25*($F$2+1)</f>
        <v>7319.2955154612682</v>
      </c>
      <c r="DL25" s="24">
        <f>DK25*($F$2+1)</f>
        <v>7282.6990378839619</v>
      </c>
      <c r="DM25" s="24">
        <f>DL25*($F$2+1)</f>
        <v>7246.2855426945416</v>
      </c>
      <c r="DN25" s="24">
        <f>DM25*($F$2+1)</f>
        <v>7210.0541149810688</v>
      </c>
      <c r="DO25" s="24">
        <f>DN25*($F$2+1)</f>
        <v>7174.0038444061638</v>
      </c>
      <c r="DP25" s="24">
        <f>DO25*($F$2+1)</f>
        <v>7138.1338251841325</v>
      </c>
      <c r="DQ25" s="24">
        <f>DP25*($F$2+1)</f>
        <v>7102.4431560582116</v>
      </c>
      <c r="DR25" s="24">
        <f>DQ25*($F$2+1)</f>
        <v>7066.9309402779209</v>
      </c>
      <c r="DS25" s="24">
        <f>DR25*($F$2+1)</f>
        <v>7031.596285576531</v>
      </c>
      <c r="DT25" s="24">
        <f>DS25*($F$2+1)</f>
        <v>6996.4383041486481</v>
      </c>
      <c r="DU25" s="24">
        <f>DT25*($F$2+1)</f>
        <v>6961.456112627905</v>
      </c>
      <c r="DV25" s="24">
        <f>DU25*($F$2+1)</f>
        <v>6926.6488320647659</v>
      </c>
      <c r="DW25" s="24">
        <f>DV25*($F$2+1)</f>
        <v>6892.0155879044423</v>
      </c>
      <c r="DX25" s="24">
        <f>DW25*($F$2+1)</f>
        <v>6857.55550996492</v>
      </c>
      <c r="DY25" s="24">
        <f>DX25*($F$2+1)</f>
        <v>6823.2677324150955</v>
      </c>
      <c r="DZ25" s="24">
        <f>DY25*($F$2+1)</f>
        <v>6789.1513937530199</v>
      </c>
      <c r="EA25" s="24">
        <f>DZ25*($F$2+1)</f>
        <v>6755.2056367842551</v>
      </c>
      <c r="EB25" s="24">
        <f>EA25*($F$2+1)</f>
        <v>6721.4296086003342</v>
      </c>
      <c r="EC25" s="24">
        <f>EB25*($F$2+1)</f>
        <v>6687.8224605573323</v>
      </c>
      <c r="ED25" s="24">
        <f>EC25*($F$2+1)</f>
        <v>6654.383348254546</v>
      </c>
      <c r="EE25" s="24">
        <f>ED25*($F$2+1)</f>
        <v>6621.1114315132736</v>
      </c>
      <c r="EF25" s="24">
        <f>EE25*($F$2+1)</f>
        <v>6588.0058743557074</v>
      </c>
      <c r="EG25" s="24">
        <f>EF25*($F$2+1)</f>
        <v>6555.0658449839284</v>
      </c>
      <c r="EH25" s="24">
        <f>EG25*($F$2+1)</f>
        <v>6522.2905157590085</v>
      </c>
      <c r="EI25" s="24">
        <f>EH25*($F$2+1)</f>
        <v>6489.6790631802132</v>
      </c>
      <c r="EJ25" s="24">
        <f>EI25*($F$2+1)</f>
        <v>6457.2306678643117</v>
      </c>
      <c r="EK25" s="24">
        <f>EJ25*($F$2+1)</f>
        <v>6424.9445145249902</v>
      </c>
      <c r="EL25" s="24">
        <f>EK25*($F$2+1)</f>
        <v>6392.8197919523654</v>
      </c>
      <c r="EM25" s="24">
        <f>EL25*($F$2+1)</f>
        <v>6360.8556929926035</v>
      </c>
      <c r="EN25" s="24">
        <f>EM25*($F$2+1)</f>
        <v>6329.0514145276402</v>
      </c>
      <c r="EO25" s="24">
        <f>EN25*($F$2+1)</f>
        <v>6297.4061574550024</v>
      </c>
      <c r="EP25" s="24">
        <f>EO25*($F$2+1)</f>
        <v>6265.9191266677271</v>
      </c>
      <c r="EQ25" s="24">
        <f>EP25*($F$2+1)</f>
        <v>6234.5895310343885</v>
      </c>
      <c r="ER25" s="24">
        <f>EQ25*($F$2+1)</f>
        <v>6203.4165833792167</v>
      </c>
      <c r="ES25" s="24">
        <f>ER25*($F$2+1)</f>
        <v>6172.3995004623202</v>
      </c>
      <c r="ET25" s="24">
        <f>ES25*($F$2+1)</f>
        <v>6141.5375029600082</v>
      </c>
      <c r="EU25" s="24">
        <f>ET25*($F$2+1)</f>
        <v>6110.8298154452077</v>
      </c>
      <c r="EV25" s="24">
        <f>EU25*($F$2+1)</f>
        <v>6080.275666367982</v>
      </c>
      <c r="EW25" s="24">
        <f>EV25*($F$2+1)</f>
        <v>6049.8742880361424</v>
      </c>
      <c r="EX25" s="24">
        <f>EW25*($F$2+1)</f>
        <v>6019.6249165959616</v>
      </c>
      <c r="EY25" s="24">
        <f>EX25*($F$2+1)</f>
        <v>5989.5267920129818</v>
      </c>
      <c r="EZ25" s="24">
        <f>EY25*($F$2+1)</f>
        <v>5959.5791580529167</v>
      </c>
      <c r="FA25" s="24">
        <f>EZ25*($F$2+1)</f>
        <v>5929.7812622626525</v>
      </c>
      <c r="FB25" s="24">
        <f>FA25*($F$2+1)</f>
        <v>5900.1323559513394</v>
      </c>
      <c r="FC25" s="24">
        <f>FB25*($F$2+1)</f>
        <v>5870.6316941715822</v>
      </c>
      <c r="FD25" s="24">
        <f>FC25*($F$2+1)</f>
        <v>5841.2785357007242</v>
      </c>
      <c r="FE25" s="24">
        <f>FD25*($F$2+1)</f>
        <v>5812.0721430222202</v>
      </c>
      <c r="FF25" s="24">
        <f>FE25*($F$2+1)</f>
        <v>5783.0117823071087</v>
      </c>
      <c r="FG25" s="24">
        <f>FF25*($F$2+1)</f>
        <v>5754.0967233955735</v>
      </c>
      <c r="FH25" s="24">
        <f>FG25*($F$2+1)</f>
        <v>5725.3262397785957</v>
      </c>
      <c r="FI25" s="24">
        <f>FH25*($F$2+1)</f>
        <v>5696.6996085797027</v>
      </c>
      <c r="FJ25" s="24">
        <f>FI25*($F$2+1)</f>
        <v>5668.2161105368041</v>
      </c>
      <c r="FK25" s="24">
        <f>FJ25*($F$2+1)</f>
        <v>5639.8750299841204</v>
      </c>
      <c r="FL25" s="24">
        <f>FK25*($F$2+1)</f>
        <v>5611.6756548342</v>
      </c>
      <c r="FM25" s="24">
        <f>FL25*($F$2+1)</f>
        <v>5583.6172765600286</v>
      </c>
      <c r="FN25" s="24">
        <f>FM25*($F$2+1)</f>
        <v>5555.699190177228</v>
      </c>
      <c r="FO25" s="24">
        <f>FN25*($F$2+1)</f>
        <v>5527.9206942263418</v>
      </c>
      <c r="FP25" s="24">
        <f>FO25*($F$2+1)</f>
        <v>5500.2810907552102</v>
      </c>
      <c r="FQ25" s="24">
        <f>FP25*($F$2+1)</f>
        <v>5472.7796853014343</v>
      </c>
      <c r="FR25" s="24">
        <f>FQ25*($F$2+1)</f>
        <v>5445.4157868749271</v>
      </c>
      <c r="FS25" s="24">
        <f>FR25*($F$2+1)</f>
        <v>5418.1887079405524</v>
      </c>
      <c r="FT25" s="24">
        <f>FS25*($F$2+1)</f>
        <v>5391.0977644008499</v>
      </c>
      <c r="FU25" s="24">
        <f>FT25*($F$2+1)</f>
        <v>5364.1422755788453</v>
      </c>
      <c r="FV25" s="24">
        <f>FU25*($F$2+1)</f>
        <v>5337.3215642009509</v>
      </c>
      <c r="FW25" s="24">
        <f>FV25*($F$2+1)</f>
        <v>5310.6349563799458</v>
      </c>
      <c r="FX25" s="24">
        <f>FW25*($F$2+1)</f>
        <v>5284.0817815980463</v>
      </c>
      <c r="FY25" s="24">
        <f>FX25*($F$2+1)</f>
        <v>5257.6613726900559</v>
      </c>
      <c r="FZ25" s="24">
        <f>FY25*($F$2+1)</f>
        <v>5231.3730658266059</v>
      </c>
      <c r="GA25" s="24">
        <f>FZ25*($F$2+1)</f>
        <v>5205.2162004974725</v>
      </c>
      <c r="GB25" s="24">
        <f>GA25*($F$2+1)</f>
        <v>5179.1901194949851</v>
      </c>
      <c r="GC25" s="24">
        <f>GB25*($F$2+1)</f>
        <v>5153.2941688975097</v>
      </c>
      <c r="GD25" s="24">
        <f>GC25*($F$2+1)</f>
        <v>5127.5276980530225</v>
      </c>
      <c r="GE25" s="24">
        <f>GD25*($F$2+1)</f>
        <v>5101.8900595627574</v>
      </c>
      <c r="GF25" s="24">
        <f>GE25*($F$2+1)</f>
        <v>5076.3806092649438</v>
      </c>
      <c r="GG25" s="24">
        <f>GF25*($F$2+1)</f>
        <v>5050.9987062186192</v>
      </c>
      <c r="GH25" s="24">
        <f>GG25*($F$2+1)</f>
        <v>5025.7437126875257</v>
      </c>
      <c r="GI25" s="24">
        <f>GH25*($F$2+1)</f>
        <v>5000.6149941240883</v>
      </c>
      <c r="GJ25" s="24">
        <f>GI25*($F$2+1)</f>
        <v>4975.6119191534681</v>
      </c>
      <c r="GK25" s="24">
        <f>GJ25*($F$2+1)</f>
        <v>4950.7338595577003</v>
      </c>
      <c r="GL25" s="24">
        <f>GK25*($F$2+1)</f>
        <v>4925.980190259912</v>
      </c>
      <c r="GM25" s="24">
        <f>GL25*($F$2+1)</f>
        <v>4901.3502893086124</v>
      </c>
      <c r="GN25" s="24">
        <f>GM25*($F$2+1)</f>
        <v>4876.8435378620698</v>
      </c>
      <c r="GO25" s="24">
        <f>GN25*($F$2+1)</f>
        <v>4852.4593201727594</v>
      </c>
      <c r="GP25" s="24">
        <f>GO25*($F$2+1)</f>
        <v>4828.1970235718954</v>
      </c>
    </row>
    <row r="26" spans="1:198" x14ac:dyDescent="0.15">
      <c r="A26" s="3" t="s">
        <v>12</v>
      </c>
      <c r="B26" s="28">
        <f t="shared" ref="B26" si="39">B25/B27</f>
        <v>-1.9080840946042987</v>
      </c>
      <c r="C26" s="28">
        <f t="shared" ref="C26:E26" si="40">C25/C27</f>
        <v>-2.8180048903052675</v>
      </c>
      <c r="D26" s="28">
        <f t="shared" si="40"/>
        <v>-2.2159963931100362</v>
      </c>
      <c r="E26" s="44">
        <f t="shared" si="40"/>
        <v>-3.5762694718686543</v>
      </c>
      <c r="F26" s="44">
        <f t="shared" ref="F26" si="41">F25/F27</f>
        <v>-3.0938984701773875</v>
      </c>
      <c r="G26" s="44">
        <f t="shared" ref="G26:N26" si="42">G25/G27</f>
        <v>-2.6258048926129933</v>
      </c>
      <c r="H26" s="44">
        <f t="shared" si="42"/>
        <v>-1.7795282954327234</v>
      </c>
      <c r="I26" s="44">
        <f t="shared" si="42"/>
        <v>-1.1405222574203453</v>
      </c>
      <c r="J26" s="44">
        <f t="shared" si="42"/>
        <v>1.7592110667812895</v>
      </c>
      <c r="K26" s="44">
        <f t="shared" si="42"/>
        <v>4.3365631602007522</v>
      </c>
      <c r="L26" s="44">
        <f t="shared" si="42"/>
        <v>7.1794355306403341</v>
      </c>
      <c r="M26" s="44">
        <f t="shared" si="42"/>
        <v>10.344450714872103</v>
      </c>
      <c r="N26" s="44">
        <f t="shared" si="42"/>
        <v>13.89524434592661</v>
      </c>
      <c r="O26" s="44">
        <f t="shared" ref="O26" si="43">O25/O27</f>
        <v>16.057389385802214</v>
      </c>
      <c r="P26" s="44">
        <f t="shared" ref="P26:S26" si="44">P25/P27</f>
        <v>18.316410237224691</v>
      </c>
      <c r="Q26" s="44">
        <f t="shared" si="44"/>
        <v>20.677554304849071</v>
      </c>
      <c r="R26" s="44">
        <f t="shared" si="44"/>
        <v>23.146024588624257</v>
      </c>
      <c r="S26" s="44">
        <f t="shared" si="44"/>
        <v>25.726952633947391</v>
      </c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</row>
    <row r="27" spans="1:198" s="16" customFormat="1" x14ac:dyDescent="0.15">
      <c r="A27" s="16" t="s">
        <v>13</v>
      </c>
      <c r="B27" s="23">
        <f>Reports!E20</f>
        <v>293.32459799999998</v>
      </c>
      <c r="C27" s="23">
        <f>Reports!I20</f>
        <v>340.39756399999999</v>
      </c>
      <c r="D27" s="23">
        <f>Reports!M20</f>
        <v>460.32565899999997</v>
      </c>
      <c r="E27" s="23">
        <f>D27</f>
        <v>460.32565899999997</v>
      </c>
      <c r="F27" s="23">
        <f t="shared" ref="F27" si="45">E27</f>
        <v>460.32565899999997</v>
      </c>
      <c r="G27" s="23">
        <f t="shared" ref="G27" si="46">F27</f>
        <v>460.32565899999997</v>
      </c>
      <c r="H27" s="23">
        <f t="shared" ref="H27" si="47">G27</f>
        <v>460.32565899999997</v>
      </c>
      <c r="I27" s="23">
        <f t="shared" ref="I27" si="48">H27</f>
        <v>460.32565899999997</v>
      </c>
      <c r="J27" s="23">
        <f t="shared" ref="J27" si="49">I27</f>
        <v>460.32565899999997</v>
      </c>
      <c r="K27" s="23">
        <f t="shared" ref="K27" si="50">J27</f>
        <v>460.32565899999997</v>
      </c>
      <c r="L27" s="23">
        <f t="shared" ref="L27" si="51">K27</f>
        <v>460.32565899999997</v>
      </c>
      <c r="M27" s="23">
        <f t="shared" ref="M27" si="52">L27</f>
        <v>460.32565899999997</v>
      </c>
      <c r="N27" s="23">
        <f t="shared" ref="N27:T27" si="53">M27</f>
        <v>460.32565899999997</v>
      </c>
      <c r="O27" s="23">
        <f t="shared" si="53"/>
        <v>460.32565899999997</v>
      </c>
      <c r="P27" s="23">
        <f t="shared" si="53"/>
        <v>460.32565899999997</v>
      </c>
      <c r="Q27" s="23">
        <f t="shared" si="53"/>
        <v>460.32565899999997</v>
      </c>
      <c r="R27" s="23">
        <f t="shared" si="53"/>
        <v>460.32565899999997</v>
      </c>
      <c r="S27" s="23">
        <f t="shared" si="53"/>
        <v>460.32565899999997</v>
      </c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</row>
    <row r="28" spans="1:198" x14ac:dyDescent="0.1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</row>
    <row r="29" spans="1:198" x14ac:dyDescent="0.15">
      <c r="A29" s="3" t="s">
        <v>15</v>
      </c>
      <c r="B29" s="33">
        <f t="shared" ref="B29" si="54">IFERROR(B16/B14,0)</f>
        <v>0.21080180593447465</v>
      </c>
      <c r="C29" s="33">
        <f t="shared" ref="C29:T29" si="55">IFERROR(C16/C14,0)</f>
        <v>1.7845914231263863E-2</v>
      </c>
      <c r="D29" s="33">
        <f t="shared" si="55"/>
        <v>0.27807581027297312</v>
      </c>
      <c r="E29" s="33">
        <f t="shared" si="55"/>
        <v>0.30670909960438603</v>
      </c>
      <c r="F29" s="33">
        <f t="shared" si="55"/>
        <v>0.31670909960438604</v>
      </c>
      <c r="G29" s="33">
        <f t="shared" si="55"/>
        <v>0.32670909960438604</v>
      </c>
      <c r="H29" s="33">
        <f t="shared" si="55"/>
        <v>0.33670909960438605</v>
      </c>
      <c r="I29" s="33">
        <f t="shared" si="55"/>
        <v>0.34670909960438606</v>
      </c>
      <c r="J29" s="33">
        <f t="shared" si="55"/>
        <v>0.35670909960438607</v>
      </c>
      <c r="K29" s="33">
        <f t="shared" si="55"/>
        <v>0.35670909960438607</v>
      </c>
      <c r="L29" s="33">
        <f t="shared" si="55"/>
        <v>0.35670909960438607</v>
      </c>
      <c r="M29" s="33">
        <f t="shared" si="55"/>
        <v>0.35670909960438607</v>
      </c>
      <c r="N29" s="33">
        <f t="shared" si="55"/>
        <v>0.35670909960438607</v>
      </c>
      <c r="O29" s="33">
        <f t="shared" si="55"/>
        <v>0.35670909960438607</v>
      </c>
      <c r="P29" s="33">
        <f t="shared" si="55"/>
        <v>0.35670909960438607</v>
      </c>
      <c r="Q29" s="33">
        <f t="shared" si="55"/>
        <v>0.35670909960438602</v>
      </c>
      <c r="R29" s="33">
        <f t="shared" si="55"/>
        <v>0.35670909960438602</v>
      </c>
      <c r="S29" s="33">
        <f t="shared" si="55"/>
        <v>0.35670909960438596</v>
      </c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</row>
    <row r="30" spans="1:198" x14ac:dyDescent="0.15">
      <c r="A30" s="3" t="s">
        <v>16</v>
      </c>
      <c r="B30" s="35">
        <f t="shared" ref="B30" si="56">IFERROR(B21/B14,0)</f>
        <v>-1.2233226297110018</v>
      </c>
      <c r="C30" s="35">
        <f t="shared" ref="C30:T30" si="57">IFERROR(C21/C14,0)</f>
        <v>-1.2059015584641732</v>
      </c>
      <c r="D30" s="35">
        <f t="shared" si="57"/>
        <v>-0.41743549856622642</v>
      </c>
      <c r="E30" s="35">
        <f t="shared" si="57"/>
        <v>-0.35072513397187471</v>
      </c>
      <c r="F30" s="35">
        <f t="shared" si="57"/>
        <v>-0.20911346001212847</v>
      </c>
      <c r="G30" s="35">
        <f t="shared" si="57"/>
        <v>-0.10901124423697602</v>
      </c>
      <c r="H30" s="35">
        <f t="shared" si="57"/>
        <v>-4.6214515677716818E-2</v>
      </c>
      <c r="I30" s="35">
        <f t="shared" si="57"/>
        <v>-1.8515723758571811E-2</v>
      </c>
      <c r="J30" s="35">
        <f t="shared" si="57"/>
        <v>4.5982042030204319E-2</v>
      </c>
      <c r="K30" s="35">
        <f t="shared" si="57"/>
        <v>8.8632467430116102E-2</v>
      </c>
      <c r="L30" s="35">
        <f t="shared" si="57"/>
        <v>0.12201106122135139</v>
      </c>
      <c r="M30" s="35">
        <f t="shared" si="57"/>
        <v>0.1481334389710138</v>
      </c>
      <c r="N30" s="35">
        <f t="shared" si="57"/>
        <v>0.16857703894901041</v>
      </c>
      <c r="O30" s="35">
        <f t="shared" si="57"/>
        <v>0.17968045204338834</v>
      </c>
      <c r="P30" s="35">
        <f t="shared" si="57"/>
        <v>0.18940192455660362</v>
      </c>
      <c r="Q30" s="35">
        <f t="shared" si="57"/>
        <v>0.19785761879793784</v>
      </c>
      <c r="R30" s="35">
        <f t="shared" si="57"/>
        <v>0.20515189823391253</v>
      </c>
      <c r="S30" s="35">
        <f t="shared" si="57"/>
        <v>0.21137841615113806</v>
      </c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</row>
    <row r="31" spans="1:198" x14ac:dyDescent="0.15">
      <c r="A31" s="3" t="s">
        <v>17</v>
      </c>
      <c r="B31" s="35">
        <f>IFERROR(B24/B23,0)</f>
        <v>-2.0047823170909519E-2</v>
      </c>
      <c r="C31" s="35">
        <f>IFERROR(C24/C23,0)</f>
        <v>-4.1874205698660648E-3</v>
      </c>
      <c r="D31" s="35">
        <f t="shared" ref="D31:N31" si="58">IFERROR(D24/D23,0)</f>
        <v>-9.0901313256619723E-2</v>
      </c>
      <c r="E31" s="35">
        <f t="shared" si="58"/>
        <v>-0.10464013573309405</v>
      </c>
      <c r="F31" s="35">
        <f t="shared" si="58"/>
        <v>0</v>
      </c>
      <c r="G31" s="35">
        <f t="shared" si="58"/>
        <v>0</v>
      </c>
      <c r="H31" s="35">
        <f t="shared" si="58"/>
        <v>0</v>
      </c>
      <c r="I31" s="35">
        <f t="shared" si="58"/>
        <v>0</v>
      </c>
      <c r="J31" s="35">
        <f t="shared" si="58"/>
        <v>0.15</v>
      </c>
      <c r="K31" s="35">
        <f t="shared" si="58"/>
        <v>0.15</v>
      </c>
      <c r="L31" s="35">
        <f t="shared" si="58"/>
        <v>0.15</v>
      </c>
      <c r="M31" s="35">
        <f t="shared" si="58"/>
        <v>0.15</v>
      </c>
      <c r="N31" s="35">
        <f t="shared" si="58"/>
        <v>0.15</v>
      </c>
      <c r="O31" s="35">
        <f t="shared" ref="O31" si="59">IFERROR(O24/O23,0)</f>
        <v>0.15</v>
      </c>
      <c r="P31" s="35">
        <f t="shared" ref="P31:S31" si="60">IFERROR(P24/P23,0)</f>
        <v>0.15</v>
      </c>
      <c r="Q31" s="35">
        <f t="shared" si="60"/>
        <v>0.15</v>
      </c>
      <c r="R31" s="35">
        <f t="shared" si="60"/>
        <v>0.15</v>
      </c>
      <c r="S31" s="35">
        <f t="shared" si="60"/>
        <v>0.15</v>
      </c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</row>
    <row r="32" spans="1:198" s="5" customFormat="1" x14ac:dyDescent="0.15"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  <c r="CC32" s="64"/>
      <c r="CD32" s="64"/>
      <c r="CE32" s="64"/>
      <c r="CF32" s="64"/>
      <c r="CG32" s="64"/>
      <c r="CH32" s="64"/>
      <c r="CI32" s="64"/>
      <c r="CJ32" s="64"/>
      <c r="CK32" s="64"/>
      <c r="CL32" s="64"/>
      <c r="CM32" s="64"/>
      <c r="CN32" s="64"/>
      <c r="CO32" s="64"/>
      <c r="CP32" s="64"/>
      <c r="CQ32" s="64"/>
      <c r="CR32" s="64"/>
      <c r="CS32" s="64"/>
      <c r="CT32" s="64"/>
      <c r="CU32" s="64"/>
      <c r="CV32" s="64"/>
      <c r="CW32" s="64"/>
      <c r="CX32" s="64"/>
      <c r="CY32" s="64"/>
      <c r="CZ32" s="64"/>
      <c r="DA32" s="64"/>
      <c r="DB32" s="64"/>
      <c r="DC32" s="64"/>
      <c r="DD32" s="64"/>
      <c r="DE32" s="64"/>
      <c r="DF32" s="64"/>
      <c r="DG32" s="64"/>
      <c r="DH32" s="64"/>
      <c r="DI32" s="64"/>
      <c r="DJ32" s="64"/>
      <c r="DK32" s="64"/>
    </row>
    <row r="33" spans="1:115" x14ac:dyDescent="0.15">
      <c r="A33" s="2" t="s">
        <v>14</v>
      </c>
      <c r="B33" s="45"/>
      <c r="C33" s="45">
        <f t="shared" ref="C33:T33" si="61">C14/B14-1</f>
        <v>0.99659093652671427</v>
      </c>
      <c r="D33" s="45">
        <f t="shared" si="61"/>
        <v>1.6305467684360218</v>
      </c>
      <c r="E33" s="45">
        <f t="shared" si="61"/>
        <v>1.0136096347393422</v>
      </c>
      <c r="F33" s="45">
        <f>F14/E14-1</f>
        <v>0.59590623620834693</v>
      </c>
      <c r="G33" s="45">
        <f t="shared" si="61"/>
        <v>0.54207570017738771</v>
      </c>
      <c r="H33" s="45">
        <f t="shared" si="61"/>
        <v>0.45555506384224032</v>
      </c>
      <c r="I33" s="45">
        <f t="shared" si="61"/>
        <v>0.34252404543565063</v>
      </c>
      <c r="J33" s="45">
        <f t="shared" si="61"/>
        <v>0.14999999999999991</v>
      </c>
      <c r="K33" s="45">
        <f t="shared" si="61"/>
        <v>0.14999999999999991</v>
      </c>
      <c r="L33" s="45">
        <f t="shared" si="61"/>
        <v>0.14999999999999991</v>
      </c>
      <c r="M33" s="45">
        <f t="shared" si="61"/>
        <v>0.14999999999999991</v>
      </c>
      <c r="N33" s="45">
        <f t="shared" si="61"/>
        <v>0.14999999999999991</v>
      </c>
      <c r="O33" s="45">
        <f t="shared" si="61"/>
        <v>5.0000000000000044E-2</v>
      </c>
      <c r="P33" s="45">
        <f t="shared" si="61"/>
        <v>5.0000000000000044E-2</v>
      </c>
      <c r="Q33" s="45">
        <f t="shared" si="61"/>
        <v>5.0000000000000044E-2</v>
      </c>
      <c r="R33" s="45">
        <f t="shared" si="61"/>
        <v>5.0000000000000044E-2</v>
      </c>
      <c r="S33" s="45">
        <f t="shared" si="61"/>
        <v>5.0000000000000044E-2</v>
      </c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</row>
    <row r="34" spans="1:115" x14ac:dyDescent="0.15">
      <c r="A34" s="3" t="s">
        <v>30</v>
      </c>
      <c r="B34" s="35"/>
      <c r="C34" s="35"/>
      <c r="D34" s="35">
        <f t="shared" ref="D34:T34" si="62">D17/C17-1</f>
        <v>1.3088235294117645</v>
      </c>
      <c r="E34" s="35">
        <f t="shared" si="62"/>
        <v>1.2407643312101913</v>
      </c>
      <c r="F34" s="35">
        <f t="shared" si="62"/>
        <v>0.30000000000000004</v>
      </c>
      <c r="G34" s="35">
        <f t="shared" si="62"/>
        <v>0.30000000000000004</v>
      </c>
      <c r="H34" s="35">
        <f t="shared" si="62"/>
        <v>0.30000000000000004</v>
      </c>
      <c r="I34" s="35">
        <f t="shared" si="62"/>
        <v>0.30000000000000004</v>
      </c>
      <c r="J34" s="35">
        <f t="shared" si="62"/>
        <v>0.14999999999999991</v>
      </c>
      <c r="K34" s="35">
        <f t="shared" si="62"/>
        <v>0.14999999999999991</v>
      </c>
      <c r="L34" s="35">
        <f t="shared" si="62"/>
        <v>0.14999999999999991</v>
      </c>
      <c r="M34" s="35">
        <f t="shared" si="62"/>
        <v>0.14999999999999991</v>
      </c>
      <c r="N34" s="35">
        <f t="shared" si="62"/>
        <v>0.14999999999999991</v>
      </c>
      <c r="O34" s="35">
        <f t="shared" si="62"/>
        <v>0.10000000000000009</v>
      </c>
      <c r="P34" s="35">
        <f t="shared" si="62"/>
        <v>0.10000000000000009</v>
      </c>
      <c r="Q34" s="35">
        <f t="shared" si="62"/>
        <v>0.10000000000000009</v>
      </c>
      <c r="R34" s="35">
        <f t="shared" si="62"/>
        <v>0.10000000000000009</v>
      </c>
      <c r="S34" s="35">
        <f t="shared" si="62"/>
        <v>0.10000000000000009</v>
      </c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</row>
    <row r="35" spans="1:115" x14ac:dyDescent="0.15">
      <c r="A35" s="3" t="s">
        <v>31</v>
      </c>
      <c r="B35" s="35"/>
      <c r="C35" s="35"/>
      <c r="D35" s="35">
        <f t="shared" ref="D35:T35" si="63">D18/C18-1</f>
        <v>0.37784090909090917</v>
      </c>
      <c r="E35" s="35">
        <f t="shared" si="63"/>
        <v>0.90618556701030917</v>
      </c>
      <c r="F35" s="35">
        <f t="shared" si="63"/>
        <v>0.30000000000000004</v>
      </c>
      <c r="G35" s="35">
        <f t="shared" si="63"/>
        <v>0.30000000000000004</v>
      </c>
      <c r="H35" s="35">
        <f t="shared" si="63"/>
        <v>0.30000000000000004</v>
      </c>
      <c r="I35" s="35">
        <f t="shared" si="63"/>
        <v>0.30000000000000004</v>
      </c>
      <c r="J35" s="35">
        <f t="shared" si="63"/>
        <v>-9.9999999999999978E-2</v>
      </c>
      <c r="K35" s="35">
        <f t="shared" si="63"/>
        <v>-9.9999999999999978E-2</v>
      </c>
      <c r="L35" s="35">
        <f t="shared" si="63"/>
        <v>-9.9999999999999978E-2</v>
      </c>
      <c r="M35" s="35">
        <f t="shared" si="63"/>
        <v>-9.9999999999999978E-2</v>
      </c>
      <c r="N35" s="35">
        <f t="shared" si="63"/>
        <v>-9.9999999999999978E-2</v>
      </c>
      <c r="O35" s="35">
        <f t="shared" si="63"/>
        <v>-5.0000000000000044E-2</v>
      </c>
      <c r="P35" s="35">
        <f t="shared" si="63"/>
        <v>-5.0000000000000044E-2</v>
      </c>
      <c r="Q35" s="35">
        <f t="shared" si="63"/>
        <v>-5.0000000000000044E-2</v>
      </c>
      <c r="R35" s="35">
        <f t="shared" si="63"/>
        <v>-5.0000000000000044E-2</v>
      </c>
      <c r="S35" s="35">
        <f t="shared" si="63"/>
        <v>-5.0000000000000044E-2</v>
      </c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</row>
    <row r="36" spans="1:115" x14ac:dyDescent="0.15">
      <c r="A36" s="3" t="s">
        <v>32</v>
      </c>
      <c r="B36" s="35"/>
      <c r="C36" s="35"/>
      <c r="D36" s="35">
        <f t="shared" ref="D36:T36" si="64">D19/C19-1</f>
        <v>0.60833333333333339</v>
      </c>
      <c r="E36" s="35">
        <f t="shared" si="64"/>
        <v>0.7590673575129534</v>
      </c>
      <c r="F36" s="35">
        <f t="shared" si="64"/>
        <v>0.19999999999999996</v>
      </c>
      <c r="G36" s="35">
        <f t="shared" si="64"/>
        <v>0.19999999999999996</v>
      </c>
      <c r="H36" s="35">
        <f t="shared" si="64"/>
        <v>0.19999999999999996</v>
      </c>
      <c r="I36" s="35">
        <f t="shared" si="64"/>
        <v>0.19999999999999996</v>
      </c>
      <c r="J36" s="35">
        <f t="shared" si="64"/>
        <v>0.14999999999999991</v>
      </c>
      <c r="K36" s="35">
        <f t="shared" si="64"/>
        <v>0.14999999999999991</v>
      </c>
      <c r="L36" s="35">
        <f t="shared" si="64"/>
        <v>0.14999999999999991</v>
      </c>
      <c r="M36" s="35">
        <f t="shared" si="64"/>
        <v>0.14999999999999991</v>
      </c>
      <c r="N36" s="35">
        <f t="shared" si="64"/>
        <v>0.14999999999999991</v>
      </c>
      <c r="O36" s="35">
        <f t="shared" si="64"/>
        <v>-5.0000000000000044E-2</v>
      </c>
      <c r="P36" s="35">
        <f t="shared" si="64"/>
        <v>-5.0000000000000044E-2</v>
      </c>
      <c r="Q36" s="35">
        <f t="shared" si="64"/>
        <v>-5.0000000000000044E-2</v>
      </c>
      <c r="R36" s="35">
        <f t="shared" si="64"/>
        <v>-5.0000000000000155E-2</v>
      </c>
      <c r="S36" s="35">
        <f t="shared" si="64"/>
        <v>-5.0000000000000155E-2</v>
      </c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</row>
    <row r="37" spans="1:115" x14ac:dyDescent="0.15">
      <c r="A37" s="6" t="s">
        <v>54</v>
      </c>
      <c r="B37" s="42"/>
      <c r="C37" s="42"/>
      <c r="D37" s="42">
        <f t="shared" ref="D37:T37" si="65">D20/C20-1</f>
        <v>0.49505928853754932</v>
      </c>
      <c r="E37" s="42">
        <f t="shared" si="65"/>
        <v>0.9033707865168541</v>
      </c>
      <c r="F37" s="42">
        <f t="shared" si="65"/>
        <v>0.27642197374817701</v>
      </c>
      <c r="G37" s="42">
        <f t="shared" si="65"/>
        <v>0.27783363802559413</v>
      </c>
      <c r="H37" s="42">
        <f t="shared" si="65"/>
        <v>0.27918380485711225</v>
      </c>
      <c r="I37" s="42">
        <f t="shared" si="65"/>
        <v>0.28047236520927066</v>
      </c>
      <c r="J37" s="42">
        <f>J20/I20-1</f>
        <v>-2.1599591944518881E-2</v>
      </c>
      <c r="K37" s="42">
        <f t="shared" si="65"/>
        <v>-7.8491090953320963E-3</v>
      </c>
      <c r="L37" s="42">
        <f t="shared" si="65"/>
        <v>6.8119028182687114E-3</v>
      </c>
      <c r="M37" s="42">
        <f t="shared" si="65"/>
        <v>2.2002618261834916E-2</v>
      </c>
      <c r="N37" s="42">
        <f t="shared" si="65"/>
        <v>3.7282437925384215E-2</v>
      </c>
      <c r="O37" s="42">
        <f t="shared" si="65"/>
        <v>-1.1970212352339193E-2</v>
      </c>
      <c r="P37" s="42">
        <f t="shared" si="65"/>
        <v>-7.6604198219324404E-3</v>
      </c>
      <c r="Q37" s="42">
        <f t="shared" si="65"/>
        <v>-3.0669348213266945E-3</v>
      </c>
      <c r="R37" s="42">
        <f t="shared" si="65"/>
        <v>1.7851935097443761E-3</v>
      </c>
      <c r="S37" s="42">
        <f t="shared" si="65"/>
        <v>6.8622028252856015E-3</v>
      </c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</row>
    <row r="38" spans="1:115" x14ac:dyDescent="0.15"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</row>
    <row r="39" spans="1:115" x14ac:dyDescent="0.15">
      <c r="A39" s="2" t="s">
        <v>18</v>
      </c>
      <c r="B39" s="24">
        <f>B40-B41</f>
        <v>1488</v>
      </c>
      <c r="C39" s="24">
        <f>C40-C41</f>
        <v>1126</v>
      </c>
      <c r="D39" s="24">
        <f>D40-D41</f>
        <v>2399</v>
      </c>
      <c r="E39" s="46">
        <f>D39+E25</f>
        <v>752.75139860047989</v>
      </c>
      <c r="F39" s="46">
        <f>E39+F25</f>
        <v>-671.44945356301787</v>
      </c>
      <c r="G39" s="46">
        <f t="shared" ref="G39:T39" si="66">F39+G25</f>
        <v>-1880.1748211605181</v>
      </c>
      <c r="H39" s="46">
        <f t="shared" si="66"/>
        <v>-2699.3373564647331</v>
      </c>
      <c r="I39" s="46">
        <f t="shared" si="66"/>
        <v>-3224.3490162159214</v>
      </c>
      <c r="J39" s="46">
        <f t="shared" si="66"/>
        <v>-2414.5390225797314</v>
      </c>
      <c r="K39" s="46">
        <f t="shared" si="66"/>
        <v>-418.30772806519758</v>
      </c>
      <c r="L39" s="46">
        <f t="shared" si="66"/>
        <v>2886.5706638248284</v>
      </c>
      <c r="M39" s="46">
        <f t="shared" si="66"/>
        <v>7648.3867561413499</v>
      </c>
      <c r="N39" s="46">
        <f t="shared" si="66"/>
        <v>14044.724266646041</v>
      </c>
      <c r="O39" s="46">
        <f t="shared" si="66"/>
        <v>21436.352617485049</v>
      </c>
      <c r="P39" s="46">
        <f t="shared" si="66"/>
        <v>29867.86623044985</v>
      </c>
      <c r="Q39" s="46">
        <f t="shared" si="66"/>
        <v>39386.275042337787</v>
      </c>
      <c r="R39" s="46">
        <f t="shared" si="66"/>
        <v>50040.984064326454</v>
      </c>
      <c r="S39" s="46">
        <f t="shared" si="66"/>
        <v>61883.760489610075</v>
      </c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</row>
    <row r="40" spans="1:115" x14ac:dyDescent="0.15">
      <c r="A40" s="3" t="s">
        <v>19</v>
      </c>
      <c r="B40" s="47">
        <f>Reports!E33</f>
        <v>1490</v>
      </c>
      <c r="C40" s="47">
        <f>Reports!I33</f>
        <v>1126</v>
      </c>
      <c r="D40" s="47">
        <f>Reports!M33</f>
        <v>3785</v>
      </c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</row>
    <row r="41" spans="1:115" x14ac:dyDescent="0.15">
      <c r="A41" s="3" t="s">
        <v>20</v>
      </c>
      <c r="B41" s="47">
        <f>Reports!E34</f>
        <v>2</v>
      </c>
      <c r="C41" s="47">
        <f>Reports!I34</f>
        <v>0</v>
      </c>
      <c r="D41" s="47">
        <f>Reports!M34</f>
        <v>1386</v>
      </c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</row>
    <row r="42" spans="1:115" x14ac:dyDescent="0.15">
      <c r="B42" s="47"/>
      <c r="C42" s="47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</row>
    <row r="43" spans="1:115" x14ac:dyDescent="0.15">
      <c r="A43" s="3" t="s">
        <v>44</v>
      </c>
      <c r="B43" s="47">
        <f>Reports!E36</f>
        <v>68</v>
      </c>
      <c r="C43" s="47">
        <f>Reports!I36</f>
        <v>23</v>
      </c>
      <c r="D43" s="47">
        <f>Reports!M36</f>
        <v>46</v>
      </c>
      <c r="E43" s="47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</row>
    <row r="44" spans="1:115" x14ac:dyDescent="0.15">
      <c r="A44" s="3" t="s">
        <v>45</v>
      </c>
      <c r="B44" s="47">
        <f>Reports!E37</f>
        <v>1988</v>
      </c>
      <c r="C44" s="47">
        <f>Reports!I37</f>
        <v>1431</v>
      </c>
      <c r="D44" s="47">
        <f>Reports!M37</f>
        <v>5224</v>
      </c>
      <c r="E44" s="47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</row>
    <row r="45" spans="1:115" x14ac:dyDescent="0.15">
      <c r="A45" s="3" t="s">
        <v>46</v>
      </c>
      <c r="B45" s="47">
        <f>Reports!E38</f>
        <v>1513</v>
      </c>
      <c r="C45" s="47">
        <f>Reports!I38</f>
        <v>923</v>
      </c>
      <c r="D45" s="47">
        <f>Reports!M38</f>
        <v>4052</v>
      </c>
      <c r="E45" s="47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</row>
    <row r="46" spans="1:115" x14ac:dyDescent="0.15"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</row>
    <row r="47" spans="1:115" x14ac:dyDescent="0.15">
      <c r="A47" s="3" t="s">
        <v>47</v>
      </c>
      <c r="B47" s="50">
        <f>B44-B43-B40</f>
        <v>430</v>
      </c>
      <c r="C47" s="50">
        <f>C44-C43-C40</f>
        <v>282</v>
      </c>
      <c r="D47" s="50">
        <f>D44-D43-D40</f>
        <v>1393</v>
      </c>
      <c r="E47" s="38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</row>
    <row r="48" spans="1:115" x14ac:dyDescent="0.15">
      <c r="A48" s="3" t="s">
        <v>48</v>
      </c>
      <c r="B48" s="50">
        <f>B44-B45</f>
        <v>475</v>
      </c>
      <c r="C48" s="50">
        <f>C44-C45</f>
        <v>508</v>
      </c>
      <c r="D48" s="50">
        <f>D44-D45</f>
        <v>1172</v>
      </c>
      <c r="E48" s="38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</row>
    <row r="49" spans="1:115" x14ac:dyDescent="0.15"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</row>
    <row r="50" spans="1:115" x14ac:dyDescent="0.15">
      <c r="A50" s="18" t="s">
        <v>49</v>
      </c>
      <c r="B50" s="51">
        <f>B25/B48</f>
        <v>-1.1782905263157892</v>
      </c>
      <c r="C50" s="51">
        <f>C25/C48</f>
        <v>-1.8882716535433075</v>
      </c>
      <c r="D50" s="51">
        <f>D25/D48</f>
        <v>-0.87037542662116074</v>
      </c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</row>
    <row r="51" spans="1:115" x14ac:dyDescent="0.15">
      <c r="A51" s="18" t="s">
        <v>50</v>
      </c>
      <c r="B51" s="51">
        <f>B25/B44</f>
        <v>-0.28153319919517095</v>
      </c>
      <c r="C51" s="51">
        <f>C25/C44</f>
        <v>-0.67032983927323564</v>
      </c>
      <c r="D51" s="51">
        <f>D25/D44</f>
        <v>-0.19526799387442581</v>
      </c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</row>
    <row r="52" spans="1:115" x14ac:dyDescent="0.15">
      <c r="A52" s="18" t="s">
        <v>51</v>
      </c>
      <c r="B52" s="51">
        <f>B25/(B48-B43)</f>
        <v>-1.3751547911547908</v>
      </c>
      <c r="C52" s="51">
        <f>C25/(C48-C43)</f>
        <v>-1.9778185567010313</v>
      </c>
      <c r="D52" s="51">
        <f>D25/(D48-D43)</f>
        <v>-0.90593250444049767</v>
      </c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</row>
    <row r="53" spans="1:115" x14ac:dyDescent="0.15">
      <c r="A53" s="18" t="s">
        <v>52</v>
      </c>
      <c r="B53" s="51">
        <f>B25/B47</f>
        <v>-1.3015999999999996</v>
      </c>
      <c r="C53" s="51">
        <f>C25/C47</f>
        <v>-3.4015673758865255</v>
      </c>
      <c r="D53" s="51">
        <f>D25/D47</f>
        <v>-0.732290021536253</v>
      </c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</row>
    <row r="54" spans="1:115" x14ac:dyDescent="0.15"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</row>
    <row r="55" spans="1:115" x14ac:dyDescent="0.15">
      <c r="A55" s="8" t="s">
        <v>60</v>
      </c>
      <c r="B55" s="38"/>
      <c r="C55" s="51">
        <f>C10/B10-1</f>
        <v>0.26644521547675426</v>
      </c>
      <c r="D55" s="51">
        <f t="shared" ref="D55:I55" si="67">D10/C10-1</f>
        <v>1.4564441772765013</v>
      </c>
      <c r="E55" s="51">
        <f t="shared" si="67"/>
        <v>0.80451313668721558</v>
      </c>
      <c r="F55" s="51">
        <f t="shared" si="67"/>
        <v>0.65451313668721567</v>
      </c>
      <c r="G55" s="51">
        <f t="shared" si="67"/>
        <v>0.50451313668721576</v>
      </c>
      <c r="H55" s="51">
        <f t="shared" si="67"/>
        <v>0.35451313668721585</v>
      </c>
      <c r="I55" s="51">
        <f t="shared" si="67"/>
        <v>0.20451313668721594</v>
      </c>
      <c r="J55" s="51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</row>
    <row r="56" spans="1:115" x14ac:dyDescent="0.15">
      <c r="A56" s="8" t="s">
        <v>61</v>
      </c>
      <c r="C56" s="51">
        <f t="shared" ref="C56:I56" si="68">C11/B11-1</f>
        <v>5.3284893545116585</v>
      </c>
      <c r="D56" s="51">
        <f t="shared" si="68"/>
        <v>6.3218964719285129</v>
      </c>
      <c r="E56" s="51">
        <f t="shared" si="68"/>
        <v>1.1553243810618983</v>
      </c>
      <c r="F56" s="51">
        <f t="shared" si="68"/>
        <v>0.30000000000000004</v>
      </c>
      <c r="G56" s="51">
        <f t="shared" si="68"/>
        <v>0.30000000000000004</v>
      </c>
      <c r="H56" s="51">
        <f t="shared" si="68"/>
        <v>0.30000000000000004</v>
      </c>
      <c r="I56" s="51">
        <f t="shared" si="68"/>
        <v>0.30000000000000004</v>
      </c>
    </row>
    <row r="57" spans="1:115" s="19" customFormat="1" x14ac:dyDescent="0.15">
      <c r="A57" s="8" t="s">
        <v>62</v>
      </c>
      <c r="C57" s="51">
        <f t="shared" ref="C57:I57" si="69">C12/B12-1</f>
        <v>7.0638331894208317</v>
      </c>
      <c r="D57" s="51">
        <f t="shared" si="69"/>
        <v>-0.14057616955121588</v>
      </c>
      <c r="E57" s="51">
        <f t="shared" si="69"/>
        <v>1.5717690653524197</v>
      </c>
      <c r="F57" s="51">
        <f t="shared" si="69"/>
        <v>1.3217690653524197</v>
      </c>
      <c r="G57" s="51">
        <f t="shared" si="69"/>
        <v>1.0717690653524197</v>
      </c>
      <c r="H57" s="51">
        <f t="shared" si="69"/>
        <v>0.82176906535241989</v>
      </c>
      <c r="I57" s="51">
        <f t="shared" si="69"/>
        <v>0.57176906535241989</v>
      </c>
    </row>
  </sheetData>
  <hyperlinks>
    <hyperlink ref="A1" r:id="rId1" xr:uid="{00000000-0004-0000-0000-000000000000}"/>
    <hyperlink ref="A4" r:id="rId2" xr:uid="{F2F99BE5-9686-1D40-AD9D-17AFAB5CEFB8}"/>
    <hyperlink ref="A7" r:id="rId3" xr:uid="{68A8F051-7984-A145-99E9-CBEE88C95203}"/>
    <hyperlink ref="A8" r:id="rId4" xr:uid="{8B111803-DDDE-B243-8C01-F5B53C77127E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7"/>
  <sheetViews>
    <sheetView tabSelected="1" zoomScale="130" zoomScaleNormal="13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R39" sqref="R39"/>
    </sheetView>
  </sheetViews>
  <sheetFormatPr baseColWidth="10" defaultRowHeight="13" x14ac:dyDescent="0.15"/>
  <cols>
    <col min="1" max="1" width="20.33203125" style="6" bestFit="1" customWidth="1"/>
    <col min="2" max="2" width="10.83203125" style="21"/>
    <col min="3" max="5" width="10.83203125" style="20"/>
    <col min="6" max="6" width="10.83203125" style="21"/>
    <col min="7" max="9" width="10.83203125" style="20"/>
    <col min="10" max="10" width="10.83203125" style="21"/>
    <col min="11" max="13" width="10.83203125" style="20"/>
    <col min="14" max="14" width="10.83203125" style="21"/>
    <col min="15" max="17" width="10.83203125" style="20"/>
    <col min="18" max="16384" width="10.83203125" style="6"/>
  </cols>
  <sheetData>
    <row r="1" spans="1:18" x14ac:dyDescent="0.15">
      <c r="A1" s="62" t="s">
        <v>33</v>
      </c>
      <c r="B1" s="22" t="s">
        <v>66</v>
      </c>
      <c r="C1" s="23" t="s">
        <v>67</v>
      </c>
      <c r="D1" s="23" t="s">
        <v>68</v>
      </c>
      <c r="E1" s="23" t="s">
        <v>69</v>
      </c>
      <c r="F1" s="22" t="s">
        <v>26</v>
      </c>
      <c r="G1" s="23" t="s">
        <v>27</v>
      </c>
      <c r="H1" s="23" t="s">
        <v>28</v>
      </c>
      <c r="I1" s="23" t="s">
        <v>29</v>
      </c>
      <c r="J1" s="22" t="s">
        <v>40</v>
      </c>
      <c r="K1" s="23" t="s">
        <v>41</v>
      </c>
      <c r="L1" s="23" t="s">
        <v>42</v>
      </c>
      <c r="M1" s="23" t="s">
        <v>43</v>
      </c>
      <c r="N1" s="22" t="s">
        <v>55</v>
      </c>
      <c r="O1" s="23" t="s">
        <v>57</v>
      </c>
      <c r="P1" s="23" t="s">
        <v>58</v>
      </c>
      <c r="Q1" s="23" t="s">
        <v>56</v>
      </c>
    </row>
    <row r="2" spans="1:18" s="20" customFormat="1" x14ac:dyDescent="0.15">
      <c r="A2" s="1"/>
      <c r="B2" s="54">
        <v>42825</v>
      </c>
      <c r="C2" s="53">
        <v>42916</v>
      </c>
      <c r="D2" s="53">
        <v>43008</v>
      </c>
      <c r="E2" s="53">
        <v>43100</v>
      </c>
      <c r="F2" s="54">
        <v>43190</v>
      </c>
      <c r="G2" s="53">
        <v>43281</v>
      </c>
      <c r="H2" s="53">
        <v>43373</v>
      </c>
      <c r="I2" s="53">
        <v>43465</v>
      </c>
      <c r="J2" s="54">
        <v>43555</v>
      </c>
      <c r="K2" s="53">
        <v>43646</v>
      </c>
      <c r="L2" s="53">
        <v>43738</v>
      </c>
      <c r="M2" s="53">
        <v>43830</v>
      </c>
      <c r="N2" s="54">
        <v>43921</v>
      </c>
      <c r="O2" s="53">
        <v>44012</v>
      </c>
      <c r="P2" s="53">
        <v>44104</v>
      </c>
      <c r="Q2" s="53"/>
    </row>
    <row r="3" spans="1:18" s="23" customFormat="1" x14ac:dyDescent="0.15">
      <c r="A3" s="8" t="s">
        <v>60</v>
      </c>
      <c r="B3" s="22">
        <v>87.585999999999999</v>
      </c>
      <c r="C3" s="23">
        <v>91.459000000000003</v>
      </c>
      <c r="D3" s="23">
        <v>79.799000000000007</v>
      </c>
      <c r="E3" s="23">
        <v>106.32299999999999</v>
      </c>
      <c r="F3" s="22">
        <v>110.658</v>
      </c>
      <c r="G3" s="23">
        <v>108.029</v>
      </c>
      <c r="H3" s="23">
        <v>112.52</v>
      </c>
      <c r="I3" s="23">
        <v>131.25700000000001</v>
      </c>
      <c r="J3" s="22">
        <v>173.399</v>
      </c>
      <c r="K3" s="23">
        <v>229.47800000000001</v>
      </c>
      <c r="L3" s="23">
        <v>329.05799999999999</v>
      </c>
      <c r="M3" s="23">
        <v>404.08199999999999</v>
      </c>
      <c r="N3" s="22">
        <v>369.68299999999999</v>
      </c>
      <c r="O3" s="23">
        <v>383.94600000000003</v>
      </c>
      <c r="P3" s="23">
        <v>568.98099999999999</v>
      </c>
      <c r="Q3" s="23">
        <f>M3*1.8</f>
        <v>727.34760000000006</v>
      </c>
    </row>
    <row r="4" spans="1:18" s="23" customFormat="1" x14ac:dyDescent="0.15">
      <c r="A4" s="8" t="s">
        <v>61</v>
      </c>
      <c r="B4" s="22"/>
      <c r="E4" s="23">
        <v>17.754000000000001</v>
      </c>
      <c r="F4" s="22"/>
      <c r="I4" s="23">
        <v>112.35599999999999</v>
      </c>
      <c r="J4" s="22">
        <v>130.66300000000001</v>
      </c>
      <c r="K4" s="23">
        <v>165.74100000000001</v>
      </c>
      <c r="L4" s="23">
        <v>229.74</v>
      </c>
      <c r="M4" s="23">
        <v>296.51499999999999</v>
      </c>
      <c r="N4" s="22">
        <v>266.54500000000002</v>
      </c>
      <c r="O4" s="23">
        <v>364.71899999999999</v>
      </c>
      <c r="P4" s="23">
        <v>489.5</v>
      </c>
      <c r="Q4" s="23">
        <f>M4*2.2</f>
        <v>652.33299999999997</v>
      </c>
    </row>
    <row r="5" spans="1:18" s="23" customFormat="1" x14ac:dyDescent="0.15">
      <c r="A5" s="8" t="s">
        <v>62</v>
      </c>
      <c r="B5" s="22">
        <v>6.359</v>
      </c>
      <c r="C5" s="23">
        <v>10.087999999999999</v>
      </c>
      <c r="D5" s="23">
        <v>14.295</v>
      </c>
      <c r="E5" s="23">
        <v>0.52700000000000002</v>
      </c>
      <c r="F5" s="22">
        <v>44.386000000000003</v>
      </c>
      <c r="G5" s="23">
        <v>75.75</v>
      </c>
      <c r="H5" s="23">
        <v>92.400999999999996</v>
      </c>
      <c r="I5" s="23">
        <v>39.610999999999997</v>
      </c>
      <c r="J5" s="22">
        <v>47.804000000000002</v>
      </c>
      <c r="K5" s="23">
        <v>40.932000000000002</v>
      </c>
      <c r="L5" s="23">
        <v>51.338999999999999</v>
      </c>
      <c r="M5" s="23">
        <v>76.626999999999995</v>
      </c>
      <c r="N5" s="22">
        <v>78.691999999999993</v>
      </c>
      <c r="O5" s="23">
        <v>133.369</v>
      </c>
      <c r="P5" s="23">
        <v>153.679</v>
      </c>
      <c r="Q5" s="23">
        <f>M5*2.5</f>
        <v>191.5675</v>
      </c>
    </row>
    <row r="6" spans="1:18" s="23" customFormat="1" x14ac:dyDescent="0.15">
      <c r="F6" s="22"/>
      <c r="J6" s="22"/>
      <c r="N6" s="22"/>
    </row>
    <row r="7" spans="1:18" s="17" customFormat="1" x14ac:dyDescent="0.15">
      <c r="A7" s="17" t="s">
        <v>0</v>
      </c>
      <c r="B7" s="24">
        <f>SUM(B3:B5)</f>
        <v>93.944999999999993</v>
      </c>
      <c r="C7" s="24">
        <f>SUM(C3:C5)</f>
        <v>101.547</v>
      </c>
      <c r="D7" s="24">
        <f>SUM(D3:D5)</f>
        <v>94.094000000000008</v>
      </c>
      <c r="E7" s="24">
        <f>SUM(E3:E5)</f>
        <v>124.604</v>
      </c>
      <c r="F7" s="25">
        <f>SUM(F3:F5)</f>
        <v>155.04400000000001</v>
      </c>
      <c r="G7" s="24">
        <f>SUM(G3:G5)</f>
        <v>183.779</v>
      </c>
      <c r="H7" s="24">
        <f>SUM(H3:H5)</f>
        <v>204.92099999999999</v>
      </c>
      <c r="I7" s="24">
        <f>SUM(I3:I5)</f>
        <v>283.22399999999999</v>
      </c>
      <c r="J7" s="25">
        <f>SUM(J3:J5)</f>
        <v>351.86599999999999</v>
      </c>
      <c r="K7" s="24">
        <f>SUM(K3:K5)</f>
        <v>436.15100000000007</v>
      </c>
      <c r="L7" s="24">
        <f>SUM(L3:L5)</f>
        <v>610.13699999999994</v>
      </c>
      <c r="M7" s="24">
        <f>SUM(M3:M5)</f>
        <v>777.22399999999993</v>
      </c>
      <c r="N7" s="25">
        <f>SUM(N3:N5)</f>
        <v>714.92000000000007</v>
      </c>
      <c r="O7" s="24">
        <f>SUM(O3:O5)</f>
        <v>882.03399999999999</v>
      </c>
      <c r="P7" s="24">
        <f>SUM(P3:P5)</f>
        <v>1212.1600000000001</v>
      </c>
      <c r="Q7" s="24">
        <f>SUM(Q3:Q5)</f>
        <v>1571.2481000000002</v>
      </c>
      <c r="R7" s="23"/>
    </row>
    <row r="8" spans="1:18" s="8" customFormat="1" x14ac:dyDescent="0.15">
      <c r="A8" s="8" t="s">
        <v>1</v>
      </c>
      <c r="B8" s="23">
        <v>66.837999999999994</v>
      </c>
      <c r="C8" s="23">
        <v>75.706000000000003</v>
      </c>
      <c r="D8" s="47">
        <v>83.275000000000006</v>
      </c>
      <c r="E8" s="23">
        <v>101.059</v>
      </c>
      <c r="F8" s="22">
        <v>146.51900000000001</v>
      </c>
      <c r="G8" s="23">
        <v>175.197</v>
      </c>
      <c r="H8" s="47">
        <v>199.31100000000001</v>
      </c>
      <c r="I8" s="23">
        <v>291.18299999999999</v>
      </c>
      <c r="J8" s="22">
        <v>312.41000000000003</v>
      </c>
      <c r="K8" s="23">
        <v>338.70699999999999</v>
      </c>
      <c r="L8" s="47">
        <v>406.96899999999999</v>
      </c>
      <c r="M8" s="47">
        <v>512.37199999999996</v>
      </c>
      <c r="N8" s="22">
        <v>508.12</v>
      </c>
      <c r="O8" s="47">
        <v>681.20799999999997</v>
      </c>
      <c r="P8" s="47">
        <v>804.59299999999996</v>
      </c>
      <c r="Q8" s="23">
        <f>Q7-Q9</f>
        <v>1042.9441843678228</v>
      </c>
      <c r="R8" s="23"/>
    </row>
    <row r="9" spans="1:18" s="8" customFormat="1" x14ac:dyDescent="0.15">
      <c r="A9" s="8" t="s">
        <v>2</v>
      </c>
      <c r="B9" s="26">
        <f t="shared" ref="B9:F9" si="0">B7-B8</f>
        <v>27.106999999999999</v>
      </c>
      <c r="C9" s="26">
        <f t="shared" si="0"/>
        <v>25.840999999999994</v>
      </c>
      <c r="D9" s="26">
        <f t="shared" si="0"/>
        <v>10.819000000000003</v>
      </c>
      <c r="E9" s="26">
        <f t="shared" si="0"/>
        <v>23.545000000000002</v>
      </c>
      <c r="F9" s="27">
        <f t="shared" si="0"/>
        <v>8.5250000000000057</v>
      </c>
      <c r="G9" s="26">
        <f t="shared" ref="G9:H9" si="1">G7-G8</f>
        <v>8.5819999999999936</v>
      </c>
      <c r="H9" s="26">
        <f t="shared" si="1"/>
        <v>5.6099999999999852</v>
      </c>
      <c r="I9" s="26">
        <f t="shared" ref="I9:P9" si="2">I7-I8</f>
        <v>-7.9590000000000032</v>
      </c>
      <c r="J9" s="27">
        <f t="shared" ref="J9" si="3">J7-J8</f>
        <v>39.45599999999996</v>
      </c>
      <c r="K9" s="26">
        <f t="shared" si="2"/>
        <v>97.444000000000074</v>
      </c>
      <c r="L9" s="26">
        <f t="shared" si="2"/>
        <v>203.16799999999995</v>
      </c>
      <c r="M9" s="26">
        <f t="shared" si="2"/>
        <v>264.85199999999998</v>
      </c>
      <c r="N9" s="27">
        <f t="shared" ref="N9" si="4">N7-N8</f>
        <v>206.80000000000007</v>
      </c>
      <c r="O9" s="26">
        <f t="shared" si="2"/>
        <v>200.82600000000002</v>
      </c>
      <c r="P9" s="26">
        <f t="shared" si="2"/>
        <v>407.56700000000012</v>
      </c>
      <c r="Q9" s="23">
        <f>Q7*P22</f>
        <v>528.30391563217745</v>
      </c>
      <c r="R9" s="23"/>
    </row>
    <row r="10" spans="1:18" s="8" customFormat="1" x14ac:dyDescent="0.15">
      <c r="A10" s="8" t="s">
        <v>3</v>
      </c>
      <c r="B10" s="23">
        <v>6</v>
      </c>
      <c r="C10" s="23">
        <v>7</v>
      </c>
      <c r="D10" s="47">
        <v>8</v>
      </c>
      <c r="E10" s="23">
        <v>9</v>
      </c>
      <c r="F10" s="22">
        <v>11</v>
      </c>
      <c r="G10" s="23">
        <v>13</v>
      </c>
      <c r="H10" s="47">
        <v>17</v>
      </c>
      <c r="I10" s="23">
        <v>27</v>
      </c>
      <c r="J10" s="22">
        <v>29</v>
      </c>
      <c r="K10" s="23">
        <v>35</v>
      </c>
      <c r="L10" s="47">
        <v>44</v>
      </c>
      <c r="M10" s="47">
        <v>49</v>
      </c>
      <c r="N10" s="22">
        <v>65</v>
      </c>
      <c r="O10" s="47">
        <v>75</v>
      </c>
      <c r="P10" s="47">
        <v>104</v>
      </c>
      <c r="Q10" s="23">
        <f>M10*2.2</f>
        <v>107.80000000000001</v>
      </c>
      <c r="R10" s="23"/>
    </row>
    <row r="11" spans="1:18" s="8" customFormat="1" x14ac:dyDescent="0.15">
      <c r="A11" s="8" t="s">
        <v>4</v>
      </c>
      <c r="B11" s="23">
        <v>64</v>
      </c>
      <c r="C11" s="23">
        <v>74</v>
      </c>
      <c r="D11" s="47">
        <v>132</v>
      </c>
      <c r="E11" s="23">
        <v>156</v>
      </c>
      <c r="F11" s="22">
        <v>152</v>
      </c>
      <c r="G11" s="23">
        <v>165</v>
      </c>
      <c r="H11" s="47">
        <v>180</v>
      </c>
      <c r="I11" s="23">
        <v>207</v>
      </c>
      <c r="J11" s="22">
        <v>178</v>
      </c>
      <c r="K11" s="23">
        <v>198</v>
      </c>
      <c r="L11" s="47">
        <v>252</v>
      </c>
      <c r="M11" s="47">
        <v>342</v>
      </c>
      <c r="N11" s="22">
        <v>308</v>
      </c>
      <c r="O11" s="47">
        <v>386</v>
      </c>
      <c r="P11" s="47">
        <v>471</v>
      </c>
      <c r="Q11" s="23">
        <f>M11*2</f>
        <v>684</v>
      </c>
      <c r="R11" s="23"/>
    </row>
    <row r="12" spans="1:18" s="8" customFormat="1" x14ac:dyDescent="0.15">
      <c r="A12" s="8" t="s">
        <v>5</v>
      </c>
      <c r="B12" s="23">
        <v>25</v>
      </c>
      <c r="C12" s="23">
        <v>28</v>
      </c>
      <c r="D12" s="47">
        <v>33</v>
      </c>
      <c r="E12" s="23">
        <v>52</v>
      </c>
      <c r="F12" s="22">
        <v>44</v>
      </c>
      <c r="G12" s="23">
        <v>52</v>
      </c>
      <c r="H12" s="47">
        <v>57</v>
      </c>
      <c r="I12" s="23">
        <v>87</v>
      </c>
      <c r="J12" s="22">
        <v>76</v>
      </c>
      <c r="K12" s="23">
        <v>101</v>
      </c>
      <c r="L12" s="47">
        <v>99</v>
      </c>
      <c r="M12" s="47">
        <v>110</v>
      </c>
      <c r="N12" s="22">
        <v>127</v>
      </c>
      <c r="O12" s="47">
        <v>145</v>
      </c>
      <c r="P12" s="47">
        <v>198</v>
      </c>
      <c r="Q12" s="23">
        <f>M12*1.9</f>
        <v>209</v>
      </c>
      <c r="R12" s="23"/>
    </row>
    <row r="13" spans="1:18" s="8" customFormat="1" x14ac:dyDescent="0.15">
      <c r="A13" s="8" t="s">
        <v>6</v>
      </c>
      <c r="B13" s="26">
        <f t="shared" ref="B13:D13" si="5">SUM(B10:B12)</f>
        <v>95</v>
      </c>
      <c r="C13" s="26">
        <f t="shared" si="5"/>
        <v>109</v>
      </c>
      <c r="D13" s="26">
        <f t="shared" si="5"/>
        <v>173</v>
      </c>
      <c r="E13" s="26">
        <f t="shared" ref="E13" si="6">SUM(E10:E12)</f>
        <v>217</v>
      </c>
      <c r="F13" s="27">
        <f t="shared" ref="F13:Q13" si="7">SUM(F10:F12)</f>
        <v>207</v>
      </c>
      <c r="G13" s="26">
        <f t="shared" si="7"/>
        <v>230</v>
      </c>
      <c r="H13" s="26">
        <f t="shared" si="7"/>
        <v>254</v>
      </c>
      <c r="I13" s="26">
        <f t="shared" si="7"/>
        <v>321</v>
      </c>
      <c r="J13" s="27">
        <f t="shared" si="7"/>
        <v>283</v>
      </c>
      <c r="K13" s="26">
        <f t="shared" si="7"/>
        <v>334</v>
      </c>
      <c r="L13" s="26">
        <f t="shared" si="7"/>
        <v>395</v>
      </c>
      <c r="M13" s="26">
        <f t="shared" si="7"/>
        <v>501</v>
      </c>
      <c r="N13" s="27">
        <f t="shared" si="7"/>
        <v>500</v>
      </c>
      <c r="O13" s="26">
        <f t="shared" si="7"/>
        <v>606</v>
      </c>
      <c r="P13" s="26">
        <f t="shared" si="7"/>
        <v>773</v>
      </c>
      <c r="Q13" s="26">
        <f t="shared" si="7"/>
        <v>1000.8</v>
      </c>
      <c r="R13" s="23"/>
    </row>
    <row r="14" spans="1:18" s="8" customFormat="1" x14ac:dyDescent="0.15">
      <c r="A14" s="8" t="s">
        <v>7</v>
      </c>
      <c r="B14" s="26">
        <f t="shared" ref="B14:D14" si="8">B9-B13</f>
        <v>-67.893000000000001</v>
      </c>
      <c r="C14" s="26">
        <f t="shared" si="8"/>
        <v>-83.159000000000006</v>
      </c>
      <c r="D14" s="26">
        <f t="shared" si="8"/>
        <v>-162.18099999999998</v>
      </c>
      <c r="E14" s="26">
        <f t="shared" ref="E14" si="9">E9-E13</f>
        <v>-193.45499999999998</v>
      </c>
      <c r="F14" s="27">
        <f t="shared" ref="F14:Q14" si="10">F9-F13</f>
        <v>-198.47499999999999</v>
      </c>
      <c r="G14" s="26">
        <f t="shared" si="10"/>
        <v>-221.41800000000001</v>
      </c>
      <c r="H14" s="26">
        <f t="shared" si="10"/>
        <v>-248.39000000000001</v>
      </c>
      <c r="I14" s="26">
        <f t="shared" si="10"/>
        <v>-328.959</v>
      </c>
      <c r="J14" s="27">
        <f t="shared" si="10"/>
        <v>-243.54400000000004</v>
      </c>
      <c r="K14" s="26">
        <f t="shared" si="10"/>
        <v>-236.55599999999993</v>
      </c>
      <c r="L14" s="26">
        <f t="shared" si="10"/>
        <v>-191.83200000000005</v>
      </c>
      <c r="M14" s="26">
        <f t="shared" si="10"/>
        <v>-236.14800000000002</v>
      </c>
      <c r="N14" s="27">
        <f t="shared" si="10"/>
        <v>-293.19999999999993</v>
      </c>
      <c r="O14" s="26">
        <f t="shared" si="10"/>
        <v>-405.17399999999998</v>
      </c>
      <c r="P14" s="26">
        <f t="shared" si="10"/>
        <v>-365.43299999999988</v>
      </c>
      <c r="Q14" s="26">
        <f t="shared" si="10"/>
        <v>-472.4960843678225</v>
      </c>
      <c r="R14" s="23"/>
    </row>
    <row r="15" spans="1:18" s="8" customFormat="1" x14ac:dyDescent="0.15">
      <c r="A15" s="8" t="s">
        <v>8</v>
      </c>
      <c r="B15" s="23">
        <f>0-2</f>
        <v>-2</v>
      </c>
      <c r="C15" s="23">
        <f>0-7-0</f>
        <v>-7</v>
      </c>
      <c r="D15" s="47">
        <f>1+26-0</f>
        <v>27</v>
      </c>
      <c r="E15" s="23">
        <f>2-62</f>
        <v>-60</v>
      </c>
      <c r="F15" s="22">
        <f>1-18</f>
        <v>-17</v>
      </c>
      <c r="G15" s="23">
        <f>2-31-1</f>
        <v>-30</v>
      </c>
      <c r="H15" s="47">
        <f>3+31-1</f>
        <v>33</v>
      </c>
      <c r="I15" s="23">
        <f>4+53-1</f>
        <v>56</v>
      </c>
      <c r="J15" s="22">
        <f>3-443-0+436</f>
        <v>-4</v>
      </c>
      <c r="K15" s="23">
        <f>2-29</f>
        <v>-27</v>
      </c>
      <c r="L15" s="47">
        <f>4+10</f>
        <v>14</v>
      </c>
      <c r="M15" s="47">
        <f>6-15-1</f>
        <v>-10</v>
      </c>
      <c r="N15" s="22">
        <f>25+11-1</f>
        <v>35</v>
      </c>
      <c r="O15" s="47">
        <f>33+8</f>
        <v>41</v>
      </c>
      <c r="P15" s="47">
        <f>59-74</f>
        <v>-15</v>
      </c>
      <c r="Q15" s="23">
        <f>P15</f>
        <v>-15</v>
      </c>
      <c r="R15" s="23"/>
    </row>
    <row r="16" spans="1:18" s="8" customFormat="1" x14ac:dyDescent="0.15">
      <c r="A16" s="8" t="s">
        <v>9</v>
      </c>
      <c r="B16" s="26">
        <f t="shared" ref="B16:F16" si="11">B14+B15</f>
        <v>-69.893000000000001</v>
      </c>
      <c r="C16" s="26">
        <f t="shared" si="11"/>
        <v>-90.159000000000006</v>
      </c>
      <c r="D16" s="26">
        <f t="shared" si="11"/>
        <v>-135.18099999999998</v>
      </c>
      <c r="E16" s="26">
        <f t="shared" si="11"/>
        <v>-253.45499999999998</v>
      </c>
      <c r="F16" s="27">
        <f t="shared" si="11"/>
        <v>-215.47499999999999</v>
      </c>
      <c r="G16" s="26">
        <f t="shared" ref="G16:H16" si="12">G14+G15</f>
        <v>-251.41800000000001</v>
      </c>
      <c r="H16" s="26">
        <f t="shared" si="12"/>
        <v>-215.39000000000001</v>
      </c>
      <c r="I16" s="26">
        <f t="shared" ref="I16" si="13">I14+I15</f>
        <v>-272.959</v>
      </c>
      <c r="J16" s="27">
        <f t="shared" ref="J16:L16" si="14">J14+J15</f>
        <v>-247.54400000000004</v>
      </c>
      <c r="K16" s="26">
        <f t="shared" si="14"/>
        <v>-263.55599999999993</v>
      </c>
      <c r="L16" s="26">
        <f t="shared" si="14"/>
        <v>-177.83200000000005</v>
      </c>
      <c r="M16" s="26">
        <f t="shared" ref="M16" si="15">M14+M15</f>
        <v>-246.14800000000002</v>
      </c>
      <c r="N16" s="27">
        <f t="shared" ref="N16:Q16" si="16">N14+N15</f>
        <v>-258.19999999999993</v>
      </c>
      <c r="O16" s="26">
        <f t="shared" si="16"/>
        <v>-364.17399999999998</v>
      </c>
      <c r="P16" s="26">
        <f t="shared" si="16"/>
        <v>-380.43299999999988</v>
      </c>
      <c r="Q16" s="26">
        <f t="shared" si="16"/>
        <v>-487.4960843678225</v>
      </c>
      <c r="R16" s="23"/>
    </row>
    <row r="17" spans="1:18" s="8" customFormat="1" x14ac:dyDescent="0.15">
      <c r="A17" s="8" t="s">
        <v>10</v>
      </c>
      <c r="B17" s="23">
        <v>2</v>
      </c>
      <c r="C17" s="23">
        <v>2</v>
      </c>
      <c r="D17" s="23">
        <v>-2</v>
      </c>
      <c r="E17" s="23">
        <v>9</v>
      </c>
      <c r="F17" s="22">
        <v>-1</v>
      </c>
      <c r="G17" s="23">
        <v>0</v>
      </c>
      <c r="H17" s="23">
        <v>2</v>
      </c>
      <c r="I17" s="23">
        <v>3</v>
      </c>
      <c r="J17" s="22">
        <v>7</v>
      </c>
      <c r="K17" s="23">
        <v>15</v>
      </c>
      <c r="L17" s="23">
        <v>27</v>
      </c>
      <c r="M17" s="23">
        <v>36</v>
      </c>
      <c r="N17" s="22">
        <v>23</v>
      </c>
      <c r="O17" s="23">
        <v>28</v>
      </c>
      <c r="P17" s="23">
        <v>46</v>
      </c>
      <c r="Q17" s="23">
        <f>Q16*P24</f>
        <v>58.945517031697676</v>
      </c>
      <c r="R17" s="23"/>
    </row>
    <row r="18" spans="1:18" s="17" customFormat="1" x14ac:dyDescent="0.15">
      <c r="A18" s="17" t="s">
        <v>11</v>
      </c>
      <c r="B18" s="24">
        <f t="shared" ref="B18:C18" si="17">B16-B17</f>
        <v>-71.893000000000001</v>
      </c>
      <c r="C18" s="24">
        <f t="shared" si="17"/>
        <v>-92.159000000000006</v>
      </c>
      <c r="D18" s="24">
        <f t="shared" ref="D18:F18" si="18">D16-D17</f>
        <v>-133.18099999999998</v>
      </c>
      <c r="E18" s="24">
        <f t="shared" si="18"/>
        <v>-262.45499999999998</v>
      </c>
      <c r="F18" s="25">
        <f t="shared" si="18"/>
        <v>-214.47499999999999</v>
      </c>
      <c r="G18" s="24">
        <f t="shared" ref="G18:H18" si="19">G16-G17</f>
        <v>-251.41800000000001</v>
      </c>
      <c r="H18" s="24">
        <f t="shared" si="19"/>
        <v>-217.39000000000001</v>
      </c>
      <c r="I18" s="24">
        <f t="shared" ref="I18" si="20">I16-I17</f>
        <v>-275.959</v>
      </c>
      <c r="J18" s="25">
        <f t="shared" ref="J18:P18" si="21">J16-J17</f>
        <v>-254.54400000000004</v>
      </c>
      <c r="K18" s="24">
        <f t="shared" si="21"/>
        <v>-278.55599999999993</v>
      </c>
      <c r="L18" s="24">
        <f t="shared" si="21"/>
        <v>-204.83200000000005</v>
      </c>
      <c r="M18" s="24">
        <f t="shared" si="21"/>
        <v>-282.14800000000002</v>
      </c>
      <c r="N18" s="25">
        <f t="shared" si="21"/>
        <v>-281.19999999999993</v>
      </c>
      <c r="O18" s="24">
        <f t="shared" si="21"/>
        <v>-392.17399999999998</v>
      </c>
      <c r="P18" s="24">
        <f t="shared" si="21"/>
        <v>-426.43299999999988</v>
      </c>
      <c r="Q18" s="24">
        <f t="shared" ref="Q18" si="22">Q16-Q17</f>
        <v>-546.44160139952021</v>
      </c>
      <c r="R18" s="23"/>
    </row>
    <row r="19" spans="1:18" s="4" customFormat="1" x14ac:dyDescent="0.15">
      <c r="A19" s="4" t="s">
        <v>12</v>
      </c>
      <c r="B19" s="55">
        <f t="shared" ref="B19:C19" si="23">IFERROR(B18/B20,0)</f>
        <v>-0.41581426564105201</v>
      </c>
      <c r="C19" s="55">
        <f t="shared" si="23"/>
        <v>-0.52665662636573973</v>
      </c>
      <c r="D19" s="55">
        <f t="shared" ref="D19:F19" si="24">IFERROR(D18/D20,0)</f>
        <v>-0.75683644695108454</v>
      </c>
      <c r="E19" s="55">
        <f t="shared" si="24"/>
        <v>-0.89475960007963606</v>
      </c>
      <c r="F19" s="56">
        <f t="shared" si="24"/>
        <v>-0.63994229643520584</v>
      </c>
      <c r="G19" s="55">
        <f t="shared" ref="G19:H19" si="25">IFERROR(G18/G20,0)</f>
        <v>-0.7470855919700955</v>
      </c>
      <c r="H19" s="55">
        <f t="shared" si="25"/>
        <v>-0.64353807577586097</v>
      </c>
      <c r="I19" s="55">
        <f t="shared" ref="I19" si="26">IFERROR(I18/I20,0)</f>
        <v>-0.81069616585152771</v>
      </c>
      <c r="J19" s="56">
        <f t="shared" ref="J19:K19" si="27">IFERROR(J18/J20,0)</f>
        <v>-0.68661291795373791</v>
      </c>
      <c r="K19" s="55">
        <f t="shared" si="27"/>
        <v>-0.61284745331539525</v>
      </c>
      <c r="L19" s="55">
        <f t="shared" ref="L19:M19" si="28">IFERROR(L18/L20,0)</f>
        <v>-0.44568163764694246</v>
      </c>
      <c r="M19" s="55">
        <f t="shared" si="28"/>
        <v>-0.61293129001961644</v>
      </c>
      <c r="N19" s="56">
        <f t="shared" ref="N19:P19" si="29">IFERROR(N18/N20,0)</f>
        <v>-0.60840246382054253</v>
      </c>
      <c r="O19" s="55">
        <f t="shared" si="29"/>
        <v>-0.84068056003901204</v>
      </c>
      <c r="P19" s="55">
        <f t="shared" si="29"/>
        <v>-0.86825191006746483</v>
      </c>
      <c r="Q19" s="55">
        <f t="shared" ref="Q19" si="30">IFERROR(Q18/Q20,0)</f>
        <v>0</v>
      </c>
      <c r="R19" s="23"/>
    </row>
    <row r="20" spans="1:18" s="8" customFormat="1" x14ac:dyDescent="0.15">
      <c r="A20" s="8" t="s">
        <v>13</v>
      </c>
      <c r="B20" s="23">
        <v>172.896906</v>
      </c>
      <c r="C20" s="23">
        <v>174.98877899999999</v>
      </c>
      <c r="D20" s="47">
        <v>175.97064800000001</v>
      </c>
      <c r="E20" s="23">
        <v>293.32459799999998</v>
      </c>
      <c r="F20" s="22">
        <v>335.14740499999999</v>
      </c>
      <c r="G20" s="23">
        <v>336.531721</v>
      </c>
      <c r="H20" s="47">
        <v>337.80441000000002</v>
      </c>
      <c r="I20" s="23">
        <v>340.39756399999999</v>
      </c>
      <c r="J20" s="22">
        <v>370.72416399999997</v>
      </c>
      <c r="K20" s="23">
        <v>454.527466</v>
      </c>
      <c r="L20" s="47">
        <v>459.59263900000002</v>
      </c>
      <c r="M20" s="47">
        <v>460.32565899999997</v>
      </c>
      <c r="N20" s="22">
        <v>462.194052</v>
      </c>
      <c r="O20" s="47">
        <v>466.495859</v>
      </c>
      <c r="P20" s="47">
        <v>491.13972000000001</v>
      </c>
      <c r="Q20" s="23"/>
      <c r="R20" s="23"/>
    </row>
    <row r="21" spans="1:18" s="20" customFormat="1" x14ac:dyDescent="0.15">
      <c r="B21" s="23"/>
      <c r="C21" s="23"/>
      <c r="E21" s="23"/>
      <c r="F21" s="22"/>
      <c r="G21" s="23"/>
      <c r="I21" s="23"/>
      <c r="J21" s="21"/>
      <c r="N21" s="21"/>
      <c r="Q21" s="23"/>
      <c r="R21" s="23"/>
    </row>
    <row r="22" spans="1:18" x14ac:dyDescent="0.15">
      <c r="A22" s="6" t="s">
        <v>15</v>
      </c>
      <c r="B22" s="33">
        <f t="shared" ref="B22" si="31">IFERROR(B9/B7,0)</f>
        <v>0.28854116770450799</v>
      </c>
      <c r="C22" s="33">
        <f t="shared" ref="C22" si="32">IFERROR(C9/C7,0)</f>
        <v>0.2544732980787221</v>
      </c>
      <c r="D22" s="33">
        <f t="shared" ref="D22:F22" si="33">IFERROR(D9/D7,0)</f>
        <v>0.11498076391693415</v>
      </c>
      <c r="E22" s="33">
        <f t="shared" si="33"/>
        <v>0.1889586209110462</v>
      </c>
      <c r="F22" s="34">
        <f t="shared" si="33"/>
        <v>5.4984391527566401E-2</v>
      </c>
      <c r="G22" s="33">
        <f t="shared" ref="G22:H22" si="34">IFERROR(G9/G7,0)</f>
        <v>4.6697391976232287E-2</v>
      </c>
      <c r="H22" s="33">
        <f t="shared" si="34"/>
        <v>2.7376403589675951E-2</v>
      </c>
      <c r="I22" s="33">
        <f t="shared" ref="I22" si="35">IFERROR(I9/I7,0)</f>
        <v>-2.8101432082026961E-2</v>
      </c>
      <c r="J22" s="34">
        <f t="shared" ref="J22:P22" si="36">IFERROR(J9/J7,0)</f>
        <v>0.11213359631223239</v>
      </c>
      <c r="K22" s="33">
        <f t="shared" si="36"/>
        <v>0.22341803641399438</v>
      </c>
      <c r="L22" s="33">
        <f t="shared" si="36"/>
        <v>0.33298750936265131</v>
      </c>
      <c r="M22" s="33">
        <f t="shared" si="36"/>
        <v>0.34076662583759637</v>
      </c>
      <c r="N22" s="34">
        <f t="shared" si="36"/>
        <v>0.28926313433670908</v>
      </c>
      <c r="O22" s="33">
        <f t="shared" si="36"/>
        <v>0.22768510057435432</v>
      </c>
      <c r="P22" s="33">
        <f t="shared" si="36"/>
        <v>0.33623201557550164</v>
      </c>
      <c r="Q22" s="23"/>
      <c r="R22" s="23"/>
    </row>
    <row r="23" spans="1:18" x14ac:dyDescent="0.15">
      <c r="A23" s="6" t="s">
        <v>16</v>
      </c>
      <c r="B23" s="35">
        <f t="shared" ref="B23" si="37">IFERROR(B14/B7,0)</f>
        <v>-0.72268880728085583</v>
      </c>
      <c r="C23" s="35">
        <f t="shared" ref="C23" si="38">IFERROR(C14/C7,0)</f>
        <v>-0.81892128767959671</v>
      </c>
      <c r="D23" s="35">
        <f t="shared" ref="D23:F23" si="39">IFERROR(D14/D7,0)</f>
        <v>-1.7236061810529892</v>
      </c>
      <c r="E23" s="35">
        <f t="shared" si="39"/>
        <v>-1.5525585053449327</v>
      </c>
      <c r="F23" s="36">
        <f t="shared" si="39"/>
        <v>-1.2801204819277108</v>
      </c>
      <c r="G23" s="35">
        <f t="shared" ref="G23:H23" si="40">IFERROR(G14/G7,0)</f>
        <v>-1.2048057721502456</v>
      </c>
      <c r="H23" s="35">
        <f t="shared" si="40"/>
        <v>-1.2121256484206109</v>
      </c>
      <c r="I23" s="35">
        <f t="shared" ref="I23" si="41">IFERROR(I14/I7,0)</f>
        <v>-1.161479959325481</v>
      </c>
      <c r="J23" s="36">
        <f t="shared" ref="J23:P23" si="42">IFERROR(J14/J7,0)</f>
        <v>-0.69214985250066796</v>
      </c>
      <c r="K23" s="35">
        <f t="shared" si="42"/>
        <v>-0.542371793255088</v>
      </c>
      <c r="L23" s="35">
        <f t="shared" si="42"/>
        <v>-0.3144080755633572</v>
      </c>
      <c r="M23" s="35">
        <f t="shared" si="42"/>
        <v>-0.30383518779656837</v>
      </c>
      <c r="N23" s="36">
        <f t="shared" si="42"/>
        <v>-0.41011581715436679</v>
      </c>
      <c r="O23" s="35">
        <f t="shared" si="42"/>
        <v>-0.45936324450077887</v>
      </c>
      <c r="P23" s="35">
        <f t="shared" si="42"/>
        <v>-0.30147257787750781</v>
      </c>
      <c r="Q23" s="23"/>
      <c r="R23" s="23"/>
    </row>
    <row r="24" spans="1:18" x14ac:dyDescent="0.15">
      <c r="A24" s="6" t="s">
        <v>17</v>
      </c>
      <c r="B24" s="35">
        <f t="shared" ref="B24" si="43">IFERROR(B17/B16,0)</f>
        <v>-2.8615168901034438E-2</v>
      </c>
      <c r="C24" s="35">
        <f t="shared" ref="C24" si="44">IFERROR(C17/C16,0)</f>
        <v>-2.2183032198671234E-2</v>
      </c>
      <c r="D24" s="35">
        <f t="shared" ref="D24:F24" si="45">IFERROR(D17/D16,0)</f>
        <v>1.4794978584268502E-2</v>
      </c>
      <c r="E24" s="35">
        <f t="shared" si="45"/>
        <v>-3.5509261999171454E-2</v>
      </c>
      <c r="F24" s="36">
        <f t="shared" si="45"/>
        <v>4.6409096182851838E-3</v>
      </c>
      <c r="G24" s="35">
        <f t="shared" ref="G24:H24" si="46">IFERROR(G17/G16,0)</f>
        <v>0</v>
      </c>
      <c r="H24" s="35">
        <f t="shared" si="46"/>
        <v>-9.2854821486605694E-3</v>
      </c>
      <c r="I24" s="35">
        <f t="shared" ref="I24" si="47">IFERROR(I17/I16,0)</f>
        <v>-1.0990661601192853E-2</v>
      </c>
      <c r="J24" s="36">
        <f t="shared" ref="J24:P24" si="48">IFERROR(J17/J16,0)</f>
        <v>-2.8277801118185047E-2</v>
      </c>
      <c r="K24" s="35">
        <f t="shared" si="48"/>
        <v>-5.6913900651095042E-2</v>
      </c>
      <c r="L24" s="35">
        <f t="shared" si="48"/>
        <v>-0.15182869224886406</v>
      </c>
      <c r="M24" s="35">
        <f t="shared" si="48"/>
        <v>-0.1462534735199961</v>
      </c>
      <c r="N24" s="36">
        <f t="shared" si="48"/>
        <v>-8.907823392718825E-2</v>
      </c>
      <c r="O24" s="35">
        <f t="shared" si="48"/>
        <v>-7.6886323570600865E-2</v>
      </c>
      <c r="P24" s="35">
        <f t="shared" si="48"/>
        <v>-0.12091485228673647</v>
      </c>
      <c r="Q24" s="23"/>
      <c r="R24" s="23"/>
    </row>
    <row r="25" spans="1:18" s="20" customFormat="1" x14ac:dyDescent="0.15">
      <c r="B25" s="23"/>
      <c r="C25" s="23"/>
      <c r="D25" s="23"/>
      <c r="E25" s="23"/>
      <c r="F25" s="22"/>
      <c r="G25" s="23"/>
      <c r="H25" s="23"/>
      <c r="I25" s="23"/>
      <c r="J25" s="21"/>
      <c r="N25" s="21"/>
      <c r="Q25" s="23"/>
      <c r="R25" s="23"/>
    </row>
    <row r="26" spans="1:18" s="12" customFormat="1" x14ac:dyDescent="0.15">
      <c r="A26" s="12" t="s">
        <v>14</v>
      </c>
      <c r="B26" s="23"/>
      <c r="C26" s="23"/>
      <c r="D26" s="23"/>
      <c r="E26" s="23"/>
      <c r="F26" s="30">
        <f>IFERROR((F7/B7)-1,0)</f>
        <v>0.65036989728032379</v>
      </c>
      <c r="G26" s="29">
        <f>IFERROR((G7/C7)-1,0)</f>
        <v>0.8097925098722758</v>
      </c>
      <c r="H26" s="29">
        <f>IFERROR((H7/D7)-1,0)</f>
        <v>1.1778328054923799</v>
      </c>
      <c r="I26" s="29">
        <f>IFERROR((I7/E7)-1,0)</f>
        <v>1.2729928413213059</v>
      </c>
      <c r="J26" s="30">
        <f>IFERROR((J7/F7)-1,0)</f>
        <v>1.2694589922860606</v>
      </c>
      <c r="K26" s="29">
        <f>IFERROR((K7/G7)-1,0)</f>
        <v>1.3732363327692503</v>
      </c>
      <c r="L26" s="29">
        <f>IFERROR((L7/H7)-1,0)</f>
        <v>1.9774254468795291</v>
      </c>
      <c r="M26" s="29">
        <f>IFERROR((M7/I7)-1,0)</f>
        <v>1.7442024687173401</v>
      </c>
      <c r="N26" s="30">
        <f>IFERROR((N7/J7)-1,0)</f>
        <v>1.0317961951424692</v>
      </c>
      <c r="O26" s="29">
        <f>IFERROR((O7/K7)-1,0)</f>
        <v>1.0223133731207765</v>
      </c>
      <c r="P26" s="29">
        <f>IFERROR((P7/L7)-1,0)</f>
        <v>0.98670134740230497</v>
      </c>
      <c r="Q26" s="29">
        <f>IFERROR((Q7/M7)-1,0)</f>
        <v>1.0216155188208296</v>
      </c>
      <c r="R26" s="23"/>
    </row>
    <row r="27" spans="1:18" s="12" customFormat="1" x14ac:dyDescent="0.15">
      <c r="A27" s="6" t="s">
        <v>30</v>
      </c>
      <c r="B27" s="23"/>
      <c r="C27" s="23"/>
      <c r="D27" s="23"/>
      <c r="E27" s="23"/>
      <c r="F27" s="32">
        <f t="shared" ref="F27:F30" si="49">F10/B10-1</f>
        <v>0.83333333333333326</v>
      </c>
      <c r="G27" s="31">
        <f t="shared" ref="G27:H30" si="50">G10/C10-1</f>
        <v>0.85714285714285721</v>
      </c>
      <c r="H27" s="31">
        <f t="shared" si="50"/>
        <v>1.125</v>
      </c>
      <c r="I27" s="31">
        <f t="shared" ref="I27:I30" si="51">I10/E10-1</f>
        <v>2</v>
      </c>
      <c r="J27" s="32">
        <f t="shared" ref="J27:J30" si="52">J10/F10-1</f>
        <v>1.6363636363636362</v>
      </c>
      <c r="K27" s="31">
        <f t="shared" ref="K27:K30" si="53">K10/G10-1</f>
        <v>1.6923076923076925</v>
      </c>
      <c r="L27" s="31">
        <f t="shared" ref="L27:Q29" si="54">L10/H10-1</f>
        <v>1.5882352941176472</v>
      </c>
      <c r="M27" s="31">
        <f t="shared" si="54"/>
        <v>0.81481481481481488</v>
      </c>
      <c r="N27" s="32">
        <f t="shared" si="54"/>
        <v>1.2413793103448274</v>
      </c>
      <c r="O27" s="31">
        <f t="shared" si="54"/>
        <v>1.1428571428571428</v>
      </c>
      <c r="P27" s="31">
        <f t="shared" si="54"/>
        <v>1.3636363636363638</v>
      </c>
      <c r="Q27" s="31">
        <f t="shared" si="54"/>
        <v>1.2000000000000002</v>
      </c>
      <c r="R27" s="23"/>
    </row>
    <row r="28" spans="1:18" s="12" customFormat="1" x14ac:dyDescent="0.15">
      <c r="A28" s="6" t="s">
        <v>31</v>
      </c>
      <c r="B28" s="23"/>
      <c r="C28" s="23"/>
      <c r="D28" s="23"/>
      <c r="E28" s="23"/>
      <c r="F28" s="32">
        <f>F11/B11-1</f>
        <v>1.375</v>
      </c>
      <c r="G28" s="31">
        <f>G11/C11-1</f>
        <v>1.2297297297297298</v>
      </c>
      <c r="H28" s="31">
        <f t="shared" si="50"/>
        <v>0.36363636363636354</v>
      </c>
      <c r="I28" s="31">
        <f>I11/E11-1</f>
        <v>0.32692307692307687</v>
      </c>
      <c r="J28" s="32">
        <f t="shared" si="52"/>
        <v>0.17105263157894735</v>
      </c>
      <c r="K28" s="31">
        <f t="shared" si="53"/>
        <v>0.19999999999999996</v>
      </c>
      <c r="L28" s="31">
        <f t="shared" si="54"/>
        <v>0.39999999999999991</v>
      </c>
      <c r="M28" s="31">
        <f t="shared" si="54"/>
        <v>0.65217391304347827</v>
      </c>
      <c r="N28" s="32">
        <f t="shared" si="54"/>
        <v>0.7303370786516854</v>
      </c>
      <c r="O28" s="31">
        <f t="shared" si="54"/>
        <v>0.94949494949494939</v>
      </c>
      <c r="P28" s="31">
        <f t="shared" si="54"/>
        <v>0.86904761904761907</v>
      </c>
      <c r="Q28" s="31">
        <f t="shared" si="54"/>
        <v>1</v>
      </c>
      <c r="R28" s="23"/>
    </row>
    <row r="29" spans="1:18" s="12" customFormat="1" x14ac:dyDescent="0.15">
      <c r="A29" s="6" t="s">
        <v>32</v>
      </c>
      <c r="B29" s="23"/>
      <c r="C29" s="23"/>
      <c r="D29" s="23"/>
      <c r="E29" s="23"/>
      <c r="F29" s="32">
        <f t="shared" si="49"/>
        <v>0.76</v>
      </c>
      <c r="G29" s="31">
        <f t="shared" si="50"/>
        <v>0.85714285714285721</v>
      </c>
      <c r="H29" s="31">
        <f t="shared" si="50"/>
        <v>0.72727272727272729</v>
      </c>
      <c r="I29" s="31">
        <f t="shared" si="51"/>
        <v>0.67307692307692313</v>
      </c>
      <c r="J29" s="32">
        <f t="shared" si="52"/>
        <v>0.72727272727272729</v>
      </c>
      <c r="K29" s="31">
        <f t="shared" si="53"/>
        <v>0.94230769230769229</v>
      </c>
      <c r="L29" s="31">
        <f t="shared" si="54"/>
        <v>0.73684210526315796</v>
      </c>
      <c r="M29" s="31">
        <f t="shared" si="54"/>
        <v>0.26436781609195403</v>
      </c>
      <c r="N29" s="32">
        <f t="shared" si="54"/>
        <v>0.67105263157894735</v>
      </c>
      <c r="O29" s="31">
        <f t="shared" si="54"/>
        <v>0.43564356435643559</v>
      </c>
      <c r="P29" s="31">
        <f t="shared" si="54"/>
        <v>1</v>
      </c>
      <c r="Q29" s="31">
        <f t="shared" si="54"/>
        <v>0.89999999999999991</v>
      </c>
      <c r="R29" s="23"/>
    </row>
    <row r="30" spans="1:18" x14ac:dyDescent="0.15">
      <c r="A30" s="6" t="s">
        <v>71</v>
      </c>
      <c r="B30" s="23"/>
      <c r="C30" s="23"/>
      <c r="D30" s="23"/>
      <c r="E30" s="23"/>
      <c r="F30" s="34">
        <f t="shared" si="49"/>
        <v>1.1789473684210527</v>
      </c>
      <c r="G30" s="33">
        <f t="shared" si="50"/>
        <v>1.1100917431192658</v>
      </c>
      <c r="H30" s="33">
        <f t="shared" si="50"/>
        <v>0.46820809248554918</v>
      </c>
      <c r="I30" s="33">
        <f t="shared" si="51"/>
        <v>0.47926267281105983</v>
      </c>
      <c r="J30" s="34">
        <f t="shared" si="52"/>
        <v>0.36714975845410636</v>
      </c>
      <c r="K30" s="33">
        <f t="shared" si="53"/>
        <v>0.45217391304347831</v>
      </c>
      <c r="L30" s="33">
        <f t="shared" ref="L30:Q30" si="55">L13/H13-1</f>
        <v>0.55511811023622037</v>
      </c>
      <c r="M30" s="33">
        <f t="shared" si="55"/>
        <v>0.56074766355140193</v>
      </c>
      <c r="N30" s="34">
        <f t="shared" si="55"/>
        <v>0.76678445229681969</v>
      </c>
      <c r="O30" s="33">
        <f t="shared" si="55"/>
        <v>0.81437125748502992</v>
      </c>
      <c r="P30" s="33">
        <f t="shared" si="55"/>
        <v>0.95696202531645569</v>
      </c>
      <c r="Q30" s="33">
        <f>Q13/M13-1</f>
        <v>0.99760479041916161</v>
      </c>
      <c r="R30" s="23"/>
    </row>
    <row r="31" spans="1:18" x14ac:dyDescent="0.15">
      <c r="B31" s="23"/>
      <c r="C31" s="23"/>
      <c r="D31" s="23"/>
      <c r="E31" s="23"/>
      <c r="F31" s="22"/>
      <c r="G31" s="23"/>
      <c r="H31" s="23"/>
      <c r="I31" s="23"/>
      <c r="K31" s="33"/>
      <c r="Q31" s="23"/>
      <c r="R31" s="23"/>
    </row>
    <row r="32" spans="1:18" s="17" customFormat="1" x14ac:dyDescent="0.15">
      <c r="A32" s="17" t="s">
        <v>18</v>
      </c>
      <c r="B32" s="23"/>
      <c r="C32" s="23"/>
      <c r="D32" s="23"/>
      <c r="E32" s="24">
        <f t="shared" ref="E32" si="56">E33-E34</f>
        <v>1488</v>
      </c>
      <c r="F32" s="22"/>
      <c r="G32" s="23"/>
      <c r="H32" s="23"/>
      <c r="I32" s="24">
        <f t="shared" ref="I32" si="57">I33-I34</f>
        <v>1126</v>
      </c>
      <c r="J32" s="21"/>
      <c r="K32" s="20"/>
      <c r="L32" s="20"/>
      <c r="M32" s="24">
        <f t="shared" ref="M32" si="58">M33-M34</f>
        <v>2399</v>
      </c>
      <c r="N32" s="21"/>
      <c r="O32" s="20"/>
      <c r="P32" s="24">
        <f t="shared" ref="P32" si="59">P33-P34</f>
        <v>2567</v>
      </c>
      <c r="Q32" s="23"/>
      <c r="R32" s="23"/>
    </row>
    <row r="33" spans="1:18" s="8" customFormat="1" x14ac:dyDescent="0.15">
      <c r="A33" s="8" t="s">
        <v>19</v>
      </c>
      <c r="B33" s="23"/>
      <c r="C33" s="23"/>
      <c r="D33" s="23"/>
      <c r="E33" s="23">
        <f>1347+95+18+28+2</f>
        <v>1490</v>
      </c>
      <c r="F33" s="22"/>
      <c r="G33" s="23"/>
      <c r="H33" s="23"/>
      <c r="I33" s="23">
        <f>1116+10</f>
        <v>1126</v>
      </c>
      <c r="J33" s="22"/>
      <c r="K33" s="20"/>
      <c r="L33" s="20"/>
      <c r="M33" s="23">
        <f>3119+435+102+112+17</f>
        <v>3785</v>
      </c>
      <c r="N33" s="21"/>
      <c r="O33" s="20"/>
      <c r="P33" s="23">
        <f>3509+693+42+219+25</f>
        <v>4488</v>
      </c>
      <c r="Q33" s="23"/>
      <c r="R33" s="23"/>
    </row>
    <row r="34" spans="1:18" s="8" customFormat="1" x14ac:dyDescent="0.15">
      <c r="A34" s="8" t="s">
        <v>20</v>
      </c>
      <c r="B34" s="23"/>
      <c r="C34" s="23"/>
      <c r="D34" s="23"/>
      <c r="E34" s="23">
        <f>2+0</f>
        <v>2</v>
      </c>
      <c r="F34" s="22"/>
      <c r="G34" s="23"/>
      <c r="H34" s="23"/>
      <c r="I34" s="23">
        <v>0</v>
      </c>
      <c r="J34" s="22"/>
      <c r="K34" s="20"/>
      <c r="L34" s="20"/>
      <c r="M34" s="23">
        <f>1+29+0+1356</f>
        <v>1386</v>
      </c>
      <c r="N34" s="21"/>
      <c r="O34" s="20"/>
      <c r="P34" s="23">
        <v>1921</v>
      </c>
      <c r="Q34" s="23"/>
      <c r="R34" s="23"/>
    </row>
    <row r="35" spans="1:18" s="8" customFormat="1" x14ac:dyDescent="0.15">
      <c r="B35" s="23"/>
      <c r="C35" s="23"/>
      <c r="D35" s="23"/>
      <c r="E35" s="23"/>
      <c r="F35" s="22"/>
      <c r="G35" s="23"/>
      <c r="H35" s="23"/>
      <c r="I35" s="23"/>
      <c r="J35" s="22"/>
      <c r="K35" s="20"/>
      <c r="L35" s="20"/>
      <c r="M35" s="23"/>
      <c r="N35" s="21"/>
      <c r="O35" s="20"/>
      <c r="P35" s="23"/>
      <c r="Q35" s="23"/>
      <c r="R35" s="23"/>
    </row>
    <row r="36" spans="1:18" s="8" customFormat="1" x14ac:dyDescent="0.15">
      <c r="A36" s="57" t="s">
        <v>44</v>
      </c>
      <c r="B36" s="23"/>
      <c r="C36" s="23"/>
      <c r="D36" s="23"/>
      <c r="E36" s="23">
        <f>37+31</f>
        <v>68</v>
      </c>
      <c r="F36" s="22"/>
      <c r="G36" s="23"/>
      <c r="H36" s="23"/>
      <c r="I36" s="23">
        <v>23</v>
      </c>
      <c r="J36" s="22"/>
      <c r="K36" s="20"/>
      <c r="L36" s="20"/>
      <c r="M36" s="23">
        <f>15+31</f>
        <v>46</v>
      </c>
      <c r="N36" s="21"/>
      <c r="O36" s="20"/>
      <c r="P36" s="23">
        <f>36+208</f>
        <v>244</v>
      </c>
      <c r="Q36" s="23"/>
      <c r="R36" s="23"/>
    </row>
    <row r="37" spans="1:18" s="8" customFormat="1" x14ac:dyDescent="0.15">
      <c r="A37" s="57" t="s">
        <v>45</v>
      </c>
      <c r="B37" s="23"/>
      <c r="C37" s="23"/>
      <c r="D37" s="23"/>
      <c r="E37" s="23">
        <v>1988</v>
      </c>
      <c r="F37" s="22"/>
      <c r="G37" s="23"/>
      <c r="H37" s="23"/>
      <c r="I37" s="23">
        <v>1431</v>
      </c>
      <c r="J37" s="22"/>
      <c r="K37" s="20"/>
      <c r="L37" s="20"/>
      <c r="M37" s="23">
        <v>5224</v>
      </c>
      <c r="N37" s="21"/>
      <c r="O37" s="20"/>
      <c r="P37" s="23">
        <v>6961</v>
      </c>
      <c r="Q37" s="23"/>
      <c r="R37" s="23"/>
    </row>
    <row r="38" spans="1:18" s="8" customFormat="1" x14ac:dyDescent="0.15">
      <c r="A38" s="57" t="s">
        <v>46</v>
      </c>
      <c r="B38" s="23"/>
      <c r="C38" s="23"/>
      <c r="D38" s="23"/>
      <c r="E38" s="23">
        <v>1513</v>
      </c>
      <c r="F38" s="22"/>
      <c r="G38" s="23"/>
      <c r="H38" s="23"/>
      <c r="I38" s="23">
        <v>923</v>
      </c>
      <c r="J38" s="22"/>
      <c r="K38" s="20"/>
      <c r="L38" s="20"/>
      <c r="M38" s="23">
        <v>4052</v>
      </c>
      <c r="N38" s="21"/>
      <c r="O38" s="20"/>
      <c r="P38" s="23">
        <v>6188</v>
      </c>
      <c r="Q38" s="23"/>
      <c r="R38" s="23"/>
    </row>
    <row r="39" spans="1:18" s="8" customFormat="1" x14ac:dyDescent="0.15">
      <c r="B39" s="23"/>
      <c r="C39" s="23"/>
      <c r="D39" s="23"/>
      <c r="E39" s="23"/>
      <c r="F39" s="22"/>
      <c r="G39" s="23"/>
      <c r="H39" s="23"/>
      <c r="I39" s="23"/>
      <c r="J39" s="22"/>
      <c r="K39" s="20"/>
      <c r="L39" s="20"/>
      <c r="M39" s="23"/>
      <c r="N39" s="21"/>
      <c r="O39" s="20"/>
      <c r="P39" s="23"/>
      <c r="Q39" s="23"/>
      <c r="R39" s="23"/>
    </row>
    <row r="40" spans="1:18" s="8" customFormat="1" x14ac:dyDescent="0.15">
      <c r="A40" s="57" t="s">
        <v>47</v>
      </c>
      <c r="B40" s="23"/>
      <c r="C40" s="23"/>
      <c r="D40" s="23"/>
      <c r="E40" s="26">
        <f t="shared" ref="E40" si="60">E37-E33-E36</f>
        <v>430</v>
      </c>
      <c r="F40" s="22"/>
      <c r="G40" s="23"/>
      <c r="H40" s="23"/>
      <c r="I40" s="26">
        <f t="shared" ref="I40:M40" si="61">I37-I33-I36</f>
        <v>282</v>
      </c>
      <c r="J40" s="21"/>
      <c r="K40" s="20"/>
      <c r="L40" s="20"/>
      <c r="M40" s="26">
        <f t="shared" si="61"/>
        <v>1393</v>
      </c>
      <c r="N40" s="21"/>
      <c r="O40" s="20"/>
      <c r="P40" s="26">
        <f t="shared" ref="P40" si="62">P37-P33-P36</f>
        <v>2229</v>
      </c>
      <c r="Q40" s="23"/>
      <c r="R40" s="23"/>
    </row>
    <row r="41" spans="1:18" s="8" customFormat="1" x14ac:dyDescent="0.15">
      <c r="A41" s="57" t="s">
        <v>48</v>
      </c>
      <c r="B41" s="23"/>
      <c r="C41" s="23"/>
      <c r="D41" s="23"/>
      <c r="E41" s="26">
        <f t="shared" ref="E41" si="63">E37-E38</f>
        <v>475</v>
      </c>
      <c r="F41" s="22"/>
      <c r="G41" s="23"/>
      <c r="H41" s="23"/>
      <c r="I41" s="26">
        <f t="shared" ref="I41" si="64">I37-I38</f>
        <v>508</v>
      </c>
      <c r="J41" s="21"/>
      <c r="K41" s="20"/>
      <c r="L41" s="20"/>
      <c r="M41" s="26">
        <f>M37-M38</f>
        <v>1172</v>
      </c>
      <c r="N41" s="21"/>
      <c r="O41" s="20"/>
      <c r="P41" s="26">
        <f>P37-P38</f>
        <v>773</v>
      </c>
      <c r="Q41" s="23"/>
      <c r="R41" s="23"/>
    </row>
    <row r="42" spans="1:18" s="8" customFormat="1" x14ac:dyDescent="0.15">
      <c r="B42" s="23"/>
      <c r="C42" s="23"/>
      <c r="D42" s="23"/>
      <c r="E42" s="23"/>
      <c r="F42" s="22"/>
      <c r="G42" s="23"/>
      <c r="H42" s="23"/>
      <c r="I42" s="23"/>
      <c r="J42" s="21"/>
      <c r="K42" s="20"/>
      <c r="L42" s="20"/>
      <c r="M42" s="23"/>
      <c r="N42" s="21"/>
      <c r="O42" s="20"/>
      <c r="P42" s="23"/>
      <c r="Q42" s="23"/>
      <c r="R42" s="23"/>
    </row>
    <row r="43" spans="1:18" s="17" customFormat="1" x14ac:dyDescent="0.15">
      <c r="A43" s="58" t="s">
        <v>90</v>
      </c>
      <c r="B43" s="23"/>
      <c r="C43" s="23"/>
      <c r="D43" s="23"/>
      <c r="E43" s="24">
        <f>SUM(B18:E18)</f>
        <v>-559.68799999999999</v>
      </c>
      <c r="F43" s="25">
        <f>SUM(C18:F18)</f>
        <v>-702.27</v>
      </c>
      <c r="G43" s="24">
        <f>SUM(D18:G18)</f>
        <v>-861.529</v>
      </c>
      <c r="H43" s="24">
        <f>SUM(E18:H18)</f>
        <v>-945.73799999999994</v>
      </c>
      <c r="I43" s="24">
        <f>SUM(F18:I18)</f>
        <v>-959.24199999999996</v>
      </c>
      <c r="J43" s="25">
        <f>SUM(G18:J18)</f>
        <v>-999.31100000000015</v>
      </c>
      <c r="K43" s="24">
        <f>SUM(H18:K18)</f>
        <v>-1026.4490000000001</v>
      </c>
      <c r="L43" s="24">
        <f>SUM(I18:L18)</f>
        <v>-1013.8910000000001</v>
      </c>
      <c r="M43" s="24">
        <f>SUM(J18:M18)</f>
        <v>-1020.08</v>
      </c>
      <c r="N43" s="25">
        <f>SUM(K18:N18)</f>
        <v>-1046.7359999999999</v>
      </c>
      <c r="O43" s="24">
        <f>SUM(L18:O18)</f>
        <v>-1160.354</v>
      </c>
      <c r="P43" s="24">
        <f>SUM(M18:P18)</f>
        <v>-1381.9549999999999</v>
      </c>
      <c r="Q43" s="23"/>
      <c r="R43" s="23"/>
    </row>
    <row r="44" spans="1:18" x14ac:dyDescent="0.15">
      <c r="A44" s="18" t="s">
        <v>49</v>
      </c>
      <c r="B44" s="23"/>
      <c r="C44" s="23"/>
      <c r="D44" s="23"/>
      <c r="E44" s="33">
        <f>E43/E41</f>
        <v>-1.1782905263157895</v>
      </c>
      <c r="F44" s="22"/>
      <c r="G44" s="23"/>
      <c r="H44" s="23"/>
      <c r="I44" s="33">
        <f>I43/I41</f>
        <v>-1.8882716535433071</v>
      </c>
      <c r="M44" s="33">
        <f>M43/M41</f>
        <v>-0.87037542662116041</v>
      </c>
      <c r="P44" s="33">
        <f>P43/P41</f>
        <v>-1.7877813712807245</v>
      </c>
      <c r="Q44" s="23"/>
      <c r="R44" s="23"/>
    </row>
    <row r="45" spans="1:18" x14ac:dyDescent="0.15">
      <c r="A45" s="18" t="s">
        <v>50</v>
      </c>
      <c r="B45" s="23"/>
      <c r="C45" s="23"/>
      <c r="D45" s="23"/>
      <c r="E45" s="33">
        <f>E43/E37</f>
        <v>-0.281533199195171</v>
      </c>
      <c r="F45" s="22"/>
      <c r="G45" s="23"/>
      <c r="H45" s="23"/>
      <c r="I45" s="33">
        <f>I43/I37</f>
        <v>-0.67032983927323553</v>
      </c>
      <c r="M45" s="33">
        <f>M43/M37</f>
        <v>-0.19526799387442573</v>
      </c>
      <c r="P45" s="33">
        <f>P43/P37</f>
        <v>-0.19852822870277259</v>
      </c>
      <c r="Q45" s="23"/>
      <c r="R45" s="23"/>
    </row>
    <row r="46" spans="1:18" x14ac:dyDescent="0.15">
      <c r="A46" s="18" t="s">
        <v>51</v>
      </c>
      <c r="B46" s="23"/>
      <c r="C46" s="23"/>
      <c r="D46" s="23"/>
      <c r="E46" s="33">
        <f>E43/(E41-E36)</f>
        <v>-1.3751547911547912</v>
      </c>
      <c r="F46" s="22"/>
      <c r="G46" s="23"/>
      <c r="H46" s="23"/>
      <c r="I46" s="33">
        <f>I43/(I41-I36)</f>
        <v>-1.9778185567010309</v>
      </c>
      <c r="M46" s="33">
        <f>M43/(M41-M36)</f>
        <v>-0.90593250444049733</v>
      </c>
      <c r="P46" s="33">
        <f>P43/(P41-P36)</f>
        <v>-2.6123913043478257</v>
      </c>
      <c r="Q46" s="23"/>
      <c r="R46" s="23"/>
    </row>
    <row r="47" spans="1:18" x14ac:dyDescent="0.15">
      <c r="A47" s="18" t="s">
        <v>52</v>
      </c>
      <c r="B47" s="23"/>
      <c r="C47" s="23"/>
      <c r="D47" s="23"/>
      <c r="E47" s="33">
        <f>E43/E40</f>
        <v>-1.3015999999999999</v>
      </c>
      <c r="F47" s="22"/>
      <c r="G47" s="23"/>
      <c r="H47" s="23"/>
      <c r="I47" s="33">
        <f>I43/I40</f>
        <v>-3.4015673758865246</v>
      </c>
      <c r="M47" s="33">
        <f>M43/M40</f>
        <v>-0.73229002153625267</v>
      </c>
      <c r="P47" s="33">
        <f>P43/P40</f>
        <v>-0.61998878420816506</v>
      </c>
      <c r="Q47" s="23"/>
      <c r="R47" s="23"/>
    </row>
    <row r="48" spans="1:18" x14ac:dyDescent="0.15">
      <c r="A48" s="18"/>
      <c r="B48" s="23"/>
      <c r="C48" s="23"/>
      <c r="D48" s="23"/>
      <c r="E48" s="33"/>
      <c r="F48" s="22"/>
      <c r="G48" s="23"/>
      <c r="H48" s="23"/>
      <c r="I48" s="33"/>
      <c r="M48" s="33"/>
      <c r="P48" s="33"/>
      <c r="Q48" s="23"/>
      <c r="R48" s="23"/>
    </row>
    <row r="49" spans="1:18" s="12" customFormat="1" x14ac:dyDescent="0.15">
      <c r="A49" s="12" t="s">
        <v>88</v>
      </c>
      <c r="B49" s="72"/>
      <c r="C49" s="73"/>
      <c r="D49" s="73"/>
      <c r="E49" s="24">
        <f>SUM(B7:E7)</f>
        <v>414.19</v>
      </c>
      <c r="F49" s="25">
        <f>SUM(C7:F7)</f>
        <v>475.28899999999999</v>
      </c>
      <c r="G49" s="24">
        <f>SUM(D7:G7)</f>
        <v>557.52099999999996</v>
      </c>
      <c r="H49" s="24">
        <f>SUM(E7:H7)</f>
        <v>668.34799999999996</v>
      </c>
      <c r="I49" s="24">
        <f>SUM(F7:I7)</f>
        <v>826.96799999999985</v>
      </c>
      <c r="J49" s="25">
        <f>SUM(G7:J7)</f>
        <v>1023.79</v>
      </c>
      <c r="K49" s="24">
        <f>SUM(H7:K7)</f>
        <v>1276.162</v>
      </c>
      <c r="L49" s="24">
        <f>SUM(I7:L7)</f>
        <v>1681.3779999999999</v>
      </c>
      <c r="M49" s="24">
        <f>SUM(J7:M7)</f>
        <v>2175.3779999999997</v>
      </c>
      <c r="N49" s="25">
        <f>SUM(K7:N7)</f>
        <v>2538.4319999999998</v>
      </c>
      <c r="O49" s="24">
        <f>SUM(L7:O7)</f>
        <v>2984.3150000000001</v>
      </c>
      <c r="P49" s="24">
        <f>SUM(M7:P7)</f>
        <v>3586.3379999999997</v>
      </c>
      <c r="Q49" s="73"/>
    </row>
    <row r="50" spans="1:18" s="74" customFormat="1" x14ac:dyDescent="0.15">
      <c r="A50" s="74" t="s">
        <v>89</v>
      </c>
      <c r="B50" s="75"/>
      <c r="C50" s="76"/>
      <c r="D50" s="76"/>
      <c r="E50" s="76"/>
      <c r="F50" s="75"/>
      <c r="G50" s="76"/>
      <c r="H50" s="76"/>
      <c r="I50" s="76">
        <f>I49/E49-1</f>
        <v>0.99659093652671449</v>
      </c>
      <c r="J50" s="75">
        <f>J49/F49-1</f>
        <v>1.154036807079482</v>
      </c>
      <c r="K50" s="76">
        <f>K49/G49-1</f>
        <v>1.288993598447413</v>
      </c>
      <c r="L50" s="76">
        <f>L49/H49-1</f>
        <v>1.5157223482377447</v>
      </c>
      <c r="M50" s="76">
        <f>M49/I49-1</f>
        <v>1.6305467684360218</v>
      </c>
      <c r="N50" s="75">
        <f>N49/J49-1</f>
        <v>1.4794459801326441</v>
      </c>
      <c r="O50" s="76">
        <f>O49/K49-1</f>
        <v>1.3385079637224742</v>
      </c>
      <c r="P50" s="76">
        <f>P49/L49-1</f>
        <v>1.1329754522778339</v>
      </c>
      <c r="Q50" s="76"/>
    </row>
    <row r="51" spans="1:18" x14ac:dyDescent="0.15">
      <c r="B51" s="23"/>
      <c r="C51" s="23"/>
      <c r="D51" s="23"/>
      <c r="E51" s="23"/>
      <c r="F51" s="22"/>
      <c r="G51" s="23"/>
      <c r="H51" s="23"/>
      <c r="I51" s="23"/>
      <c r="K51" s="33"/>
      <c r="Q51" s="23"/>
      <c r="R51" s="23"/>
    </row>
    <row r="52" spans="1:18" s="63" customFormat="1" x14ac:dyDescent="0.15">
      <c r="A52" s="63" t="s">
        <v>63</v>
      </c>
      <c r="B52" s="34"/>
      <c r="C52" s="33"/>
      <c r="D52" s="33"/>
      <c r="E52" s="33"/>
      <c r="F52" s="34">
        <f>F3/B3-1</f>
        <v>0.26342109469549935</v>
      </c>
      <c r="G52" s="33">
        <f>G3/C3-1</f>
        <v>0.1811740780021649</v>
      </c>
      <c r="H52" s="33">
        <f>H3/D3-1</f>
        <v>0.41004273236506705</v>
      </c>
      <c r="I52" s="33">
        <f>I3/E3-1</f>
        <v>0.2345118177628549</v>
      </c>
      <c r="J52" s="34">
        <f>J3/F3-1</f>
        <v>0.56698114912613629</v>
      </c>
      <c r="K52" s="33">
        <f>K3/G3-1</f>
        <v>1.1242259023040111</v>
      </c>
      <c r="L52" s="33">
        <f>L3/H3-1</f>
        <v>1.9244400995378599</v>
      </c>
      <c r="M52" s="33">
        <f>M3/I3-1</f>
        <v>2.0785558103567809</v>
      </c>
      <c r="N52" s="67">
        <f>N3/J3-1</f>
        <v>1.1319788464754699</v>
      </c>
      <c r="O52" s="33">
        <f>O3/K3-1</f>
        <v>0.67312770723119431</v>
      </c>
      <c r="P52" s="33">
        <f>P3/L3-1</f>
        <v>0.7291207021254611</v>
      </c>
      <c r="Q52" s="33">
        <f>Q3/M3-1</f>
        <v>0.80000000000000027</v>
      </c>
      <c r="R52" s="23"/>
    </row>
    <row r="53" spans="1:18" s="63" customFormat="1" x14ac:dyDescent="0.15">
      <c r="A53" s="63" t="s">
        <v>64</v>
      </c>
      <c r="B53" s="34"/>
      <c r="C53" s="33"/>
      <c r="D53" s="33"/>
      <c r="E53" s="33"/>
      <c r="F53" s="34"/>
      <c r="G53" s="33"/>
      <c r="H53" s="33"/>
      <c r="I53" s="33">
        <f>I4/E4-1</f>
        <v>5.3284893545116585</v>
      </c>
      <c r="J53" s="34"/>
      <c r="K53" s="33"/>
      <c r="L53" s="33"/>
      <c r="M53" s="33">
        <f>M4/I4-1</f>
        <v>1.6390668945138667</v>
      </c>
      <c r="N53" s="67">
        <f>N4/J4-1</f>
        <v>1.0399424473645942</v>
      </c>
      <c r="O53" s="33">
        <f>O4/K4-1</f>
        <v>1.2005357756982278</v>
      </c>
      <c r="P53" s="33">
        <f>P4/L4-1</f>
        <v>1.1306694524244798</v>
      </c>
      <c r="Q53" s="33">
        <f>Q4/M4-1</f>
        <v>1.2000000000000002</v>
      </c>
      <c r="R53" s="23"/>
    </row>
    <row r="54" spans="1:18" x14ac:dyDescent="0.15">
      <c r="A54" s="6" t="s">
        <v>65</v>
      </c>
      <c r="F54" s="34">
        <f>F5/B5-1</f>
        <v>5.9800283063374753</v>
      </c>
      <c r="G54" s="33">
        <f>G5/C5-1</f>
        <v>6.5089214908802546</v>
      </c>
      <c r="H54" s="33">
        <f>H5/D5-1</f>
        <v>5.4638684854844346</v>
      </c>
      <c r="I54" s="33">
        <f>I5/E5-1</f>
        <v>74.16318785578747</v>
      </c>
      <c r="J54" s="34">
        <f>J5/F5-1</f>
        <v>7.7006263236155448E-2</v>
      </c>
      <c r="K54" s="33">
        <f>K5/G5-1</f>
        <v>-0.45964356435643561</v>
      </c>
      <c r="L54" s="33">
        <f>L5/H5-1</f>
        <v>-0.44438912998777069</v>
      </c>
      <c r="M54" s="33">
        <f>M5/I5-1</f>
        <v>0.93448789477670346</v>
      </c>
      <c r="N54" s="67">
        <f>N5/J5-1</f>
        <v>0.64613839846037968</v>
      </c>
      <c r="O54" s="33">
        <f>O5/K5-1</f>
        <v>2.2583064594937943</v>
      </c>
      <c r="P54" s="33">
        <f>P5/L5-1</f>
        <v>1.9934163111864276</v>
      </c>
      <c r="Q54" s="33">
        <f>Q5/M5-1</f>
        <v>1.5</v>
      </c>
      <c r="R54" s="23"/>
    </row>
    <row r="55" spans="1:18" s="14" customFormat="1" x14ac:dyDescent="0.15">
      <c r="B55" s="52"/>
      <c r="C55" s="39"/>
      <c r="D55" s="39"/>
      <c r="E55" s="39"/>
      <c r="F55" s="52"/>
      <c r="G55" s="39"/>
      <c r="H55" s="39"/>
      <c r="I55" s="39"/>
      <c r="J55" s="52"/>
      <c r="K55" s="39"/>
      <c r="L55" s="39"/>
      <c r="M55" s="39"/>
      <c r="N55" s="68"/>
      <c r="O55" s="39"/>
      <c r="P55" s="66"/>
      <c r="Q55" s="39"/>
    </row>
    <row r="56" spans="1:18" s="8" customFormat="1" x14ac:dyDescent="0.15">
      <c r="A56" s="8" t="s">
        <v>70</v>
      </c>
      <c r="B56" s="22"/>
      <c r="C56" s="23"/>
      <c r="D56" s="23"/>
      <c r="E56" s="23">
        <v>59.5</v>
      </c>
      <c r="F56" s="22">
        <v>77.400000000000006</v>
      </c>
      <c r="G56" s="23">
        <v>90.6</v>
      </c>
      <c r="H56" s="23">
        <v>104.5</v>
      </c>
      <c r="I56" s="23">
        <v>135.69999999999999</v>
      </c>
      <c r="J56" s="22">
        <v>170.3</v>
      </c>
      <c r="K56" s="23">
        <v>185.2</v>
      </c>
      <c r="L56" s="23"/>
      <c r="M56" s="23"/>
      <c r="N56" s="22"/>
      <c r="O56" s="23"/>
      <c r="P56" s="23"/>
      <c r="Q56" s="23"/>
    </row>
    <row r="57" spans="1:18" s="63" customFormat="1" x14ac:dyDescent="0.15">
      <c r="B57" s="34"/>
      <c r="C57" s="33"/>
      <c r="D57" s="33"/>
      <c r="E57" s="33"/>
      <c r="F57" s="34"/>
      <c r="G57" s="33"/>
      <c r="H57" s="33"/>
      <c r="I57" s="33">
        <f>I56/E56-1</f>
        <v>1.2806722689075629</v>
      </c>
      <c r="J57" s="34">
        <f>J56/F56-1</f>
        <v>1.2002583979328163</v>
      </c>
      <c r="K57" s="33">
        <f>K56/G56-1</f>
        <v>1.0441501103752757</v>
      </c>
      <c r="L57" s="33"/>
      <c r="M57" s="33"/>
      <c r="N57" s="34"/>
      <c r="O57" s="33"/>
      <c r="P57" s="33"/>
      <c r="Q57" s="33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3"/>
  <sheetViews>
    <sheetView zoomScale="130" zoomScaleNormal="130" workbookViewId="0">
      <selection activeCell="C19" sqref="C19"/>
    </sheetView>
  </sheetViews>
  <sheetFormatPr baseColWidth="10" defaultRowHeight="13" x14ac:dyDescent="0.15"/>
  <cols>
    <col min="1" max="1" width="10.83203125" style="60"/>
    <col min="2" max="2" width="10.5" style="60" bestFit="1" customWidth="1"/>
    <col min="3" max="3" width="34" style="60" bestFit="1" customWidth="1"/>
    <col min="4" max="4" width="17" style="60" bestFit="1" customWidth="1"/>
    <col min="5" max="16384" width="10.83203125" style="60"/>
  </cols>
  <sheetData>
    <row r="3" spans="2:4" x14ac:dyDescent="0.15">
      <c r="B3" s="69" t="s">
        <v>72</v>
      </c>
    </row>
    <row r="5" spans="2:4" x14ac:dyDescent="0.15">
      <c r="B5" s="60" t="s">
        <v>73</v>
      </c>
      <c r="C5" s="60" t="s">
        <v>74</v>
      </c>
      <c r="D5" s="70" t="s">
        <v>75</v>
      </c>
    </row>
    <row r="6" spans="2:4" x14ac:dyDescent="0.15">
      <c r="B6" s="60" t="s">
        <v>80</v>
      </c>
      <c r="C6" s="60" t="s">
        <v>82</v>
      </c>
      <c r="D6" s="70" t="s">
        <v>81</v>
      </c>
    </row>
    <row r="7" spans="2:4" x14ac:dyDescent="0.15">
      <c r="B7" s="60" t="s">
        <v>83</v>
      </c>
      <c r="C7" s="60" t="s">
        <v>84</v>
      </c>
      <c r="D7" s="70" t="s">
        <v>85</v>
      </c>
    </row>
    <row r="11" spans="2:4" x14ac:dyDescent="0.15">
      <c r="B11" s="71" t="s">
        <v>79</v>
      </c>
    </row>
    <row r="13" spans="2:4" x14ac:dyDescent="0.15">
      <c r="B13" s="60" t="s">
        <v>76</v>
      </c>
      <c r="C13" s="60" t="s">
        <v>77</v>
      </c>
      <c r="D13" s="70" t="s">
        <v>78</v>
      </c>
    </row>
  </sheetData>
  <hyperlinks>
    <hyperlink ref="D5" r:id="rId1" xr:uid="{8A5C0FA0-0821-8244-9297-8130A02054AB}"/>
    <hyperlink ref="D13" r:id="rId2" display="https://ff.garena.com/" xr:uid="{0B073C45-0103-C949-90FA-02C7DFD659B5}"/>
    <hyperlink ref="D6" r:id="rId3" xr:uid="{EA937D1A-C8B8-C741-9DE5-8F72E07947E9}"/>
    <hyperlink ref="D7" r:id="rId4" xr:uid="{40C5706B-375E-6742-A5E4-1BEDB82202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2021-02-27T22:50:41Z</dcterms:modified>
</cp:coreProperties>
</file>