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518AD28E-AB87-CE43-B133-94E7B8E2F280}" xr6:coauthVersionLast="46" xr6:coauthVersionMax="46" xr10:uidLastSave="{00000000-0000-0000-0000-000000000000}"/>
  <bookViews>
    <workbookView xWindow="-52260" yWindow="-5940" windowWidth="26120" windowHeight="267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" l="1"/>
  <c r="H13" i="2" s="1"/>
  <c r="I13" i="2" s="1"/>
  <c r="J13" i="2" s="1"/>
  <c r="F13" i="2"/>
  <c r="G12" i="2"/>
  <c r="H12" i="2" s="1"/>
  <c r="I12" i="2" s="1"/>
  <c r="J12" i="2" s="1"/>
  <c r="F12" i="2"/>
  <c r="R27" i="1"/>
  <c r="L19" i="2"/>
  <c r="M19" i="2" s="1"/>
  <c r="N19" i="2" s="1"/>
  <c r="O19" i="2" s="1"/>
  <c r="K19" i="2"/>
  <c r="G19" i="2"/>
  <c r="H19" i="2" s="1"/>
  <c r="I19" i="2" s="1"/>
  <c r="J19" i="2" s="1"/>
  <c r="F19" i="2"/>
  <c r="T37" i="2"/>
  <c r="T35" i="2"/>
  <c r="T28" i="2"/>
  <c r="T20" i="2"/>
  <c r="T18" i="2"/>
  <c r="T9" i="2"/>
  <c r="O35" i="2"/>
  <c r="O28" i="2"/>
  <c r="O20" i="2"/>
  <c r="O37" i="2" s="1"/>
  <c r="O18" i="2"/>
  <c r="O9" i="2"/>
  <c r="J37" i="2"/>
  <c r="J35" i="2"/>
  <c r="J28" i="2"/>
  <c r="J20" i="2"/>
  <c r="J18" i="2"/>
  <c r="J9" i="2"/>
  <c r="E56" i="2"/>
  <c r="D56" i="2"/>
  <c r="C5" i="2"/>
  <c r="C3" i="2"/>
  <c r="E60" i="2"/>
  <c r="E59" i="2"/>
  <c r="E57" i="2"/>
  <c r="E53" i="2"/>
  <c r="E52" i="2"/>
  <c r="E51" i="2"/>
  <c r="E49" i="2"/>
  <c r="E48" i="2"/>
  <c r="E54" i="2" s="1"/>
  <c r="E46" i="2"/>
  <c r="E45" i="2"/>
  <c r="E44" i="2"/>
  <c r="E42" i="2"/>
  <c r="E40" i="2" s="1"/>
  <c r="E41" i="2"/>
  <c r="E27" i="2"/>
  <c r="E16" i="2"/>
  <c r="E17" i="2"/>
  <c r="E21" i="2"/>
  <c r="E15" i="2"/>
  <c r="E12" i="2"/>
  <c r="E28" i="2"/>
  <c r="E25" i="2"/>
  <c r="E23" i="2"/>
  <c r="E20" i="2"/>
  <c r="F20" i="2" s="1"/>
  <c r="G20" i="2" s="1"/>
  <c r="H20" i="2" s="1"/>
  <c r="I20" i="2" s="1"/>
  <c r="E19" i="2"/>
  <c r="E18" i="2"/>
  <c r="E10" i="2"/>
  <c r="Q44" i="1"/>
  <c r="Q48" i="1" s="1"/>
  <c r="Q42" i="1"/>
  <c r="Q41" i="1"/>
  <c r="Q37" i="1"/>
  <c r="Q35" i="1"/>
  <c r="Q33" i="1" s="1"/>
  <c r="Q34" i="1"/>
  <c r="Q31" i="1"/>
  <c r="Q30" i="1"/>
  <c r="Q29" i="1"/>
  <c r="Q28" i="1"/>
  <c r="Q27" i="1"/>
  <c r="Q25" i="1"/>
  <c r="Q24" i="1"/>
  <c r="Q23" i="1"/>
  <c r="Q19" i="1"/>
  <c r="Q20" i="1" s="1"/>
  <c r="Q16" i="1"/>
  <c r="Q17" i="1"/>
  <c r="Q15" i="1"/>
  <c r="Q14" i="1"/>
  <c r="Q10" i="1"/>
  <c r="Q8" i="1"/>
  <c r="Q56" i="1"/>
  <c r="F18" i="2"/>
  <c r="G18" i="2" s="1"/>
  <c r="H18" i="2" s="1"/>
  <c r="I18" i="2" s="1"/>
  <c r="C12" i="2"/>
  <c r="D12" i="2"/>
  <c r="D60" i="2"/>
  <c r="D59" i="2"/>
  <c r="D13" i="2"/>
  <c r="D15" i="2" s="1"/>
  <c r="D20" i="2"/>
  <c r="D19" i="2"/>
  <c r="D18" i="2"/>
  <c r="D16" i="2"/>
  <c r="D10" i="2"/>
  <c r="C59" i="2"/>
  <c r="C60" i="2" s="1"/>
  <c r="B59" i="2"/>
  <c r="C56" i="2"/>
  <c r="C20" i="2"/>
  <c r="C19" i="2"/>
  <c r="C18" i="2"/>
  <c r="C16" i="2"/>
  <c r="C10" i="2"/>
  <c r="B25" i="2"/>
  <c r="B23" i="2"/>
  <c r="B20" i="2"/>
  <c r="B19" i="2"/>
  <c r="B18" i="2"/>
  <c r="B16" i="2"/>
  <c r="B12" i="2"/>
  <c r="B10" i="2"/>
  <c r="B13" i="2" s="1"/>
  <c r="B15" i="2" s="1"/>
  <c r="Q5" i="1"/>
  <c r="Q52" i="1"/>
  <c r="E39" i="1"/>
  <c r="E37" i="1"/>
  <c r="E35" i="1"/>
  <c r="E34" i="1"/>
  <c r="N52" i="1"/>
  <c r="O52" i="1"/>
  <c r="P52" i="1"/>
  <c r="F52" i="1"/>
  <c r="G56" i="1"/>
  <c r="F56" i="1"/>
  <c r="I56" i="1"/>
  <c r="H56" i="1"/>
  <c r="L56" i="1"/>
  <c r="K56" i="1"/>
  <c r="J56" i="1"/>
  <c r="I52" i="1"/>
  <c r="H52" i="1"/>
  <c r="G52" i="1"/>
  <c r="J52" i="1"/>
  <c r="M52" i="1"/>
  <c r="L52" i="1"/>
  <c r="E5" i="1"/>
  <c r="D5" i="1"/>
  <c r="C5" i="1"/>
  <c r="B5" i="1"/>
  <c r="B6" i="1" s="1"/>
  <c r="F5" i="1"/>
  <c r="F6" i="1" s="1"/>
  <c r="F8" i="1" s="1"/>
  <c r="H5" i="1"/>
  <c r="I5" i="1"/>
  <c r="J5" i="1"/>
  <c r="B16" i="1"/>
  <c r="C16" i="1"/>
  <c r="D16" i="1"/>
  <c r="E16" i="1"/>
  <c r="F16" i="1"/>
  <c r="K52" i="1"/>
  <c r="G5" i="1"/>
  <c r="G6" i="1" s="1"/>
  <c r="G16" i="1"/>
  <c r="K5" i="1"/>
  <c r="K6" i="1" s="1"/>
  <c r="H16" i="1"/>
  <c r="L5" i="1"/>
  <c r="L6" i="1" s="1"/>
  <c r="I39" i="1"/>
  <c r="I37" i="1"/>
  <c r="I35" i="1"/>
  <c r="I34" i="1"/>
  <c r="I16" i="1"/>
  <c r="M16" i="1"/>
  <c r="M5" i="1"/>
  <c r="M6" i="1" s="1"/>
  <c r="M56" i="1"/>
  <c r="N37" i="1"/>
  <c r="N35" i="1"/>
  <c r="N34" i="1"/>
  <c r="J16" i="1"/>
  <c r="N16" i="1"/>
  <c r="N5" i="1"/>
  <c r="N56" i="1"/>
  <c r="O37" i="1"/>
  <c r="O35" i="1"/>
  <c r="O34" i="1"/>
  <c r="K16" i="1"/>
  <c r="O16" i="1"/>
  <c r="O5" i="1"/>
  <c r="O56" i="1"/>
  <c r="M37" i="1"/>
  <c r="M35" i="1"/>
  <c r="M34" i="1"/>
  <c r="P37" i="1"/>
  <c r="P35" i="1"/>
  <c r="P34" i="1"/>
  <c r="L16" i="1"/>
  <c r="P16" i="1"/>
  <c r="P5" i="1"/>
  <c r="P56" i="1"/>
  <c r="J56" i="2" l="1"/>
  <c r="F56" i="2"/>
  <c r="J36" i="2"/>
  <c r="J21" i="2"/>
  <c r="E22" i="2"/>
  <c r="E24" i="2" s="1"/>
  <c r="Q45" i="1"/>
  <c r="Q46" i="1"/>
  <c r="Q47" i="1"/>
  <c r="Q6" i="1"/>
  <c r="Q53" i="1" s="1"/>
  <c r="E13" i="2"/>
  <c r="G56" i="2"/>
  <c r="C13" i="2"/>
  <c r="I6" i="1"/>
  <c r="I8" i="1" s="1"/>
  <c r="K8" i="1"/>
  <c r="M53" i="1"/>
  <c r="H6" i="1"/>
  <c r="L8" i="1"/>
  <c r="M8" i="1"/>
  <c r="J6" i="1"/>
  <c r="J53" i="1" s="1"/>
  <c r="G8" i="1"/>
  <c r="K53" i="1"/>
  <c r="F53" i="1"/>
  <c r="B8" i="1"/>
  <c r="C6" i="1"/>
  <c r="C8" i="1" s="1"/>
  <c r="E6" i="1"/>
  <c r="D6" i="1"/>
  <c r="D8" i="1" s="1"/>
  <c r="N6" i="1"/>
  <c r="N53" i="1" s="1"/>
  <c r="O6" i="1"/>
  <c r="P6" i="1"/>
  <c r="P42" i="1"/>
  <c r="P33" i="1"/>
  <c r="P29" i="1"/>
  <c r="P28" i="1"/>
  <c r="P14" i="1"/>
  <c r="H56" i="2" l="1"/>
  <c r="I56" i="2"/>
  <c r="C57" i="2"/>
  <c r="C15" i="2"/>
  <c r="D57" i="2"/>
  <c r="O8" i="1"/>
  <c r="O10" i="1" s="1"/>
  <c r="O23" i="1" s="1"/>
  <c r="O53" i="1"/>
  <c r="E8" i="1"/>
  <c r="I53" i="1"/>
  <c r="H53" i="1"/>
  <c r="L53" i="1"/>
  <c r="J8" i="1"/>
  <c r="N8" i="1"/>
  <c r="G53" i="1"/>
  <c r="P8" i="1"/>
  <c r="P10" i="1" s="1"/>
  <c r="P53" i="1"/>
  <c r="H8" i="1"/>
  <c r="P15" i="1"/>
  <c r="P23" i="1"/>
  <c r="P41" i="1"/>
  <c r="O42" i="1"/>
  <c r="O33" i="1"/>
  <c r="O29" i="1"/>
  <c r="O28" i="1"/>
  <c r="F15" i="2" l="1"/>
  <c r="F57" i="2"/>
  <c r="O41" i="1"/>
  <c r="O14" i="1"/>
  <c r="P17" i="1"/>
  <c r="P24" i="1"/>
  <c r="D46" i="2"/>
  <c r="D45" i="2"/>
  <c r="D28" i="2"/>
  <c r="D25" i="2"/>
  <c r="D23" i="2"/>
  <c r="K18" i="2"/>
  <c r="L18" i="2" s="1"/>
  <c r="M18" i="2" s="1"/>
  <c r="N18" i="2" s="1"/>
  <c r="P18" i="2" s="1"/>
  <c r="Q18" i="2" s="1"/>
  <c r="R18" i="2" s="1"/>
  <c r="S18" i="2" s="1"/>
  <c r="D41" i="2"/>
  <c r="M14" i="1"/>
  <c r="M42" i="1"/>
  <c r="M29" i="1"/>
  <c r="M28" i="1"/>
  <c r="O36" i="2" l="1"/>
  <c r="O21" i="2"/>
  <c r="G57" i="2"/>
  <c r="G15" i="2"/>
  <c r="D49" i="2"/>
  <c r="P19" i="2"/>
  <c r="M33" i="1"/>
  <c r="N41" i="1"/>
  <c r="P19" i="1"/>
  <c r="P20" i="1" s="1"/>
  <c r="P25" i="1"/>
  <c r="M41" i="1"/>
  <c r="D42" i="2"/>
  <c r="D40" i="2" s="1"/>
  <c r="O15" i="1"/>
  <c r="M10" i="1"/>
  <c r="M23" i="1" s="1"/>
  <c r="D44" i="2"/>
  <c r="E35" i="2"/>
  <c r="H57" i="2" l="1"/>
  <c r="H15" i="2"/>
  <c r="P35" i="2"/>
  <c r="P36" i="2"/>
  <c r="Q19" i="2"/>
  <c r="O24" i="1"/>
  <c r="O17" i="1"/>
  <c r="M15" i="1"/>
  <c r="D48" i="2"/>
  <c r="D17" i="2"/>
  <c r="J57" i="2" l="1"/>
  <c r="J15" i="2"/>
  <c r="I57" i="2"/>
  <c r="I15" i="2"/>
  <c r="Q36" i="2"/>
  <c r="R19" i="2"/>
  <c r="Q35" i="2"/>
  <c r="M24" i="1"/>
  <c r="M17" i="1"/>
  <c r="O25" i="1"/>
  <c r="O19" i="1"/>
  <c r="O20" i="1" s="1"/>
  <c r="K15" i="2" l="1"/>
  <c r="L15" i="2" s="1"/>
  <c r="M15" i="2" s="1"/>
  <c r="N15" i="2" s="1"/>
  <c r="O15" i="2" s="1"/>
  <c r="P15" i="2" s="1"/>
  <c r="Q15" i="2" s="1"/>
  <c r="R15" i="2" s="1"/>
  <c r="S15" i="2" s="1"/>
  <c r="T15" i="2" s="1"/>
  <c r="J34" i="2"/>
  <c r="R36" i="2"/>
  <c r="S19" i="2"/>
  <c r="R35" i="2"/>
  <c r="M19" i="1"/>
  <c r="M25" i="1"/>
  <c r="T34" i="2" l="1"/>
  <c r="O34" i="2"/>
  <c r="S36" i="2"/>
  <c r="T19" i="2"/>
  <c r="S35" i="2"/>
  <c r="M20" i="1"/>
  <c r="P30" i="1"/>
  <c r="P27" i="1"/>
  <c r="N42" i="1"/>
  <c r="N29" i="1"/>
  <c r="N28" i="1"/>
  <c r="N14" i="1"/>
  <c r="T36" i="2" l="1"/>
  <c r="T21" i="2"/>
  <c r="L10" i="1"/>
  <c r="L14" i="1"/>
  <c r="N10" i="1"/>
  <c r="N33" i="1"/>
  <c r="C4" i="2"/>
  <c r="L28" i="1"/>
  <c r="L29" i="1"/>
  <c r="O30" i="1"/>
  <c r="K29" i="1"/>
  <c r="K28" i="1"/>
  <c r="G14" i="1"/>
  <c r="D14" i="1"/>
  <c r="H14" i="1"/>
  <c r="B44" i="2"/>
  <c r="B41" i="2"/>
  <c r="E14" i="1"/>
  <c r="M30" i="1"/>
  <c r="C41" i="2"/>
  <c r="H10" i="1"/>
  <c r="H23" i="1" s="1"/>
  <c r="G10" i="1"/>
  <c r="F14" i="1"/>
  <c r="J29" i="1"/>
  <c r="J28" i="1"/>
  <c r="F10" i="1"/>
  <c r="F23" i="1" s="1"/>
  <c r="J10" i="1"/>
  <c r="N30" i="1"/>
  <c r="B14" i="1"/>
  <c r="C45" i="2"/>
  <c r="C44" i="2"/>
  <c r="C23" i="2"/>
  <c r="C25" i="2"/>
  <c r="I42" i="1"/>
  <c r="C42" i="2"/>
  <c r="C46" i="2"/>
  <c r="C28" i="2"/>
  <c r="E10" i="1"/>
  <c r="E23" i="1" s="1"/>
  <c r="B42" i="2"/>
  <c r="B45" i="2"/>
  <c r="B46" i="2"/>
  <c r="B10" i="1"/>
  <c r="E42" i="1"/>
  <c r="I29" i="1"/>
  <c r="I28" i="1"/>
  <c r="F29" i="1"/>
  <c r="F28" i="1"/>
  <c r="G29" i="1"/>
  <c r="G28" i="1"/>
  <c r="H29" i="1"/>
  <c r="H28" i="1"/>
  <c r="F28" i="2"/>
  <c r="G28" i="2" s="1"/>
  <c r="H28" i="2" s="1"/>
  <c r="I28" i="2" s="1"/>
  <c r="K28" i="2" s="1"/>
  <c r="L28" i="2" s="1"/>
  <c r="M28" i="2" s="1"/>
  <c r="N28" i="2" s="1"/>
  <c r="P28" i="2" s="1"/>
  <c r="Q28" i="2" s="1"/>
  <c r="R28" i="2" s="1"/>
  <c r="S28" i="2" s="1"/>
  <c r="C9" i="2"/>
  <c r="D9" i="2" s="1"/>
  <c r="E9" i="2" s="1"/>
  <c r="F9" i="2" s="1"/>
  <c r="G9" i="2" s="1"/>
  <c r="H9" i="2" s="1"/>
  <c r="I9" i="2" s="1"/>
  <c r="K9" i="2" s="1"/>
  <c r="L9" i="2" s="1"/>
  <c r="M9" i="2" s="1"/>
  <c r="N9" i="2" s="1"/>
  <c r="P9" i="2" s="1"/>
  <c r="Q9" i="2" s="1"/>
  <c r="R9" i="2" s="1"/>
  <c r="S9" i="2" s="1"/>
  <c r="J27" i="1" l="1"/>
  <c r="I41" i="1"/>
  <c r="K10" i="1"/>
  <c r="K23" i="1" s="1"/>
  <c r="O27" i="1"/>
  <c r="I10" i="1"/>
  <c r="I23" i="1" s="1"/>
  <c r="M27" i="1"/>
  <c r="B17" i="2"/>
  <c r="B30" i="2" s="1"/>
  <c r="B21" i="2"/>
  <c r="J14" i="1"/>
  <c r="N31" i="1" s="1"/>
  <c r="H30" i="1"/>
  <c r="F30" i="1"/>
  <c r="I14" i="1"/>
  <c r="B15" i="1"/>
  <c r="B24" i="1" s="1"/>
  <c r="N27" i="1"/>
  <c r="H27" i="1"/>
  <c r="I30" i="1"/>
  <c r="L15" i="1"/>
  <c r="L17" i="1" s="1"/>
  <c r="L19" i="1" s="1"/>
  <c r="P31" i="1"/>
  <c r="C35" i="2"/>
  <c r="C40" i="2"/>
  <c r="B49" i="2"/>
  <c r="C36" i="2"/>
  <c r="N15" i="1"/>
  <c r="N23" i="1"/>
  <c r="G15" i="1"/>
  <c r="G17" i="1" s="1"/>
  <c r="G23" i="1"/>
  <c r="G30" i="1"/>
  <c r="C49" i="2"/>
  <c r="C48" i="2"/>
  <c r="E15" i="1"/>
  <c r="E24" i="1" s="1"/>
  <c r="E41" i="1"/>
  <c r="B40" i="2"/>
  <c r="B23" i="1"/>
  <c r="F27" i="1"/>
  <c r="I33" i="1"/>
  <c r="H31" i="1"/>
  <c r="F31" i="1"/>
  <c r="L30" i="1"/>
  <c r="B48" i="2"/>
  <c r="H15" i="1"/>
  <c r="I27" i="1"/>
  <c r="D10" i="1"/>
  <c r="F15" i="1"/>
  <c r="C14" i="1"/>
  <c r="E33" i="1"/>
  <c r="K27" i="1"/>
  <c r="K14" i="1"/>
  <c r="J30" i="1"/>
  <c r="C6" i="2"/>
  <c r="C7" i="2" s="1"/>
  <c r="C10" i="1"/>
  <c r="J23" i="1"/>
  <c r="K30" i="1"/>
  <c r="G27" i="1"/>
  <c r="L31" i="1"/>
  <c r="C37" i="2" l="1"/>
  <c r="B17" i="1"/>
  <c r="B19" i="1" s="1"/>
  <c r="I15" i="1"/>
  <c r="I24" i="1" s="1"/>
  <c r="G24" i="1"/>
  <c r="K20" i="2"/>
  <c r="L20" i="2" s="1"/>
  <c r="M20" i="2" s="1"/>
  <c r="N20" i="2" s="1"/>
  <c r="D21" i="2"/>
  <c r="D22" i="2" s="1"/>
  <c r="D24" i="2" s="1"/>
  <c r="L20" i="1"/>
  <c r="J15" i="1"/>
  <c r="J17" i="1" s="1"/>
  <c r="J25" i="1" s="1"/>
  <c r="M31" i="1"/>
  <c r="I31" i="1"/>
  <c r="J31" i="1"/>
  <c r="K31" i="1"/>
  <c r="O31" i="1"/>
  <c r="N24" i="1"/>
  <c r="N17" i="1"/>
  <c r="G31" i="1"/>
  <c r="E17" i="1"/>
  <c r="E19" i="1" s="1"/>
  <c r="G19" i="1"/>
  <c r="G25" i="1"/>
  <c r="L27" i="1"/>
  <c r="C15" i="1"/>
  <c r="C23" i="1"/>
  <c r="B22" i="2"/>
  <c r="F24" i="1"/>
  <c r="F17" i="1"/>
  <c r="D23" i="1"/>
  <c r="D15" i="1"/>
  <c r="D36" i="2"/>
  <c r="H17" i="1"/>
  <c r="H24" i="1"/>
  <c r="C34" i="2"/>
  <c r="C17" i="2"/>
  <c r="K15" i="1"/>
  <c r="C21" i="2"/>
  <c r="C38" i="2" s="1"/>
  <c r="I17" i="1" l="1"/>
  <c r="I25" i="1" s="1"/>
  <c r="B25" i="1"/>
  <c r="E25" i="1"/>
  <c r="J19" i="1"/>
  <c r="J20" i="1" s="1"/>
  <c r="P20" i="2"/>
  <c r="J24" i="1"/>
  <c r="N19" i="1"/>
  <c r="N25" i="1"/>
  <c r="D35" i="2"/>
  <c r="K17" i="1"/>
  <c r="K24" i="1"/>
  <c r="E36" i="2"/>
  <c r="B31" i="2"/>
  <c r="B24" i="2"/>
  <c r="H19" i="1"/>
  <c r="H25" i="1"/>
  <c r="L23" i="1"/>
  <c r="D24" i="1"/>
  <c r="D17" i="1"/>
  <c r="E20" i="1"/>
  <c r="B20" i="1"/>
  <c r="D37" i="2"/>
  <c r="C22" i="2"/>
  <c r="C30" i="2"/>
  <c r="F25" i="1"/>
  <c r="F19" i="1"/>
  <c r="C24" i="1"/>
  <c r="C17" i="1"/>
  <c r="G20" i="1"/>
  <c r="D38" i="2"/>
  <c r="I19" i="1" l="1"/>
  <c r="I20" i="1" s="1"/>
  <c r="P37" i="2"/>
  <c r="Q20" i="2"/>
  <c r="P21" i="2"/>
  <c r="P38" i="2" s="1"/>
  <c r="P44" i="1"/>
  <c r="O44" i="1"/>
  <c r="N20" i="1"/>
  <c r="L24" i="1"/>
  <c r="E37" i="2"/>
  <c r="F21" i="2"/>
  <c r="K25" i="1"/>
  <c r="K19" i="1"/>
  <c r="B26" i="2"/>
  <c r="B32" i="2"/>
  <c r="F36" i="2"/>
  <c r="D34" i="2"/>
  <c r="H20" i="1"/>
  <c r="C19" i="1"/>
  <c r="C25" i="1"/>
  <c r="D25" i="1"/>
  <c r="D19" i="1"/>
  <c r="F20" i="1"/>
  <c r="I44" i="1"/>
  <c r="C31" i="2"/>
  <c r="C24" i="2"/>
  <c r="E38" i="2"/>
  <c r="Q37" i="2" l="1"/>
  <c r="R20" i="2"/>
  <c r="Q21" i="2"/>
  <c r="Q38" i="2" s="1"/>
  <c r="K20" i="1"/>
  <c r="M44" i="1"/>
  <c r="O48" i="1"/>
  <c r="O45" i="1"/>
  <c r="O47" i="1"/>
  <c r="O46" i="1"/>
  <c r="P48" i="1"/>
  <c r="P46" i="1"/>
  <c r="P47" i="1"/>
  <c r="P45" i="1"/>
  <c r="F38" i="2"/>
  <c r="F35" i="2"/>
  <c r="D30" i="2"/>
  <c r="B54" i="2"/>
  <c r="B51" i="2"/>
  <c r="B53" i="2"/>
  <c r="B27" i="2"/>
  <c r="B52" i="2"/>
  <c r="F37" i="2"/>
  <c r="G36" i="2"/>
  <c r="E34" i="2"/>
  <c r="C32" i="2"/>
  <c r="C26" i="2"/>
  <c r="I48" i="1"/>
  <c r="I47" i="1"/>
  <c r="I46" i="1"/>
  <c r="I45" i="1"/>
  <c r="D20" i="1"/>
  <c r="C20" i="1"/>
  <c r="E44" i="1"/>
  <c r="R37" i="2" l="1"/>
  <c r="S20" i="2"/>
  <c r="R21" i="2"/>
  <c r="R38" i="2" s="1"/>
  <c r="M48" i="1"/>
  <c r="M46" i="1"/>
  <c r="M47" i="1"/>
  <c r="M45" i="1"/>
  <c r="G21" i="2"/>
  <c r="G38" i="2" s="1"/>
  <c r="C54" i="2"/>
  <c r="C53" i="2"/>
  <c r="C51" i="2"/>
  <c r="G35" i="2"/>
  <c r="E48" i="1"/>
  <c r="E47" i="1"/>
  <c r="E46" i="1"/>
  <c r="E45" i="1"/>
  <c r="F34" i="2"/>
  <c r="L25" i="1"/>
  <c r="C27" i="2"/>
  <c r="C52" i="2"/>
  <c r="H36" i="2"/>
  <c r="D31" i="2"/>
  <c r="G37" i="2"/>
  <c r="S37" i="2" l="1"/>
  <c r="S21" i="2"/>
  <c r="E31" i="2"/>
  <c r="E30" i="2"/>
  <c r="F17" i="2" s="1"/>
  <c r="F22" i="2" s="1"/>
  <c r="H21" i="2"/>
  <c r="H38" i="2" s="1"/>
  <c r="H35" i="2"/>
  <c r="D32" i="2"/>
  <c r="G34" i="2"/>
  <c r="I36" i="2"/>
  <c r="H37" i="2"/>
  <c r="S38" i="2" l="1"/>
  <c r="T38" i="2"/>
  <c r="F16" i="2"/>
  <c r="F30" i="2"/>
  <c r="G17" i="2" s="1"/>
  <c r="G16" i="2" s="1"/>
  <c r="D26" i="2"/>
  <c r="N44" i="1"/>
  <c r="I35" i="2"/>
  <c r="H34" i="2"/>
  <c r="I37" i="2"/>
  <c r="I21" i="2"/>
  <c r="F31" i="2"/>
  <c r="I38" i="2" l="1"/>
  <c r="J38" i="2"/>
  <c r="G22" i="2"/>
  <c r="G31" i="2" s="1"/>
  <c r="G30" i="2"/>
  <c r="H17" i="2" s="1"/>
  <c r="H30" i="2" s="1"/>
  <c r="I17" i="2" s="1"/>
  <c r="I16" i="2" s="1"/>
  <c r="N47" i="1"/>
  <c r="N48" i="1"/>
  <c r="D27" i="2"/>
  <c r="D51" i="2"/>
  <c r="D53" i="2"/>
  <c r="D52" i="2"/>
  <c r="D54" i="2"/>
  <c r="N46" i="1"/>
  <c r="N45" i="1"/>
  <c r="K21" i="2"/>
  <c r="I34" i="2"/>
  <c r="K36" i="2"/>
  <c r="H22" i="2" l="1"/>
  <c r="H31" i="2" s="1"/>
  <c r="H16" i="2"/>
  <c r="K35" i="2"/>
  <c r="E32" i="2"/>
  <c r="I22" i="2"/>
  <c r="I30" i="2"/>
  <c r="J17" i="2" s="1"/>
  <c r="K38" i="2"/>
  <c r="L36" i="2"/>
  <c r="K37" i="2"/>
  <c r="J22" i="2" l="1"/>
  <c r="J31" i="2" s="1"/>
  <c r="J30" i="2"/>
  <c r="K17" i="2" s="1"/>
  <c r="J16" i="2"/>
  <c r="E26" i="2"/>
  <c r="L35" i="2"/>
  <c r="K34" i="2"/>
  <c r="M36" i="2"/>
  <c r="I31" i="2"/>
  <c r="L37" i="2"/>
  <c r="L21" i="2"/>
  <c r="L38" i="2" s="1"/>
  <c r="M35" i="2" l="1"/>
  <c r="K22" i="2"/>
  <c r="K30" i="2"/>
  <c r="L17" i="2" s="1"/>
  <c r="K16" i="2"/>
  <c r="M37" i="2"/>
  <c r="M21" i="2"/>
  <c r="M38" i="2" s="1"/>
  <c r="N36" i="2"/>
  <c r="N21" i="2"/>
  <c r="O38" i="2" s="1"/>
  <c r="L34" i="2"/>
  <c r="N35" i="2" l="1"/>
  <c r="L30" i="2"/>
  <c r="M17" i="2" s="1"/>
  <c r="M16" i="2" s="1"/>
  <c r="L22" i="2"/>
  <c r="L16" i="2"/>
  <c r="M34" i="2"/>
  <c r="N38" i="2"/>
  <c r="F23" i="2"/>
  <c r="F24" i="2" s="1"/>
  <c r="N37" i="2"/>
  <c r="K31" i="2"/>
  <c r="F32" i="2" l="1"/>
  <c r="L31" i="2"/>
  <c r="N34" i="2"/>
  <c r="M22" i="2"/>
  <c r="M30" i="2"/>
  <c r="N17" i="2" s="1"/>
  <c r="P34" i="2" l="1"/>
  <c r="F26" i="2"/>
  <c r="N22" i="2"/>
  <c r="N30" i="2"/>
  <c r="O17" i="2" s="1"/>
  <c r="N16" i="2"/>
  <c r="M31" i="2"/>
  <c r="O30" i="2" l="1"/>
  <c r="O22" i="2"/>
  <c r="O31" i="2" s="1"/>
  <c r="O16" i="2"/>
  <c r="P17" i="2"/>
  <c r="Q34" i="2"/>
  <c r="F27" i="2"/>
  <c r="F40" i="2"/>
  <c r="G23" i="2" s="1"/>
  <c r="G24" i="2" s="1"/>
  <c r="N31" i="2"/>
  <c r="R34" i="2" l="1"/>
  <c r="P30" i="2"/>
  <c r="Q17" i="2" s="1"/>
  <c r="P22" i="2"/>
  <c r="P16" i="2"/>
  <c r="G32" i="2"/>
  <c r="P31" i="2" l="1"/>
  <c r="Q30" i="2"/>
  <c r="R17" i="2" s="1"/>
  <c r="Q22" i="2"/>
  <c r="Q16" i="2"/>
  <c r="S34" i="2"/>
  <c r="G26" i="2"/>
  <c r="G40" i="2" l="1"/>
  <c r="Q31" i="2"/>
  <c r="R16" i="2"/>
  <c r="R30" i="2"/>
  <c r="S17" i="2" s="1"/>
  <c r="R22" i="2"/>
  <c r="G27" i="2"/>
  <c r="H23" i="2"/>
  <c r="H24" i="2" s="1"/>
  <c r="R31" i="2" l="1"/>
  <c r="S30" i="2"/>
  <c r="T17" i="2" s="1"/>
  <c r="S22" i="2"/>
  <c r="S16" i="2"/>
  <c r="H25" i="2"/>
  <c r="H32" i="2" s="1"/>
  <c r="T30" i="2" l="1"/>
  <c r="T16" i="2"/>
  <c r="T22" i="2"/>
  <c r="T31" i="2" s="1"/>
  <c r="S31" i="2"/>
  <c r="H26" i="2"/>
  <c r="H27" i="2" l="1"/>
  <c r="H40" i="2"/>
  <c r="I23" i="2" s="1"/>
  <c r="I24" i="2" s="1"/>
  <c r="I25" i="2" l="1"/>
  <c r="I32" i="2" s="1"/>
  <c r="I26" i="2" l="1"/>
  <c r="I27" i="2" s="1"/>
  <c r="I40" i="2"/>
  <c r="J23" i="2" l="1"/>
  <c r="J24" i="2" s="1"/>
  <c r="J25" i="2" l="1"/>
  <c r="J32" i="2" s="1"/>
  <c r="J26" i="2"/>
  <c r="J27" i="2" l="1"/>
  <c r="J40" i="2"/>
  <c r="K23" i="2" s="1"/>
  <c r="K24" i="2" s="1"/>
  <c r="K25" i="2" s="1"/>
  <c r="K32" i="2" s="1"/>
  <c r="K26" i="2"/>
  <c r="K27" i="2" l="1"/>
  <c r="K40" i="2"/>
  <c r="L23" i="2" l="1"/>
  <c r="L24" i="2" s="1"/>
  <c r="L25" i="2" l="1"/>
  <c r="L32" i="2" s="1"/>
  <c r="L26" i="2" l="1"/>
  <c r="L27" i="2" s="1"/>
  <c r="L40" i="2" l="1"/>
  <c r="M23" i="2" s="1"/>
  <c r="M24" i="2" s="1"/>
  <c r="M25" i="2" l="1"/>
  <c r="M32" i="2" s="1"/>
  <c r="M26" i="2" l="1"/>
  <c r="M40" i="2" s="1"/>
  <c r="M27" i="2" l="1"/>
  <c r="N23" i="2"/>
  <c r="N24" i="2" s="1"/>
  <c r="N25" i="2" l="1"/>
  <c r="N32" i="2" s="1"/>
  <c r="N26" i="2" l="1"/>
  <c r="N27" i="2" l="1"/>
  <c r="N40" i="2"/>
  <c r="O23" i="2" l="1"/>
  <c r="O24" i="2" s="1"/>
  <c r="O25" i="2" l="1"/>
  <c r="O32" i="2" s="1"/>
  <c r="O26" i="2"/>
  <c r="O27" i="2" l="1"/>
  <c r="O40" i="2"/>
  <c r="P23" i="2" s="1"/>
  <c r="P24" i="2" s="1"/>
  <c r="P25" i="2" s="1"/>
  <c r="P32" i="2" s="1"/>
  <c r="P26" i="2" l="1"/>
  <c r="P27" i="2" s="1"/>
  <c r="P40" i="2"/>
  <c r="Q23" i="2" s="1"/>
  <c r="Q24" i="2" s="1"/>
  <c r="Q25" i="2" l="1"/>
  <c r="Q32" i="2" s="1"/>
  <c r="Q26" i="2" l="1"/>
  <c r="Q27" i="2" l="1"/>
  <c r="Q40" i="2"/>
  <c r="R23" i="2" l="1"/>
  <c r="R24" i="2" s="1"/>
  <c r="R25" i="2" l="1"/>
  <c r="R32" i="2" s="1"/>
  <c r="R26" i="2" l="1"/>
  <c r="R27" i="2" s="1"/>
  <c r="R40" i="2" l="1"/>
  <c r="S23" i="2" s="1"/>
  <c r="S24" i="2" s="1"/>
  <c r="S25" i="2" l="1"/>
  <c r="S32" i="2" s="1"/>
  <c r="S26" i="2" l="1"/>
  <c r="S27" i="2" l="1"/>
  <c r="S40" i="2"/>
  <c r="T23" i="2" l="1"/>
  <c r="T24" i="2" s="1"/>
  <c r="T25" i="2" l="1"/>
  <c r="T32" i="2" s="1"/>
  <c r="T26" i="2"/>
  <c r="T27" i="2" l="1"/>
  <c r="U26" i="2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GR26" i="2" s="1"/>
  <c r="GS26" i="2" s="1"/>
  <c r="GT26" i="2" s="1"/>
  <c r="GU26" i="2" s="1"/>
  <c r="GV26" i="2" s="1"/>
  <c r="GW26" i="2" s="1"/>
  <c r="GX26" i="2" s="1"/>
  <c r="GY26" i="2" s="1"/>
  <c r="GZ26" i="2" s="1"/>
  <c r="HA26" i="2" s="1"/>
  <c r="HB26" i="2" s="1"/>
  <c r="HC26" i="2" s="1"/>
  <c r="HD26" i="2" s="1"/>
  <c r="HE26" i="2" s="1"/>
  <c r="HF26" i="2" s="1"/>
  <c r="HG26" i="2" s="1"/>
  <c r="HH26" i="2" s="1"/>
  <c r="HI26" i="2" s="1"/>
  <c r="HJ26" i="2" s="1"/>
  <c r="HK26" i="2" s="1"/>
  <c r="HL26" i="2" s="1"/>
  <c r="HM26" i="2" s="1"/>
  <c r="HN26" i="2" s="1"/>
  <c r="HO26" i="2" s="1"/>
  <c r="HP26" i="2" s="1"/>
  <c r="HQ26" i="2" s="1"/>
  <c r="HR26" i="2" s="1"/>
  <c r="HS26" i="2" s="1"/>
  <c r="HT26" i="2" s="1"/>
  <c r="HU26" i="2" s="1"/>
  <c r="HV26" i="2" s="1"/>
  <c r="F5" i="2" s="1"/>
  <c r="F6" i="2" s="1"/>
  <c r="F7" i="2" s="1"/>
  <c r="G7" i="2" s="1"/>
  <c r="T40" i="2"/>
</calcChain>
</file>

<file path=xl/sharedStrings.xml><?xml version="1.0" encoding="utf-8"?>
<sst xmlns="http://schemas.openxmlformats.org/spreadsheetml/2006/main" count="161" uniqueCount="115">
  <si>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</si>
  <si>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</si>
  <si>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</si>
  <si>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</si>
  <si>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</si>
  <si>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</si>
  <si>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</si>
  <si>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</si>
  <si>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</si>
  <si>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</si>
  <si>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</si>
  <si>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</si>
  <si>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</si>
  <si>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</si>
  <si>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</si>
  <si>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</si>
  <si>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</si>
  <si>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</si>
  <si>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</si>
  <si>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</si>
  <si>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</si>
  <si>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</si>
  <si>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</si>
  <si>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</si>
  <si>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</si>
  <si>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</si>
  <si>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</si>
  <si>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</si>
  <si>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</si>
  <si>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</si>
  <si>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</si>
  <si>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</si>
  <si>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</si>
  <si>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</si>
  <si>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</si>
  <si>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</si>
  <si>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</si>
  <si>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</si>
  <si>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</si>
  <si>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</si>
  <si>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</si>
  <si>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</si>
  <si>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</si>
  <si>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</si>
  <si>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</si>
  <si>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</si>
  <si>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</si>
  <si>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</si>
  <si>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</si>
  <si>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</si>
  <si>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</si>
  <si>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</si>
  <si>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</si>
  <si>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</si>
  <si>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</si>
  <si>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</si>
  <si>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</si>
  <si>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</si>
  <si>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</si>
  <si>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</si>
  <si>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Operating Expenses y/y</t>
  </si>
  <si>
    <t>Q120</t>
  </si>
  <si>
    <t>Q420</t>
  </si>
  <si>
    <t>Risk-free rate + market premium (opportunity cost)</t>
  </si>
  <si>
    <t>http://www.worldgovernmentbonds.com/country/united-states/</t>
  </si>
  <si>
    <t>Net present value on future net income (terminal value)</t>
  </si>
  <si>
    <t>Q220</t>
  </si>
  <si>
    <t>Q320</t>
  </si>
  <si>
    <t>Fastly Inc (FSLY)</t>
  </si>
  <si>
    <t>Customers</t>
  </si>
  <si>
    <t>Customers y/y</t>
  </si>
  <si>
    <t>PRODUCTS</t>
  </si>
  <si>
    <t>Compute Edge</t>
  </si>
  <si>
    <t>Aquired</t>
  </si>
  <si>
    <t>Signal Sciences</t>
  </si>
  <si>
    <t>Web and API security</t>
  </si>
  <si>
    <t>Enterprise y/y</t>
  </si>
  <si>
    <t>Enterprise</t>
  </si>
  <si>
    <t>Platform</t>
  </si>
  <si>
    <t>ARPC</t>
  </si>
  <si>
    <t>ARPC y/y</t>
  </si>
  <si>
    <t>Customers M</t>
  </si>
  <si>
    <t>OE y/y</t>
  </si>
  <si>
    <t>Artur Bergman</t>
  </si>
  <si>
    <t>Joshua Bixby</t>
  </si>
  <si>
    <t>Microsoft</t>
  </si>
  <si>
    <t>Google</t>
  </si>
  <si>
    <t>Shopify</t>
  </si>
  <si>
    <t>Slack</t>
  </si>
  <si>
    <t>NYT</t>
  </si>
  <si>
    <t>New Relic</t>
  </si>
  <si>
    <t>GitHub</t>
  </si>
  <si>
    <t>Pinterest</t>
  </si>
  <si>
    <t>Vimeo</t>
  </si>
  <si>
    <t>Reddit</t>
  </si>
  <si>
    <t>Wealthfront</t>
  </si>
  <si>
    <t>Wayfair</t>
  </si>
  <si>
    <t>Etsy</t>
  </si>
  <si>
    <t>Wepay</t>
  </si>
  <si>
    <t>Affirm</t>
  </si>
  <si>
    <t>Consensys</t>
  </si>
  <si>
    <t>Firebase</t>
  </si>
  <si>
    <t>Stripe</t>
  </si>
  <si>
    <t>Khan Academy</t>
  </si>
  <si>
    <t>TED</t>
  </si>
  <si>
    <t>Wikia</t>
  </si>
  <si>
    <t>Serverless compute environment</t>
  </si>
  <si>
    <t>CDN</t>
  </si>
  <si>
    <t>Image optimization</t>
  </si>
  <si>
    <t>CDN for content and live broadcasting</t>
  </si>
  <si>
    <t>Q121</t>
  </si>
  <si>
    <t>Q221</t>
  </si>
  <si>
    <t>Q321</t>
  </si>
  <si>
    <t>Q421</t>
  </si>
  <si>
    <t>NRR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</si>
</sst>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%"/>
    <numFmt numFmtId="166" formatCode="#,##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 applyBorder="1"/>
    <xf numFmtId="0" fontId="8" fillId="0" borderId="0" xfId="0" applyFont="1"/>
    <xf numFmtId="9" fontId="6" fillId="0" borderId="0" xfId="0" applyNumberFormat="1" applyFont="1" applyBorder="1"/>
    <xf numFmtId="166" fontId="6" fillId="0" borderId="0" xfId="0" applyNumberFormat="1" applyFont="1" applyBorder="1"/>
    <xf numFmtId="166" fontId="6" fillId="0" borderId="0" xfId="0" applyNumberFormat="1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166" fontId="6" fillId="0" borderId="0" xfId="0" applyNumberFormat="1" applyFont="1" applyAlignment="1">
      <alignment horizontal="right"/>
    </xf>
    <xf numFmtId="166" fontId="6" fillId="0" borderId="0" xfId="0" applyNumberFormat="1" applyFont="1"/>
    <xf numFmtId="0" fontId="4" fillId="0" borderId="0" xfId="4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7</xdr:row>
      <xdr:rowOff>152400</xdr:rowOff>
    </xdr:from>
    <xdr:to>
      <xdr:col>5</xdr:col>
      <xdr:colOff>175260</xdr:colOff>
      <xdr:row>61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021580" y="1290320"/>
          <a:ext cx="0" cy="862584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205740</xdr:colOff>
      <xdr:row>0</xdr:row>
      <xdr:rowOff>152400</xdr:rowOff>
    </xdr:from>
    <xdr:to>
      <xdr:col>17</xdr:col>
      <xdr:colOff>205740</xdr:colOff>
      <xdr:row>59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4927580" y="152400"/>
          <a:ext cx="0" cy="943864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crucially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s.fastly.com/news/default.aspx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bloomberg.com/profile/person/2104541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517413&amp;type=&amp;dateb=&amp;owner=exclude&amp;start=0&amp;count=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V60"/>
  <sheetViews>
    <sheetView tabSelected="1" zoomScale="125" zoomScaleNormal="125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I42" sqref="I42"/>
    </sheetView>
  </sheetViews>
  <sheetFormatPr baseColWidth="10" defaultRowHeight="13" x14ac:dyDescent="0.15"/>
  <cols>
    <col min="1" max="1" width="20.33203125" style="3" bestFit="1" customWidth="1"/>
    <col min="2" max="16384" width="10.83203125" style="3"/>
  </cols>
  <sheetData>
    <row r="1" spans="1:115" x14ac:dyDescent="0.15">
      <c r="A1" s="64" t="s">
        <v>58</v>
      </c>
      <c r="B1" s="2" t="s">
        <v>68</v>
      </c>
    </row>
    <row r="2" spans="1:115" x14ac:dyDescent="0.15">
      <c r="B2" s="3" t="s">
        <v>40</v>
      </c>
      <c r="C2" s="4">
        <v>73.31</v>
      </c>
      <c r="D2" s="62">
        <v>44252</v>
      </c>
      <c r="E2" s="6" t="s">
        <v>25</v>
      </c>
      <c r="F2" s="7">
        <v>5.0000000000000001E-3</v>
      </c>
      <c r="I2" s="16"/>
      <c r="J2" s="16"/>
      <c r="L2" s="2"/>
    </row>
    <row r="3" spans="1:115" x14ac:dyDescent="0.15">
      <c r="A3" s="2" t="s">
        <v>38</v>
      </c>
      <c r="B3" s="3" t="s">
        <v>17</v>
      </c>
      <c r="C3" s="8">
        <f>Reports!Q21</f>
        <v>112.902</v>
      </c>
      <c r="D3" s="63" t="s">
        <v>62</v>
      </c>
      <c r="E3" s="6" t="s">
        <v>26</v>
      </c>
      <c r="F3" s="7">
        <v>0.02</v>
      </c>
      <c r="G3" s="5" t="s">
        <v>59</v>
      </c>
      <c r="I3" s="16"/>
      <c r="J3" s="16"/>
    </row>
    <row r="4" spans="1:115" x14ac:dyDescent="0.15">
      <c r="A4" s="72" t="s">
        <v>84</v>
      </c>
      <c r="B4" s="3" t="s">
        <v>41</v>
      </c>
      <c r="C4" s="10">
        <f>C2*C3</f>
        <v>8276.8456200000001</v>
      </c>
      <c r="D4" s="63"/>
      <c r="E4" s="6" t="s">
        <v>27</v>
      </c>
      <c r="F4" s="7">
        <v>0.06</v>
      </c>
      <c r="G4" s="5" t="s">
        <v>63</v>
      </c>
      <c r="I4" s="19"/>
      <c r="J4" s="19"/>
      <c r="L4" s="9" t="s">
        <v>64</v>
      </c>
    </row>
    <row r="5" spans="1:115" x14ac:dyDescent="0.15">
      <c r="B5" s="3" t="s">
        <v>22</v>
      </c>
      <c r="C5" s="8">
        <f>Reports!Q33</f>
        <v>183</v>
      </c>
      <c r="D5" s="63" t="s">
        <v>62</v>
      </c>
      <c r="E5" s="6" t="s">
        <v>28</v>
      </c>
      <c r="F5" s="11">
        <f>NPV(F4,E26:HV26)</f>
        <v>11592.48880646714</v>
      </c>
      <c r="G5" s="5" t="s">
        <v>65</v>
      </c>
      <c r="I5" s="19"/>
      <c r="J5" s="19"/>
    </row>
    <row r="6" spans="1:115" x14ac:dyDescent="0.15">
      <c r="A6" s="2" t="s">
        <v>39</v>
      </c>
      <c r="B6" s="3" t="s">
        <v>42</v>
      </c>
      <c r="C6" s="10">
        <f>C4-C5</f>
        <v>8093.8456200000001</v>
      </c>
      <c r="D6" s="63"/>
      <c r="E6" s="12" t="s">
        <v>29</v>
      </c>
      <c r="F6" s="13">
        <f>F5+C5</f>
        <v>11775.48880646714</v>
      </c>
      <c r="I6" s="19"/>
      <c r="J6" s="19"/>
    </row>
    <row r="7" spans="1:115" x14ac:dyDescent="0.15">
      <c r="A7" s="72" t="s">
        <v>83</v>
      </c>
      <c r="B7" s="5" t="s">
        <v>43</v>
      </c>
      <c r="C7" s="43">
        <f>C6/C3</f>
        <v>71.689125259074245</v>
      </c>
      <c r="D7" s="63"/>
      <c r="E7" s="14" t="s">
        <v>43</v>
      </c>
      <c r="F7" s="42">
        <f>F6/C3</f>
        <v>104.29831895331473</v>
      </c>
      <c r="G7" s="19">
        <f>F7/C2-1</f>
        <v>0.42270248197128257</v>
      </c>
    </row>
    <row r="8" spans="1:115" x14ac:dyDescent="0.15">
      <c r="A8" s="9"/>
      <c r="C8" s="6"/>
      <c r="D8" s="15"/>
    </row>
    <row r="9" spans="1:115" x14ac:dyDescent="0.15">
      <c r="B9" s="38">
        <v>2017</v>
      </c>
      <c r="C9" s="38">
        <f>B9+1</f>
        <v>2018</v>
      </c>
      <c r="D9" s="38">
        <f t="shared" ref="D9:T9" si="0">C9+1</f>
        <v>2019</v>
      </c>
      <c r="E9" s="38">
        <f t="shared" si="0"/>
        <v>2020</v>
      </c>
      <c r="F9" s="38">
        <f t="shared" si="0"/>
        <v>2021</v>
      </c>
      <c r="G9" s="38">
        <f t="shared" si="0"/>
        <v>2022</v>
      </c>
      <c r="H9" s="38">
        <f t="shared" si="0"/>
        <v>2023</v>
      </c>
      <c r="I9" s="38">
        <f t="shared" si="0"/>
        <v>2024</v>
      </c>
      <c r="J9" s="38">
        <f t="shared" si="0"/>
        <v>2025</v>
      </c>
      <c r="K9" s="38">
        <f t="shared" si="0"/>
        <v>2026</v>
      </c>
      <c r="L9" s="38">
        <f t="shared" si="0"/>
        <v>2027</v>
      </c>
      <c r="M9" s="38">
        <f t="shared" si="0"/>
        <v>2028</v>
      </c>
      <c r="N9" s="38">
        <f t="shared" si="0"/>
        <v>2029</v>
      </c>
      <c r="O9" s="38">
        <f t="shared" si="0"/>
        <v>2030</v>
      </c>
      <c r="P9" s="38">
        <f t="shared" si="0"/>
        <v>2031</v>
      </c>
      <c r="Q9" s="38">
        <f t="shared" si="0"/>
        <v>2032</v>
      </c>
      <c r="R9" s="38">
        <f t="shared" si="0"/>
        <v>2033</v>
      </c>
      <c r="S9" s="38">
        <f t="shared" si="0"/>
        <v>2034</v>
      </c>
      <c r="T9" s="38">
        <f t="shared" si="0"/>
        <v>2035</v>
      </c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</row>
    <row r="10" spans="1:115" x14ac:dyDescent="0.15">
      <c r="A10" s="8" t="s">
        <v>78</v>
      </c>
      <c r="B10" s="37">
        <f>SUM(Reports!B3:E3)</f>
        <v>104.9</v>
      </c>
      <c r="C10" s="37">
        <f>SUM(Reports!F3:I3)</f>
        <v>144.56299999999999</v>
      </c>
      <c r="D10" s="37">
        <f>SUM(Reports!J3:M3)</f>
        <v>200.46200000000002</v>
      </c>
      <c r="E10" s="37">
        <f>SUM(Reports!N3:Q3)</f>
        <v>290.87400000000002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</row>
    <row r="11" spans="1:115" x14ac:dyDescent="0.15">
      <c r="A11" s="8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</row>
    <row r="12" spans="1:115" s="71" customFormat="1" x14ac:dyDescent="0.15">
      <c r="A12" s="67" t="s">
        <v>69</v>
      </c>
      <c r="B12" s="70">
        <f>Reports!E5</f>
        <v>1.439E-3</v>
      </c>
      <c r="C12" s="70">
        <f>Reports!I5</f>
        <v>1.5820000000000001E-3</v>
      </c>
      <c r="D12" s="70">
        <f>Reports!M5</f>
        <v>1.743E-3</v>
      </c>
      <c r="E12" s="70">
        <f>Reports!Q5</f>
        <v>2.0839999999999999E-3</v>
      </c>
      <c r="F12" s="70">
        <f>E12*1.2</f>
        <v>2.5007999999999996E-3</v>
      </c>
      <c r="G12" s="70">
        <f t="shared" ref="G12:J12" si="1">F12*1.2</f>
        <v>3.0009599999999996E-3</v>
      </c>
      <c r="H12" s="70">
        <f t="shared" si="1"/>
        <v>3.6011519999999994E-3</v>
      </c>
      <c r="I12" s="70">
        <f t="shared" si="1"/>
        <v>4.3213823999999987E-3</v>
      </c>
      <c r="J12" s="70">
        <f t="shared" si="1"/>
        <v>5.1856588799999983E-3</v>
      </c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70"/>
      <c r="CZ12" s="70"/>
      <c r="DA12" s="70"/>
      <c r="DB12" s="70"/>
      <c r="DC12" s="70"/>
      <c r="DD12" s="70"/>
      <c r="DE12" s="70"/>
      <c r="DF12" s="70"/>
      <c r="DG12" s="70"/>
      <c r="DH12" s="70"/>
      <c r="DI12" s="70"/>
      <c r="DJ12" s="70"/>
      <c r="DK12" s="70"/>
    </row>
    <row r="13" spans="1:115" x14ac:dyDescent="0.15">
      <c r="A13" s="8" t="s">
        <v>79</v>
      </c>
      <c r="B13" s="53">
        <f>SUM(B10)/B12</f>
        <v>72897.84572619875</v>
      </c>
      <c r="C13" s="53">
        <f>SUM(C10)/C12</f>
        <v>91379.898862199741</v>
      </c>
      <c r="D13" s="53">
        <f>SUM(D10)/D12</f>
        <v>115009.75329890994</v>
      </c>
      <c r="E13" s="53">
        <f>SUM(E10)/E12</f>
        <v>139574.85604606528</v>
      </c>
      <c r="F13" s="37">
        <f>E13*1.15</f>
        <v>160511.08445297505</v>
      </c>
      <c r="G13" s="37">
        <f t="shared" ref="G13:J13" si="2">F13*1.15</f>
        <v>184587.7471209213</v>
      </c>
      <c r="H13" s="37">
        <f t="shared" si="2"/>
        <v>212275.90918905949</v>
      </c>
      <c r="I13" s="37">
        <f t="shared" si="2"/>
        <v>244117.29556741839</v>
      </c>
      <c r="J13" s="37">
        <f t="shared" si="2"/>
        <v>280734.88990253111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</row>
    <row r="14" spans="1:115" s="38" customFormat="1" x14ac:dyDescent="0.15">
      <c r="D14" s="37">
        <v>194</v>
      </c>
      <c r="E14" s="37">
        <v>288</v>
      </c>
      <c r="F14" s="37">
        <v>375</v>
      </c>
      <c r="G14" s="37"/>
    </row>
    <row r="15" spans="1:115" x14ac:dyDescent="0.15">
      <c r="A15" s="2" t="s">
        <v>4</v>
      </c>
      <c r="B15" s="24">
        <f t="shared" ref="B15:I15" si="3">B13*B12</f>
        <v>104.89999999999999</v>
      </c>
      <c r="C15" s="24">
        <f t="shared" si="3"/>
        <v>144.56299999999999</v>
      </c>
      <c r="D15" s="24">
        <f t="shared" si="3"/>
        <v>200.46200000000002</v>
      </c>
      <c r="E15" s="24">
        <f t="shared" si="3"/>
        <v>290.87400000000002</v>
      </c>
      <c r="F15" s="46">
        <f t="shared" si="3"/>
        <v>401.40611999999993</v>
      </c>
      <c r="G15" s="46">
        <f t="shared" si="3"/>
        <v>553.94044559999986</v>
      </c>
      <c r="H15" s="46">
        <f t="shared" si="3"/>
        <v>764.43781492799985</v>
      </c>
      <c r="I15" s="46">
        <f t="shared" si="3"/>
        <v>1054.9241846006396</v>
      </c>
      <c r="J15" s="46">
        <f t="shared" ref="J15" si="4">J13*J12</f>
        <v>1455.7953747488823</v>
      </c>
      <c r="K15" s="46">
        <f t="shared" ref="K15:O15" si="5">J15*1.2</f>
        <v>1746.9544496986587</v>
      </c>
      <c r="L15" s="46">
        <f t="shared" si="5"/>
        <v>2096.3453396383902</v>
      </c>
      <c r="M15" s="46">
        <f t="shared" si="5"/>
        <v>2515.6144075660682</v>
      </c>
      <c r="N15" s="46">
        <f t="shared" si="5"/>
        <v>3018.7372890792817</v>
      </c>
      <c r="O15" s="46">
        <f t="shared" si="5"/>
        <v>3622.484746895138</v>
      </c>
      <c r="P15" s="46">
        <f t="shared" ref="P15:T15" si="6">O15*1.1</f>
        <v>3984.7332215846523</v>
      </c>
      <c r="Q15" s="46">
        <f t="shared" si="6"/>
        <v>4383.2065437431174</v>
      </c>
      <c r="R15" s="46">
        <f t="shared" si="6"/>
        <v>4821.5271981174292</v>
      </c>
      <c r="S15" s="46">
        <f t="shared" si="6"/>
        <v>5303.6799179291729</v>
      </c>
      <c r="T15" s="46">
        <f t="shared" si="6"/>
        <v>5834.0479097220905</v>
      </c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</row>
    <row r="16" spans="1:115" x14ac:dyDescent="0.15">
      <c r="A16" s="3" t="s">
        <v>5</v>
      </c>
      <c r="B16" s="37">
        <f>SUM(Reports!B9:E9)</f>
        <v>48.671999999999997</v>
      </c>
      <c r="C16" s="37">
        <f>SUM(Reports!F9:I9)</f>
        <v>65.498999999999995</v>
      </c>
      <c r="D16" s="37">
        <f>SUM(Reports!J9:M9)</f>
        <v>88.322000000000003</v>
      </c>
      <c r="E16" s="37">
        <f>SUM(Reports!N9:Q9)</f>
        <v>120.00700000000001</v>
      </c>
      <c r="F16" s="23">
        <f t="shared" ref="F16" si="7">F15-F17</f>
        <v>165.60965999999996</v>
      </c>
      <c r="G16" s="23">
        <f t="shared" ref="G16:N16" si="8">G15-G17</f>
        <v>228.54133079999997</v>
      </c>
      <c r="H16" s="23">
        <f t="shared" si="8"/>
        <v>315.38703650399992</v>
      </c>
      <c r="I16" s="23">
        <f>I15-I17</f>
        <v>435.23411037551989</v>
      </c>
      <c r="J16" s="23">
        <f>J15-J17</f>
        <v>600.62307231821728</v>
      </c>
      <c r="K16" s="23">
        <f t="shared" si="8"/>
        <v>720.74768678186069</v>
      </c>
      <c r="L16" s="23">
        <f t="shared" si="8"/>
        <v>864.89722413823279</v>
      </c>
      <c r="M16" s="23">
        <f t="shared" si="8"/>
        <v>1037.8766689658792</v>
      </c>
      <c r="N16" s="23">
        <f t="shared" si="8"/>
        <v>1245.4520027590549</v>
      </c>
      <c r="O16" s="23">
        <f t="shared" ref="O16" si="9">O15-O17</f>
        <v>1494.5424033108661</v>
      </c>
      <c r="P16" s="23">
        <f t="shared" ref="O16:S16" si="10">P15-P17</f>
        <v>1643.9966436419527</v>
      </c>
      <c r="Q16" s="23">
        <f t="shared" si="10"/>
        <v>1808.396308006148</v>
      </c>
      <c r="R16" s="23">
        <f t="shared" si="10"/>
        <v>1989.235938806763</v>
      </c>
      <c r="S16" s="23">
        <f t="shared" si="10"/>
        <v>2188.1595326874394</v>
      </c>
      <c r="T16" s="23">
        <f t="shared" ref="T16" si="11">T15-T17</f>
        <v>2406.9754859561835</v>
      </c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</row>
    <row r="17" spans="1:230" x14ac:dyDescent="0.15">
      <c r="A17" s="3" t="s">
        <v>6</v>
      </c>
      <c r="B17" s="26">
        <f>B15-B16</f>
        <v>56.227999999999994</v>
      </c>
      <c r="C17" s="26">
        <f>C15-C16</f>
        <v>79.063999999999993</v>
      </c>
      <c r="D17" s="26">
        <f>D15-D16</f>
        <v>112.14000000000001</v>
      </c>
      <c r="E17" s="26">
        <f>E15-E16</f>
        <v>170.86700000000002</v>
      </c>
      <c r="F17" s="23">
        <f t="shared" ref="F17:T17" si="12">F15*E30</f>
        <v>235.79645999999997</v>
      </c>
      <c r="G17" s="23">
        <f t="shared" si="12"/>
        <v>325.39911479999989</v>
      </c>
      <c r="H17" s="23">
        <f t="shared" si="12"/>
        <v>449.05077842399993</v>
      </c>
      <c r="I17" s="23">
        <f>I15*H30</f>
        <v>619.6900742251197</v>
      </c>
      <c r="J17" s="23">
        <f>J15*I30</f>
        <v>855.17230243066501</v>
      </c>
      <c r="K17" s="23">
        <f t="shared" si="12"/>
        <v>1026.206762916798</v>
      </c>
      <c r="L17" s="23">
        <f t="shared" si="12"/>
        <v>1231.4481155001574</v>
      </c>
      <c r="M17" s="23">
        <f t="shared" si="12"/>
        <v>1477.737738600189</v>
      </c>
      <c r="N17" s="23">
        <f t="shared" si="12"/>
        <v>1773.2852863202268</v>
      </c>
      <c r="O17" s="23">
        <f t="shared" si="12"/>
        <v>2127.9423435842718</v>
      </c>
      <c r="P17" s="23">
        <f t="shared" si="12"/>
        <v>2340.7365779426996</v>
      </c>
      <c r="Q17" s="23">
        <f t="shared" si="12"/>
        <v>2574.8102357369694</v>
      </c>
      <c r="R17" s="23">
        <f t="shared" si="12"/>
        <v>2832.2912593106662</v>
      </c>
      <c r="S17" s="23">
        <f t="shared" si="12"/>
        <v>3115.5203852417335</v>
      </c>
      <c r="T17" s="23">
        <f t="shared" si="12"/>
        <v>3427.0724237659069</v>
      </c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</row>
    <row r="18" spans="1:230" x14ac:dyDescent="0.15">
      <c r="A18" s="3" t="s">
        <v>7</v>
      </c>
      <c r="B18" s="37">
        <f>SUM(Reports!B11:E11)</f>
        <v>29</v>
      </c>
      <c r="C18" s="37">
        <f>SUM(Reports!F11:I11)</f>
        <v>34</v>
      </c>
      <c r="D18" s="37">
        <f>SUM(Reports!J11:M11)</f>
        <v>46</v>
      </c>
      <c r="E18" s="37">
        <f>SUM(Reports!N11:Q11)</f>
        <v>75</v>
      </c>
      <c r="F18" s="23">
        <f t="shared" ref="F18:J18" si="13">E18*1.3</f>
        <v>97.5</v>
      </c>
      <c r="G18" s="23">
        <f t="shared" si="13"/>
        <v>126.75</v>
      </c>
      <c r="H18" s="23">
        <f t="shared" si="13"/>
        <v>164.77500000000001</v>
      </c>
      <c r="I18" s="23">
        <f t="shared" si="13"/>
        <v>214.20750000000001</v>
      </c>
      <c r="J18" s="23">
        <f t="shared" si="13"/>
        <v>278.46975000000003</v>
      </c>
      <c r="K18" s="23">
        <f t="shared" ref="K18:O18" si="14">J18*1.1</f>
        <v>306.31672500000008</v>
      </c>
      <c r="L18" s="23">
        <f t="shared" si="14"/>
        <v>336.94839750000011</v>
      </c>
      <c r="M18" s="23">
        <f t="shared" si="14"/>
        <v>370.64323725000014</v>
      </c>
      <c r="N18" s="23">
        <f t="shared" si="14"/>
        <v>407.70756097500021</v>
      </c>
      <c r="O18" s="23">
        <f t="shared" si="14"/>
        <v>448.47831707250026</v>
      </c>
      <c r="P18" s="23">
        <f t="shared" ref="P18:T18" si="15">O18*1.05</f>
        <v>470.90223292612529</v>
      </c>
      <c r="Q18" s="23">
        <f t="shared" si="15"/>
        <v>494.44734457243158</v>
      </c>
      <c r="R18" s="23">
        <f t="shared" si="15"/>
        <v>519.16971180105315</v>
      </c>
      <c r="S18" s="23">
        <f t="shared" si="15"/>
        <v>545.1281973911058</v>
      </c>
      <c r="T18" s="23">
        <f t="shared" si="15"/>
        <v>572.38460726066114</v>
      </c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</row>
    <row r="19" spans="1:230" x14ac:dyDescent="0.15">
      <c r="A19" s="3" t="s">
        <v>8</v>
      </c>
      <c r="B19" s="37">
        <f>SUM(Reports!B12:E12)</f>
        <v>41</v>
      </c>
      <c r="C19" s="37">
        <f>SUM(Reports!F12:I12)</f>
        <v>49</v>
      </c>
      <c r="D19" s="37">
        <f>SUM(Reports!J12:M12)</f>
        <v>72</v>
      </c>
      <c r="E19" s="37">
        <f>SUM(Reports!N12:Q12)</f>
        <v>102</v>
      </c>
      <c r="F19" s="23">
        <f>E19*1.4</f>
        <v>142.79999999999998</v>
      </c>
      <c r="G19" s="23">
        <f t="shared" ref="G19:J19" si="16">F19*1.4</f>
        <v>199.91999999999996</v>
      </c>
      <c r="H19" s="23">
        <f t="shared" si="16"/>
        <v>279.88799999999992</v>
      </c>
      <c r="I19" s="23">
        <f t="shared" si="16"/>
        <v>391.84319999999985</v>
      </c>
      <c r="J19" s="23">
        <f t="shared" si="16"/>
        <v>548.58047999999974</v>
      </c>
      <c r="K19" s="23">
        <f>J19*1.15</f>
        <v>630.86755199999971</v>
      </c>
      <c r="L19" s="23">
        <f t="shared" ref="L19:O19" si="17">K19*1.15</f>
        <v>725.49768479999966</v>
      </c>
      <c r="M19" s="23">
        <f t="shared" si="17"/>
        <v>834.32233751999956</v>
      </c>
      <c r="N19" s="23">
        <f t="shared" si="17"/>
        <v>959.47068814799945</v>
      </c>
      <c r="O19" s="23">
        <f t="shared" si="17"/>
        <v>1103.3912913701993</v>
      </c>
      <c r="P19" s="23">
        <f t="shared" ref="O19:T19" si="18">O19*0.98</f>
        <v>1081.3234655427952</v>
      </c>
      <c r="Q19" s="23">
        <f t="shared" si="18"/>
        <v>1059.6969962319392</v>
      </c>
      <c r="R19" s="23">
        <f t="shared" si="18"/>
        <v>1038.5030563073005</v>
      </c>
      <c r="S19" s="23">
        <f t="shared" si="18"/>
        <v>1017.7329951811545</v>
      </c>
      <c r="T19" s="23">
        <f t="shared" si="18"/>
        <v>997.37833527753139</v>
      </c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</row>
    <row r="20" spans="1:230" x14ac:dyDescent="0.15">
      <c r="A20" s="3" t="s">
        <v>9</v>
      </c>
      <c r="B20" s="37">
        <f>SUM(Reports!B13:E13)</f>
        <v>17</v>
      </c>
      <c r="C20" s="37">
        <f>SUM(Reports!F13:I13)</f>
        <v>23</v>
      </c>
      <c r="D20" s="37">
        <f>SUM(Reports!J13:M13)</f>
        <v>42</v>
      </c>
      <c r="E20" s="37">
        <f>SUM(Reports!N13:Q13)</f>
        <v>102</v>
      </c>
      <c r="F20" s="23">
        <f t="shared" ref="F20:J20" si="19">E20*1.2</f>
        <v>122.39999999999999</v>
      </c>
      <c r="G20" s="23">
        <f t="shared" si="19"/>
        <v>146.88</v>
      </c>
      <c r="H20" s="23">
        <f t="shared" si="19"/>
        <v>176.256</v>
      </c>
      <c r="I20" s="23">
        <f t="shared" si="19"/>
        <v>211.50719999999998</v>
      </c>
      <c r="J20" s="23">
        <f t="shared" si="19"/>
        <v>253.80863999999997</v>
      </c>
      <c r="K20" s="23">
        <f t="shared" ref="K20:O20" si="20">J20*1.05</f>
        <v>266.49907199999996</v>
      </c>
      <c r="L20" s="23">
        <f t="shared" si="20"/>
        <v>279.82402559999997</v>
      </c>
      <c r="M20" s="23">
        <f t="shared" si="20"/>
        <v>293.81522687999995</v>
      </c>
      <c r="N20" s="23">
        <f t="shared" si="20"/>
        <v>308.50598822399996</v>
      </c>
      <c r="O20" s="23">
        <f t="shared" si="20"/>
        <v>323.93128763519996</v>
      </c>
      <c r="P20" s="23">
        <f t="shared" ref="O20:T20" si="21">O20*0.98</f>
        <v>317.45266188249593</v>
      </c>
      <c r="Q20" s="23">
        <f t="shared" si="21"/>
        <v>311.10360864484602</v>
      </c>
      <c r="R20" s="23">
        <f t="shared" si="21"/>
        <v>304.88153647194912</v>
      </c>
      <c r="S20" s="23">
        <f t="shared" si="21"/>
        <v>298.78390574251011</v>
      </c>
      <c r="T20" s="23">
        <f t="shared" si="21"/>
        <v>292.8082276276599</v>
      </c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</row>
    <row r="21" spans="1:230" x14ac:dyDescent="0.15">
      <c r="A21" s="3" t="s">
        <v>10</v>
      </c>
      <c r="B21" s="26">
        <f>SUM(B18:B20)</f>
        <v>87</v>
      </c>
      <c r="C21" s="26">
        <f>SUM(C18:C20)</f>
        <v>106</v>
      </c>
      <c r="D21" s="26">
        <f>SUM(D18:D20)</f>
        <v>160</v>
      </c>
      <c r="E21" s="26">
        <f>SUM(E18:E20)</f>
        <v>279</v>
      </c>
      <c r="F21" s="23">
        <f t="shared" ref="E21:F21" si="22">SUM(F18:F20)</f>
        <v>362.7</v>
      </c>
      <c r="G21" s="23">
        <f t="shared" ref="G21:N21" si="23">SUM(G18:G20)</f>
        <v>473.54999999999995</v>
      </c>
      <c r="H21" s="23">
        <f t="shared" si="23"/>
        <v>620.91899999999987</v>
      </c>
      <c r="I21" s="23">
        <f t="shared" si="23"/>
        <v>817.5578999999999</v>
      </c>
      <c r="J21" s="23">
        <f t="shared" ref="J21" si="24">SUM(J18:J20)</f>
        <v>1080.8588699999998</v>
      </c>
      <c r="K21" s="23">
        <f t="shared" si="23"/>
        <v>1203.6833489999999</v>
      </c>
      <c r="L21" s="23">
        <f t="shared" si="23"/>
        <v>1342.2701078999996</v>
      </c>
      <c r="M21" s="23">
        <f t="shared" si="23"/>
        <v>1498.7808016499996</v>
      </c>
      <c r="N21" s="23">
        <f t="shared" si="23"/>
        <v>1675.6842373469997</v>
      </c>
      <c r="O21" s="23">
        <f t="shared" ref="O21" si="25">SUM(O18:O20)</f>
        <v>1875.8008960778993</v>
      </c>
      <c r="P21" s="23">
        <f t="shared" ref="O21:S21" si="26">SUM(P18:P20)</f>
        <v>1869.6783603514166</v>
      </c>
      <c r="Q21" s="23">
        <f t="shared" si="26"/>
        <v>1865.2479494492168</v>
      </c>
      <c r="R21" s="23">
        <f t="shared" si="26"/>
        <v>1862.5543045803029</v>
      </c>
      <c r="S21" s="23">
        <f t="shared" si="26"/>
        <v>1861.6450983147704</v>
      </c>
      <c r="T21" s="23">
        <f t="shared" ref="T21" si="27">SUM(T18:T20)</f>
        <v>1862.5711701658524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</row>
    <row r="22" spans="1:230" x14ac:dyDescent="0.15">
      <c r="A22" s="3" t="s">
        <v>11</v>
      </c>
      <c r="B22" s="26">
        <f>B17-B21</f>
        <v>-30.772000000000006</v>
      </c>
      <c r="C22" s="26">
        <f>C17-C21</f>
        <v>-26.936000000000007</v>
      </c>
      <c r="D22" s="26">
        <f>D17-D21</f>
        <v>-47.859999999999985</v>
      </c>
      <c r="E22" s="26">
        <f>E17-E21</f>
        <v>-108.13299999999998</v>
      </c>
      <c r="F22" s="23">
        <f t="shared" ref="E22:F22" si="28">F17-F21</f>
        <v>-126.90354000000002</v>
      </c>
      <c r="G22" s="23">
        <f t="shared" ref="G22:N22" si="29">G17-G21</f>
        <v>-148.15088520000006</v>
      </c>
      <c r="H22" s="23">
        <f t="shared" si="29"/>
        <v>-171.86822157599994</v>
      </c>
      <c r="I22" s="23">
        <f t="shared" si="29"/>
        <v>-197.8678257748802</v>
      </c>
      <c r="J22" s="23">
        <f t="shared" ref="J22" si="30">J17-J21</f>
        <v>-225.68656756933478</v>
      </c>
      <c r="K22" s="23">
        <f t="shared" si="29"/>
        <v>-177.47658608320194</v>
      </c>
      <c r="L22" s="23">
        <f t="shared" si="29"/>
        <v>-110.8219923998422</v>
      </c>
      <c r="M22" s="23">
        <f t="shared" si="29"/>
        <v>-21.043063049810598</v>
      </c>
      <c r="N22" s="23">
        <f t="shared" si="29"/>
        <v>97.60104897322708</v>
      </c>
      <c r="O22" s="23">
        <f t="shared" ref="O22" si="31">O17-O21</f>
        <v>252.14144750637251</v>
      </c>
      <c r="P22" s="23">
        <f t="shared" ref="O22:S22" si="32">P17-P21</f>
        <v>471.05821759128298</v>
      </c>
      <c r="Q22" s="23">
        <f t="shared" si="32"/>
        <v>709.56228628775261</v>
      </c>
      <c r="R22" s="23">
        <f t="shared" si="32"/>
        <v>969.73695473036332</v>
      </c>
      <c r="S22" s="23">
        <f t="shared" si="32"/>
        <v>1253.8752869269631</v>
      </c>
      <c r="T22" s="23">
        <f t="shared" ref="T22" si="33">T17-T21</f>
        <v>1564.5012536000545</v>
      </c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</row>
    <row r="23" spans="1:230" x14ac:dyDescent="0.15">
      <c r="A23" s="3" t="s">
        <v>12</v>
      </c>
      <c r="B23" s="37">
        <f>SUM(Reports!B16:E16)</f>
        <v>0</v>
      </c>
      <c r="C23" s="23">
        <f>SUM(Reports!F16:I16)</f>
        <v>-2</v>
      </c>
      <c r="D23" s="37">
        <f>SUM(Reports!J16:M16)</f>
        <v>-5</v>
      </c>
      <c r="E23" s="37">
        <f>SUM(Reports!N16:Q16)</f>
        <v>0</v>
      </c>
      <c r="F23" s="23">
        <f t="shared" ref="E23:S23" si="34">E40*$F$3</f>
        <v>3.66</v>
      </c>
      <c r="G23" s="23">
        <f t="shared" si="34"/>
        <v>1.1951291999999996</v>
      </c>
      <c r="H23" s="23">
        <f t="shared" si="34"/>
        <v>-1.7439859200000019</v>
      </c>
      <c r="I23" s="23">
        <f t="shared" si="34"/>
        <v>-4.8690056549280012</v>
      </c>
      <c r="J23" s="23">
        <f t="shared" ref="J23" si="35">I40*$F$3</f>
        <v>-8.5182686206645482</v>
      </c>
      <c r="K23" s="23">
        <f t="shared" si="34"/>
        <v>-12.733955672084537</v>
      </c>
      <c r="L23" s="23">
        <f t="shared" si="34"/>
        <v>-16.157745423679692</v>
      </c>
      <c r="M23" s="23">
        <f t="shared" si="34"/>
        <v>-18.443380704503088</v>
      </c>
      <c r="N23" s="23">
        <f t="shared" si="34"/>
        <v>-19.154136692080733</v>
      </c>
      <c r="O23" s="23">
        <f t="shared" ref="O23" si="36">N40*$F$3</f>
        <v>-17.742092271020098</v>
      </c>
      <c r="P23" s="23">
        <f t="shared" si="34"/>
        <v>-13.522903876783756</v>
      </c>
      <c r="Q23" s="23">
        <f t="shared" si="34"/>
        <v>-5.2872682299227689</v>
      </c>
      <c r="R23" s="23">
        <f t="shared" si="34"/>
        <v>7.3896820951181681</v>
      </c>
      <c r="S23" s="23">
        <f t="shared" si="34"/>
        <v>24.977961557976833</v>
      </c>
      <c r="T23" s="23">
        <f t="shared" ref="T23" si="37">S40*$F$3</f>
        <v>47.997320030705751</v>
      </c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</row>
    <row r="24" spans="1:230" x14ac:dyDescent="0.15">
      <c r="A24" s="3" t="s">
        <v>13</v>
      </c>
      <c r="B24" s="26">
        <f>B22+B23</f>
        <v>-30.772000000000006</v>
      </c>
      <c r="C24" s="26">
        <f>C22+C23</f>
        <v>-28.936000000000007</v>
      </c>
      <c r="D24" s="26">
        <f>D22+D23</f>
        <v>-52.859999999999985</v>
      </c>
      <c r="E24" s="26">
        <f>E22+E23</f>
        <v>-108.13299999999998</v>
      </c>
      <c r="F24" s="23">
        <f t="shared" ref="E24:F24" si="38">F22+F23</f>
        <v>-123.24354000000002</v>
      </c>
      <c r="G24" s="23">
        <f t="shared" ref="G24" si="39">G22+G23</f>
        <v>-146.95575600000006</v>
      </c>
      <c r="H24" s="23">
        <f t="shared" ref="H24" si="40">H22+H23</f>
        <v>-173.61220749599994</v>
      </c>
      <c r="I24" s="23">
        <f t="shared" ref="I24:J24" si="41">I22+I23</f>
        <v>-202.73683142980821</v>
      </c>
      <c r="J24" s="23">
        <f t="shared" si="41"/>
        <v>-234.20483618999933</v>
      </c>
      <c r="K24" s="23">
        <f t="shared" ref="K24" si="42">K22+K23</f>
        <v>-190.21054175528647</v>
      </c>
      <c r="L24" s="23">
        <f t="shared" ref="L24" si="43">L22+L23</f>
        <v>-126.9797378235219</v>
      </c>
      <c r="M24" s="23">
        <f t="shared" ref="M24" si="44">M22+M23</f>
        <v>-39.486443754313683</v>
      </c>
      <c r="N24" s="23">
        <f t="shared" ref="N24:O24" si="45">N22+N23</f>
        <v>78.446912281146354</v>
      </c>
      <c r="O24" s="23">
        <f t="shared" ref="O24" si="46">O22+O23</f>
        <v>234.3993552353524</v>
      </c>
      <c r="P24" s="23">
        <f t="shared" ref="P24:S24" si="47">P22+P23</f>
        <v>457.53531371449924</v>
      </c>
      <c r="Q24" s="23">
        <f t="shared" si="47"/>
        <v>704.27501805782981</v>
      </c>
      <c r="R24" s="23">
        <f t="shared" si="47"/>
        <v>977.12663682548146</v>
      </c>
      <c r="S24" s="23">
        <f t="shared" si="47"/>
        <v>1278.85324848494</v>
      </c>
      <c r="T24" s="23">
        <f t="shared" ref="T24" si="48">T22+T23</f>
        <v>1612.4985736307603</v>
      </c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</row>
    <row r="25" spans="1:230" x14ac:dyDescent="0.15">
      <c r="A25" s="3" t="s">
        <v>14</v>
      </c>
      <c r="B25" s="37">
        <f>SUM(Reports!B18:E18)</f>
        <v>0</v>
      </c>
      <c r="C25" s="23">
        <f>SUM(Reports!F18:I18)</f>
        <v>0</v>
      </c>
      <c r="D25" s="37">
        <f>SUM(Reports!J18:M18)</f>
        <v>0</v>
      </c>
      <c r="E25" s="37">
        <f>SUM(Reports!N18:Q18)</f>
        <v>-12</v>
      </c>
      <c r="F25" s="23">
        <v>0</v>
      </c>
      <c r="G25" s="23">
        <v>0</v>
      </c>
      <c r="H25" s="23">
        <f t="shared" ref="H25:N25" si="49">H24*0.1</f>
        <v>-17.361220749599994</v>
      </c>
      <c r="I25" s="23">
        <f t="shared" si="49"/>
        <v>-20.273683142980822</v>
      </c>
      <c r="J25" s="23">
        <f t="shared" ref="J25" si="50">J24*0.1</f>
        <v>-23.420483618999935</v>
      </c>
      <c r="K25" s="23">
        <f t="shared" si="49"/>
        <v>-19.021054175528647</v>
      </c>
      <c r="L25" s="23">
        <f t="shared" si="49"/>
        <v>-12.697973782352191</v>
      </c>
      <c r="M25" s="23">
        <f t="shared" si="49"/>
        <v>-3.9486443754313685</v>
      </c>
      <c r="N25" s="23">
        <f t="shared" si="49"/>
        <v>7.8446912281146357</v>
      </c>
      <c r="O25" s="23">
        <f t="shared" ref="O25" si="51">O24*0.1</f>
        <v>23.43993552353524</v>
      </c>
      <c r="P25" s="23">
        <f t="shared" ref="O25:S25" si="52">P24*0.1</f>
        <v>45.753531371449924</v>
      </c>
      <c r="Q25" s="23">
        <f t="shared" si="52"/>
        <v>70.427501805782981</v>
      </c>
      <c r="R25" s="23">
        <f t="shared" si="52"/>
        <v>97.712663682548154</v>
      </c>
      <c r="S25" s="23">
        <f t="shared" si="52"/>
        <v>127.88532484849401</v>
      </c>
      <c r="T25" s="23">
        <f t="shared" ref="T25" si="53">T24*0.1</f>
        <v>161.24985736307605</v>
      </c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</row>
    <row r="26" spans="1:230" s="2" customFormat="1" x14ac:dyDescent="0.15">
      <c r="A26" s="2" t="s">
        <v>15</v>
      </c>
      <c r="B26" s="24">
        <f>B24-B25</f>
        <v>-30.772000000000006</v>
      </c>
      <c r="C26" s="24">
        <f>C24-C25</f>
        <v>-28.936000000000007</v>
      </c>
      <c r="D26" s="24">
        <f t="shared" ref="D26:F26" si="54">D24-D25</f>
        <v>-52.859999999999985</v>
      </c>
      <c r="E26" s="24">
        <f>E24-E25</f>
        <v>-96.132999999999981</v>
      </c>
      <c r="F26" s="24">
        <f t="shared" si="54"/>
        <v>-123.24354000000002</v>
      </c>
      <c r="G26" s="24">
        <f t="shared" ref="G26:N26" si="55">G24-G25</f>
        <v>-146.95575600000006</v>
      </c>
      <c r="H26" s="24">
        <f t="shared" si="55"/>
        <v>-156.25098674639995</v>
      </c>
      <c r="I26" s="24">
        <f t="shared" si="55"/>
        <v>-182.46314828682739</v>
      </c>
      <c r="J26" s="24">
        <f t="shared" ref="J26" si="56">J24-J25</f>
        <v>-210.7843525709994</v>
      </c>
      <c r="K26" s="24">
        <f t="shared" si="55"/>
        <v>-171.18948757975784</v>
      </c>
      <c r="L26" s="24">
        <f t="shared" si="55"/>
        <v>-114.28176404116971</v>
      </c>
      <c r="M26" s="24">
        <f t="shared" si="55"/>
        <v>-35.537799378882312</v>
      </c>
      <c r="N26" s="24">
        <f t="shared" si="55"/>
        <v>70.602221053031712</v>
      </c>
      <c r="O26" s="24">
        <f t="shared" ref="O26" si="57">O24-O25</f>
        <v>210.95941971181716</v>
      </c>
      <c r="P26" s="24">
        <f t="shared" ref="O26:S26" si="58">P24-P25</f>
        <v>411.78178234304931</v>
      </c>
      <c r="Q26" s="24">
        <f t="shared" si="58"/>
        <v>633.84751625204683</v>
      </c>
      <c r="R26" s="24">
        <f t="shared" si="58"/>
        <v>879.41397314293329</v>
      </c>
      <c r="S26" s="24">
        <f t="shared" si="58"/>
        <v>1150.9679236364459</v>
      </c>
      <c r="T26" s="24">
        <f t="shared" ref="T26" si="59">T24-T25</f>
        <v>1451.2487162676844</v>
      </c>
      <c r="U26" s="24">
        <f t="shared" ref="T26:AY26" si="60">T26*($F$2+1)</f>
        <v>1458.5049598490227</v>
      </c>
      <c r="V26" s="24">
        <f t="shared" si="60"/>
        <v>1465.7974846482678</v>
      </c>
      <c r="W26" s="24">
        <f t="shared" si="60"/>
        <v>1473.1264720715089</v>
      </c>
      <c r="X26" s="24">
        <f t="shared" si="60"/>
        <v>1480.4921044318664</v>
      </c>
      <c r="Y26" s="24">
        <f t="shared" si="60"/>
        <v>1487.8945649540256</v>
      </c>
      <c r="Z26" s="24">
        <f t="shared" si="60"/>
        <v>1495.3340377787956</v>
      </c>
      <c r="AA26" s="24">
        <f t="shared" si="60"/>
        <v>1502.8107079676895</v>
      </c>
      <c r="AB26" s="24">
        <f t="shared" si="60"/>
        <v>1510.3247615075277</v>
      </c>
      <c r="AC26" s="24">
        <f t="shared" si="60"/>
        <v>1517.8763853150651</v>
      </c>
      <c r="AD26" s="24">
        <f t="shared" si="60"/>
        <v>1525.4657672416404</v>
      </c>
      <c r="AE26" s="24">
        <f t="shared" si="60"/>
        <v>1533.0930960778485</v>
      </c>
      <c r="AF26" s="24">
        <f t="shared" si="60"/>
        <v>1540.7585615582375</v>
      </c>
      <c r="AG26" s="24">
        <f t="shared" si="60"/>
        <v>1548.4623543660284</v>
      </c>
      <c r="AH26" s="24">
        <f t="shared" si="60"/>
        <v>1556.2046661378583</v>
      </c>
      <c r="AI26" s="24">
        <f t="shared" si="60"/>
        <v>1563.9856894685474</v>
      </c>
      <c r="AJ26" s="24">
        <f t="shared" si="60"/>
        <v>1571.80561791589</v>
      </c>
      <c r="AK26" s="24">
        <f t="shared" si="60"/>
        <v>1579.6646460054692</v>
      </c>
      <c r="AL26" s="24">
        <f t="shared" si="60"/>
        <v>1587.5629692354964</v>
      </c>
      <c r="AM26" s="24">
        <f t="shared" si="60"/>
        <v>1595.5007840816738</v>
      </c>
      <c r="AN26" s="24">
        <f t="shared" si="60"/>
        <v>1603.4782880020821</v>
      </c>
      <c r="AO26" s="24">
        <f t="shared" si="60"/>
        <v>1611.4956794420923</v>
      </c>
      <c r="AP26" s="24">
        <f t="shared" si="60"/>
        <v>1619.5531578393027</v>
      </c>
      <c r="AQ26" s="24">
        <f t="shared" si="60"/>
        <v>1627.650923628499</v>
      </c>
      <c r="AR26" s="24">
        <f t="shared" si="60"/>
        <v>1635.7891782466413</v>
      </c>
      <c r="AS26" s="24">
        <f t="shared" si="60"/>
        <v>1643.9681241378744</v>
      </c>
      <c r="AT26" s="24">
        <f t="shared" si="60"/>
        <v>1652.1879647585636</v>
      </c>
      <c r="AU26" s="24">
        <f t="shared" si="60"/>
        <v>1660.4489045823561</v>
      </c>
      <c r="AV26" s="24">
        <f t="shared" si="60"/>
        <v>1668.7511491052678</v>
      </c>
      <c r="AW26" s="24">
        <f t="shared" si="60"/>
        <v>1677.0949048507939</v>
      </c>
      <c r="AX26" s="24">
        <f t="shared" si="60"/>
        <v>1685.4803793750477</v>
      </c>
      <c r="AY26" s="24">
        <f t="shared" si="60"/>
        <v>1693.9077812719229</v>
      </c>
      <c r="AZ26" s="24">
        <f t="shared" ref="AZ26:CE26" si="61">AY26*($F$2+1)</f>
        <v>1702.3773201782824</v>
      </c>
      <c r="BA26" s="24">
        <f t="shared" si="61"/>
        <v>1710.8892067791737</v>
      </c>
      <c r="BB26" s="24">
        <f t="shared" si="61"/>
        <v>1719.4436528130693</v>
      </c>
      <c r="BC26" s="24">
        <f t="shared" si="61"/>
        <v>1728.0408710771344</v>
      </c>
      <c r="BD26" s="24">
        <f t="shared" si="61"/>
        <v>1736.6810754325199</v>
      </c>
      <c r="BE26" s="24">
        <f t="shared" si="61"/>
        <v>1745.3644808096824</v>
      </c>
      <c r="BF26" s="24">
        <f t="shared" si="61"/>
        <v>1754.0913032137307</v>
      </c>
      <c r="BG26" s="24">
        <f t="shared" si="61"/>
        <v>1762.8617597297991</v>
      </c>
      <c r="BH26" s="24">
        <f t="shared" si="61"/>
        <v>1771.676068528448</v>
      </c>
      <c r="BI26" s="24">
        <f t="shared" si="61"/>
        <v>1780.53444887109</v>
      </c>
      <c r="BJ26" s="24">
        <f t="shared" si="61"/>
        <v>1789.4371211154453</v>
      </c>
      <c r="BK26" s="24">
        <f t="shared" si="61"/>
        <v>1798.3843067210223</v>
      </c>
      <c r="BL26" s="24">
        <f t="shared" si="61"/>
        <v>1807.3762282546272</v>
      </c>
      <c r="BM26" s="24">
        <f t="shared" si="61"/>
        <v>1816.4131093959002</v>
      </c>
      <c r="BN26" s="24">
        <f t="shared" si="61"/>
        <v>1825.4951749428794</v>
      </c>
      <c r="BO26" s="24">
        <f t="shared" si="61"/>
        <v>1834.6226508175937</v>
      </c>
      <c r="BP26" s="24">
        <f t="shared" si="61"/>
        <v>1843.7957640716816</v>
      </c>
      <c r="BQ26" s="24">
        <f t="shared" si="61"/>
        <v>1853.0147428920397</v>
      </c>
      <c r="BR26" s="24">
        <f t="shared" si="61"/>
        <v>1862.2798166064997</v>
      </c>
      <c r="BS26" s="24">
        <f t="shared" si="61"/>
        <v>1871.591215689532</v>
      </c>
      <c r="BT26" s="24">
        <f t="shared" si="61"/>
        <v>1880.9491717679794</v>
      </c>
      <c r="BU26" s="24">
        <f t="shared" si="61"/>
        <v>1890.3539176268191</v>
      </c>
      <c r="BV26" s="24">
        <f t="shared" si="61"/>
        <v>1899.805687214953</v>
      </c>
      <c r="BW26" s="24">
        <f t="shared" si="61"/>
        <v>1909.3047156510274</v>
      </c>
      <c r="BX26" s="24">
        <f t="shared" si="61"/>
        <v>1918.8512392292823</v>
      </c>
      <c r="BY26" s="24">
        <f t="shared" si="61"/>
        <v>1928.4454954254286</v>
      </c>
      <c r="BZ26" s="24">
        <f t="shared" si="61"/>
        <v>1938.0877229025555</v>
      </c>
      <c r="CA26" s="24">
        <f t="shared" si="61"/>
        <v>1947.7781615170679</v>
      </c>
      <c r="CB26" s="24">
        <f t="shared" si="61"/>
        <v>1957.5170523246532</v>
      </c>
      <c r="CC26" s="24">
        <f t="shared" si="61"/>
        <v>1967.3046375862762</v>
      </c>
      <c r="CD26" s="24">
        <f t="shared" si="61"/>
        <v>1977.1411607742073</v>
      </c>
      <c r="CE26" s="24">
        <f t="shared" si="61"/>
        <v>1987.0268665780782</v>
      </c>
      <c r="CF26" s="24">
        <f t="shared" ref="CF26:DK26" si="62">CE26*($F$2+1)</f>
        <v>1996.9620009109683</v>
      </c>
      <c r="CG26" s="24">
        <f t="shared" si="62"/>
        <v>2006.946810915523</v>
      </c>
      <c r="CH26" s="24">
        <f t="shared" si="62"/>
        <v>2016.9815449701005</v>
      </c>
      <c r="CI26" s="24">
        <f t="shared" si="62"/>
        <v>2027.0664526949508</v>
      </c>
      <c r="CJ26" s="24">
        <f t="shared" si="62"/>
        <v>2037.2017849584254</v>
      </c>
      <c r="CK26" s="24">
        <f t="shared" si="62"/>
        <v>2047.3877938832172</v>
      </c>
      <c r="CL26" s="24">
        <f t="shared" si="62"/>
        <v>2057.6247328526333</v>
      </c>
      <c r="CM26" s="24">
        <f t="shared" si="62"/>
        <v>2067.9128565168962</v>
      </c>
      <c r="CN26" s="24">
        <f t="shared" si="62"/>
        <v>2078.2524207994807</v>
      </c>
      <c r="CO26" s="24">
        <f t="shared" si="62"/>
        <v>2088.6436829034778</v>
      </c>
      <c r="CP26" s="24">
        <f t="shared" si="62"/>
        <v>2099.0869013179949</v>
      </c>
      <c r="CQ26" s="24">
        <f t="shared" si="62"/>
        <v>2109.5823358245848</v>
      </c>
      <c r="CR26" s="24">
        <f t="shared" si="62"/>
        <v>2120.1302475037073</v>
      </c>
      <c r="CS26" s="24">
        <f t="shared" si="62"/>
        <v>2130.7308987412257</v>
      </c>
      <c r="CT26" s="24">
        <f t="shared" si="62"/>
        <v>2141.3845532349314</v>
      </c>
      <c r="CU26" s="24">
        <f t="shared" si="62"/>
        <v>2152.091476001106</v>
      </c>
      <c r="CV26" s="24">
        <f t="shared" si="62"/>
        <v>2162.8519333811114</v>
      </c>
      <c r="CW26" s="24">
        <f t="shared" si="62"/>
        <v>2173.6661930480168</v>
      </c>
      <c r="CX26" s="24">
        <f t="shared" si="62"/>
        <v>2184.5345240132565</v>
      </c>
      <c r="CY26" s="24">
        <f t="shared" si="62"/>
        <v>2195.4571966333224</v>
      </c>
      <c r="CZ26" s="24">
        <f t="shared" si="62"/>
        <v>2206.4344826164888</v>
      </c>
      <c r="DA26" s="24">
        <f t="shared" si="62"/>
        <v>2217.466655029571</v>
      </c>
      <c r="DB26" s="24">
        <f t="shared" si="62"/>
        <v>2228.5539883047186</v>
      </c>
      <c r="DC26" s="24">
        <f t="shared" si="62"/>
        <v>2239.6967582462421</v>
      </c>
      <c r="DD26" s="24">
        <f t="shared" si="62"/>
        <v>2250.8952420374731</v>
      </c>
      <c r="DE26" s="24">
        <f t="shared" si="62"/>
        <v>2262.1497182476601</v>
      </c>
      <c r="DF26" s="24">
        <f t="shared" si="62"/>
        <v>2273.4604668388984</v>
      </c>
      <c r="DG26" s="24">
        <f t="shared" si="62"/>
        <v>2284.8277691730927</v>
      </c>
      <c r="DH26" s="24">
        <f t="shared" si="62"/>
        <v>2296.2519080189581</v>
      </c>
      <c r="DI26" s="24">
        <f t="shared" si="62"/>
        <v>2307.7331675590526</v>
      </c>
      <c r="DJ26" s="24">
        <f t="shared" si="62"/>
        <v>2319.2718333968478</v>
      </c>
      <c r="DK26" s="24">
        <f t="shared" si="62"/>
        <v>2330.8681925638316</v>
      </c>
      <c r="DL26" s="24">
        <f t="shared" ref="DL26:EQ26" si="63">DK26*($F$2+1)</f>
        <v>2342.5225335266505</v>
      </c>
      <c r="DM26" s="24">
        <f t="shared" si="63"/>
        <v>2354.2351461942835</v>
      </c>
      <c r="DN26" s="24">
        <f t="shared" si="63"/>
        <v>2366.0063219252547</v>
      </c>
      <c r="DO26" s="24">
        <f t="shared" si="63"/>
        <v>2377.8363535348808</v>
      </c>
      <c r="DP26" s="24">
        <f t="shared" si="63"/>
        <v>2389.7255353025548</v>
      </c>
      <c r="DQ26" s="24">
        <f t="shared" si="63"/>
        <v>2401.6741629790672</v>
      </c>
      <c r="DR26" s="24">
        <f t="shared" si="63"/>
        <v>2413.6825337939622</v>
      </c>
      <c r="DS26" s="24">
        <f t="shared" si="63"/>
        <v>2425.7509464629316</v>
      </c>
      <c r="DT26" s="24">
        <f t="shared" si="63"/>
        <v>2437.8797011952461</v>
      </c>
      <c r="DU26" s="24">
        <f t="shared" si="63"/>
        <v>2450.0690997012221</v>
      </c>
      <c r="DV26" s="24">
        <f t="shared" si="63"/>
        <v>2462.3194451997279</v>
      </c>
      <c r="DW26" s="24">
        <f t="shared" si="63"/>
        <v>2474.6310424257263</v>
      </c>
      <c r="DX26" s="24">
        <f t="shared" si="63"/>
        <v>2487.0041976378548</v>
      </c>
      <c r="DY26" s="24">
        <f t="shared" si="63"/>
        <v>2499.4392186260438</v>
      </c>
      <c r="DZ26" s="24">
        <f t="shared" si="63"/>
        <v>2511.9364147191736</v>
      </c>
      <c r="EA26" s="24">
        <f t="shared" si="63"/>
        <v>2524.4960967927691</v>
      </c>
      <c r="EB26" s="24">
        <f t="shared" si="63"/>
        <v>2537.1185772767326</v>
      </c>
      <c r="EC26" s="24">
        <f t="shared" si="63"/>
        <v>2549.8041701631159</v>
      </c>
      <c r="ED26" s="24">
        <f t="shared" si="63"/>
        <v>2562.5531910139312</v>
      </c>
      <c r="EE26" s="24">
        <f t="shared" si="63"/>
        <v>2575.3659569690008</v>
      </c>
      <c r="EF26" s="24">
        <f t="shared" si="63"/>
        <v>2588.2427867538454</v>
      </c>
      <c r="EG26" s="24">
        <f t="shared" si="63"/>
        <v>2601.1840006876146</v>
      </c>
      <c r="EH26" s="24">
        <f t="shared" si="63"/>
        <v>2614.1899206910525</v>
      </c>
      <c r="EI26" s="24">
        <f t="shared" si="63"/>
        <v>2627.2608702945076</v>
      </c>
      <c r="EJ26" s="24">
        <f t="shared" si="63"/>
        <v>2640.3971746459797</v>
      </c>
      <c r="EK26" s="24">
        <f t="shared" si="63"/>
        <v>2653.5991605192094</v>
      </c>
      <c r="EL26" s="24">
        <f t="shared" si="63"/>
        <v>2666.8671563218049</v>
      </c>
      <c r="EM26" s="24">
        <f t="shared" si="63"/>
        <v>2680.2014921034138</v>
      </c>
      <c r="EN26" s="24">
        <f t="shared" si="63"/>
        <v>2693.6024995639305</v>
      </c>
      <c r="EO26" s="24">
        <f t="shared" si="63"/>
        <v>2707.0705120617499</v>
      </c>
      <c r="EP26" s="24">
        <f t="shared" si="63"/>
        <v>2720.6058646220586</v>
      </c>
      <c r="EQ26" s="24">
        <f t="shared" si="63"/>
        <v>2734.2088939451687</v>
      </c>
      <c r="ER26" s="24">
        <f t="shared" ref="ER26:FW26" si="64">EQ26*($F$2+1)</f>
        <v>2747.8799384148942</v>
      </c>
      <c r="ES26" s="24">
        <f t="shared" si="64"/>
        <v>2761.6193381069684</v>
      </c>
      <c r="ET26" s="24">
        <f t="shared" si="64"/>
        <v>2775.4274347975029</v>
      </c>
      <c r="EU26" s="24">
        <f t="shared" si="64"/>
        <v>2789.3045719714901</v>
      </c>
      <c r="EV26" s="24">
        <f t="shared" si="64"/>
        <v>2803.251094831347</v>
      </c>
      <c r="EW26" s="24">
        <f t="shared" si="64"/>
        <v>2817.2673503055034</v>
      </c>
      <c r="EX26" s="24">
        <f t="shared" si="64"/>
        <v>2831.3536870570306</v>
      </c>
      <c r="EY26" s="24">
        <f t="shared" si="64"/>
        <v>2845.5104554923155</v>
      </c>
      <c r="EZ26" s="24">
        <f t="shared" si="64"/>
        <v>2859.7380077697767</v>
      </c>
      <c r="FA26" s="24">
        <f t="shared" si="64"/>
        <v>2874.0366978086254</v>
      </c>
      <c r="FB26" s="24">
        <f t="shared" si="64"/>
        <v>2888.4068812976684</v>
      </c>
      <c r="FC26" s="24">
        <f t="shared" si="64"/>
        <v>2902.8489157041563</v>
      </c>
      <c r="FD26" s="24">
        <f t="shared" si="64"/>
        <v>2917.3631602826767</v>
      </c>
      <c r="FE26" s="24">
        <f t="shared" si="64"/>
        <v>2931.9499760840899</v>
      </c>
      <c r="FF26" s="24">
        <f t="shared" si="64"/>
        <v>2946.6097259645103</v>
      </c>
      <c r="FG26" s="24">
        <f t="shared" si="64"/>
        <v>2961.3427745943327</v>
      </c>
      <c r="FH26" s="24">
        <f t="shared" si="64"/>
        <v>2976.1494884673039</v>
      </c>
      <c r="FI26" s="24">
        <f t="shared" si="64"/>
        <v>2991.0302359096399</v>
      </c>
      <c r="FJ26" s="24">
        <f t="shared" si="64"/>
        <v>3005.985387089188</v>
      </c>
      <c r="FK26" s="24">
        <f t="shared" si="64"/>
        <v>3021.0153140246334</v>
      </c>
      <c r="FL26" s="24">
        <f t="shared" si="64"/>
        <v>3036.1203905947564</v>
      </c>
      <c r="FM26" s="24">
        <f t="shared" si="64"/>
        <v>3051.3009925477299</v>
      </c>
      <c r="FN26" s="24">
        <f t="shared" si="64"/>
        <v>3066.5574975104682</v>
      </c>
      <c r="FO26" s="24">
        <f t="shared" si="64"/>
        <v>3081.8902849980204</v>
      </c>
      <c r="FP26" s="24">
        <f t="shared" si="64"/>
        <v>3097.29973642301</v>
      </c>
      <c r="FQ26" s="24">
        <f t="shared" si="64"/>
        <v>3112.7862351051249</v>
      </c>
      <c r="FR26" s="24">
        <f t="shared" si="64"/>
        <v>3128.3501662806502</v>
      </c>
      <c r="FS26" s="24">
        <f t="shared" si="64"/>
        <v>3143.9919171120532</v>
      </c>
      <c r="FT26" s="24">
        <f t="shared" si="64"/>
        <v>3159.7118766976132</v>
      </c>
      <c r="FU26" s="24">
        <f t="shared" si="64"/>
        <v>3175.510436081101</v>
      </c>
      <c r="FV26" s="24">
        <f t="shared" si="64"/>
        <v>3191.3879882615061</v>
      </c>
      <c r="FW26" s="24">
        <f t="shared" si="64"/>
        <v>3207.3449282028132</v>
      </c>
      <c r="FX26" s="24">
        <f t="shared" ref="FX26:GP26" si="65">FW26*($F$2+1)</f>
        <v>3223.3816528438269</v>
      </c>
      <c r="FY26" s="24">
        <f t="shared" si="65"/>
        <v>3239.4985611080456</v>
      </c>
      <c r="FZ26" s="24">
        <f t="shared" si="65"/>
        <v>3255.6960539135853</v>
      </c>
      <c r="GA26" s="24">
        <f t="shared" si="65"/>
        <v>3271.9745341831526</v>
      </c>
      <c r="GB26" s="24">
        <f t="shared" si="65"/>
        <v>3288.3344068540682</v>
      </c>
      <c r="GC26" s="24">
        <f t="shared" si="65"/>
        <v>3304.7760788883384</v>
      </c>
      <c r="GD26" s="24">
        <f t="shared" si="65"/>
        <v>3321.2999592827796</v>
      </c>
      <c r="GE26" s="24">
        <f t="shared" si="65"/>
        <v>3337.9064590791932</v>
      </c>
      <c r="GF26" s="24">
        <f t="shared" si="65"/>
        <v>3354.5959913745887</v>
      </c>
      <c r="GG26" s="24">
        <f t="shared" si="65"/>
        <v>3371.3689713314611</v>
      </c>
      <c r="GH26" s="24">
        <f t="shared" si="65"/>
        <v>3388.2258161881182</v>
      </c>
      <c r="GI26" s="24">
        <f t="shared" si="65"/>
        <v>3405.1669452690585</v>
      </c>
      <c r="GJ26" s="24">
        <f t="shared" si="65"/>
        <v>3422.1927799954033</v>
      </c>
      <c r="GK26" s="24">
        <f t="shared" si="65"/>
        <v>3439.3037438953797</v>
      </c>
      <c r="GL26" s="24">
        <f t="shared" si="65"/>
        <v>3456.5002626148562</v>
      </c>
      <c r="GM26" s="24">
        <f t="shared" si="65"/>
        <v>3473.7827639279303</v>
      </c>
      <c r="GN26" s="24">
        <f t="shared" si="65"/>
        <v>3491.1516777475695</v>
      </c>
      <c r="GO26" s="24">
        <f t="shared" si="65"/>
        <v>3508.6074361363071</v>
      </c>
      <c r="GP26" s="24">
        <f t="shared" si="65"/>
        <v>3526.1504733169882</v>
      </c>
      <c r="GQ26" s="24">
        <f t="shared" ref="GQ26:HV26" si="66">GP26*($F$2+1)</f>
        <v>3543.7812256835728</v>
      </c>
      <c r="GR26" s="24">
        <f t="shared" si="66"/>
        <v>3561.5001318119903</v>
      </c>
      <c r="GS26" s="24">
        <f t="shared" si="66"/>
        <v>3579.3076324710501</v>
      </c>
      <c r="GT26" s="24">
        <f t="shared" si="66"/>
        <v>3597.2041706334048</v>
      </c>
      <c r="GU26" s="24">
        <f t="shared" si="66"/>
        <v>3615.1901914865716</v>
      </c>
      <c r="GV26" s="24">
        <f t="shared" si="66"/>
        <v>3633.2661424440039</v>
      </c>
      <c r="GW26" s="24">
        <f t="shared" si="66"/>
        <v>3651.4324731562233</v>
      </c>
      <c r="GX26" s="24">
        <f t="shared" si="66"/>
        <v>3669.6896355220042</v>
      </c>
      <c r="GY26" s="24">
        <f t="shared" si="66"/>
        <v>3688.0380836996137</v>
      </c>
      <c r="GZ26" s="24">
        <f t="shared" si="66"/>
        <v>3706.4782741181116</v>
      </c>
      <c r="HA26" s="24">
        <f t="shared" si="66"/>
        <v>3725.0106654887018</v>
      </c>
      <c r="HB26" s="24">
        <f t="shared" si="66"/>
        <v>3743.6357188161451</v>
      </c>
      <c r="HC26" s="24">
        <f t="shared" si="66"/>
        <v>3762.3538974102253</v>
      </c>
      <c r="HD26" s="24">
        <f t="shared" si="66"/>
        <v>3781.165666897276</v>
      </c>
      <c r="HE26" s="24">
        <f t="shared" si="66"/>
        <v>3800.0714952317621</v>
      </c>
      <c r="HF26" s="24">
        <f t="shared" si="66"/>
        <v>3819.0718527079207</v>
      </c>
      <c r="HG26" s="24">
        <f t="shared" si="66"/>
        <v>3838.1672119714599</v>
      </c>
      <c r="HH26" s="24">
        <f t="shared" si="66"/>
        <v>3857.3580480313167</v>
      </c>
      <c r="HI26" s="24">
        <f t="shared" si="66"/>
        <v>3876.644838271473</v>
      </c>
      <c r="HJ26" s="24">
        <f t="shared" si="66"/>
        <v>3896.0280624628299</v>
      </c>
      <c r="HK26" s="24">
        <f t="shared" si="66"/>
        <v>3915.5082027751437</v>
      </c>
      <c r="HL26" s="24">
        <f t="shared" si="66"/>
        <v>3935.085743789019</v>
      </c>
      <c r="HM26" s="24">
        <f t="shared" si="66"/>
        <v>3954.7611725079637</v>
      </c>
      <c r="HN26" s="24">
        <f t="shared" si="66"/>
        <v>3974.5349783705033</v>
      </c>
      <c r="HO26" s="24">
        <f t="shared" si="66"/>
        <v>3994.4076532623553</v>
      </c>
      <c r="HP26" s="24">
        <f t="shared" si="66"/>
        <v>4014.3796915286666</v>
      </c>
      <c r="HQ26" s="24">
        <f t="shared" si="66"/>
        <v>4034.4515899863095</v>
      </c>
      <c r="HR26" s="24">
        <f t="shared" si="66"/>
        <v>4054.6238479362405</v>
      </c>
      <c r="HS26" s="24">
        <f t="shared" si="66"/>
        <v>4074.8969671759214</v>
      </c>
      <c r="HT26" s="24">
        <f t="shared" si="66"/>
        <v>4095.2714520118006</v>
      </c>
      <c r="HU26" s="24">
        <f t="shared" si="66"/>
        <v>4115.7478092718593</v>
      </c>
      <c r="HV26" s="24">
        <f t="shared" si="66"/>
        <v>4136.3265483182186</v>
      </c>
    </row>
    <row r="27" spans="1:230" x14ac:dyDescent="0.15">
      <c r="A27" s="3" t="s">
        <v>16</v>
      </c>
      <c r="B27" s="28" t="e">
        <f t="shared" ref="B27:E27" si="67">B26/B28</f>
        <v>#DIV/0!</v>
      </c>
      <c r="C27" s="28">
        <f t="shared" si="67"/>
        <v>-1.1675274370561657</v>
      </c>
      <c r="D27" s="28">
        <f t="shared" si="67"/>
        <v>-0.56207134882237209</v>
      </c>
      <c r="E27" s="28">
        <f t="shared" si="67"/>
        <v>-0.85147295884926733</v>
      </c>
      <c r="F27" s="47">
        <f t="shared" ref="F27" si="68">F26/F28</f>
        <v>-1.0915974916299094</v>
      </c>
      <c r="G27" s="47">
        <f t="shared" ref="G27:N27" si="69">G26/G28</f>
        <v>-1.3016222564702136</v>
      </c>
      <c r="H27" s="47">
        <f t="shared" si="69"/>
        <v>-1.3839523369506292</v>
      </c>
      <c r="I27" s="47">
        <f t="shared" si="69"/>
        <v>-1.6161197169831127</v>
      </c>
      <c r="J27" s="47">
        <f t="shared" ref="J27" si="70">J26/J28</f>
        <v>-1.8669673927034012</v>
      </c>
      <c r="K27" s="47">
        <f t="shared" si="69"/>
        <v>-1.5162662094538435</v>
      </c>
      <c r="L27" s="47">
        <f t="shared" si="69"/>
        <v>-1.0122208999058449</v>
      </c>
      <c r="M27" s="47">
        <f t="shared" si="69"/>
        <v>-0.31476678339517733</v>
      </c>
      <c r="N27" s="47">
        <f t="shared" si="69"/>
        <v>0.62534074731210887</v>
      </c>
      <c r="O27" s="47">
        <f t="shared" ref="O27" si="71">O26/O28</f>
        <v>1.8685180042144263</v>
      </c>
      <c r="P27" s="47">
        <f t="shared" ref="O27:S27" si="72">P26/P28</f>
        <v>3.6472496708920064</v>
      </c>
      <c r="Q27" s="47">
        <f t="shared" si="72"/>
        <v>5.6141389545982072</v>
      </c>
      <c r="R27" s="47">
        <f t="shared" si="72"/>
        <v>7.7891797589319349</v>
      </c>
      <c r="S27" s="47">
        <f t="shared" si="72"/>
        <v>10.194398005672582</v>
      </c>
      <c r="T27" s="47">
        <f t="shared" ref="T27" si="73">T26/T28</f>
        <v>12.854056759558594</v>
      </c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</row>
    <row r="28" spans="1:230" s="16" customFormat="1" x14ac:dyDescent="0.15">
      <c r="A28" s="16" t="s">
        <v>17</v>
      </c>
      <c r="B28" s="23"/>
      <c r="C28" s="23">
        <f>Reports!I21</f>
        <v>24.783999999999999</v>
      </c>
      <c r="D28" s="23">
        <f>Reports!M21</f>
        <v>94.045000000000002</v>
      </c>
      <c r="E28" s="23">
        <f>Reports!Q21</f>
        <v>112.902</v>
      </c>
      <c r="F28" s="23">
        <f t="shared" ref="F28" si="74">E28</f>
        <v>112.902</v>
      </c>
      <c r="G28" s="23">
        <f t="shared" ref="G28" si="75">F28</f>
        <v>112.902</v>
      </c>
      <c r="H28" s="23">
        <f t="shared" ref="H28" si="76">G28</f>
        <v>112.902</v>
      </c>
      <c r="I28" s="23">
        <f t="shared" ref="I28:J28" si="77">H28</f>
        <v>112.902</v>
      </c>
      <c r="J28" s="23">
        <f t="shared" si="77"/>
        <v>112.902</v>
      </c>
      <c r="K28" s="23">
        <f t="shared" ref="K28" si="78">J28</f>
        <v>112.902</v>
      </c>
      <c r="L28" s="23">
        <f t="shared" ref="L28" si="79">K28</f>
        <v>112.902</v>
      </c>
      <c r="M28" s="23">
        <f t="shared" ref="M28" si="80">L28</f>
        <v>112.902</v>
      </c>
      <c r="N28" s="23">
        <f t="shared" ref="N28:T28" si="81">M28</f>
        <v>112.902</v>
      </c>
      <c r="O28" s="23">
        <f t="shared" si="81"/>
        <v>112.902</v>
      </c>
      <c r="P28" s="23">
        <f t="shared" si="81"/>
        <v>112.902</v>
      </c>
      <c r="Q28" s="23">
        <f t="shared" si="81"/>
        <v>112.902</v>
      </c>
      <c r="R28" s="23">
        <f t="shared" si="81"/>
        <v>112.902</v>
      </c>
      <c r="S28" s="23">
        <f t="shared" si="81"/>
        <v>112.902</v>
      </c>
      <c r="T28" s="23">
        <f t="shared" si="81"/>
        <v>112.902</v>
      </c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</row>
    <row r="29" spans="1:230" x14ac:dyDescent="0.1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</row>
    <row r="30" spans="1:230" x14ac:dyDescent="0.15">
      <c r="A30" s="3" t="s">
        <v>19</v>
      </c>
      <c r="B30" s="33">
        <f t="shared" ref="B30:N30" si="82">IFERROR(B17/B15,0)</f>
        <v>0.53601525262154437</v>
      </c>
      <c r="C30" s="33">
        <f>IFERROR(C17/C15,0)</f>
        <v>0.54691726098655946</v>
      </c>
      <c r="D30" s="33">
        <f t="shared" si="82"/>
        <v>0.55940776805579118</v>
      </c>
      <c r="E30" s="33">
        <f t="shared" si="82"/>
        <v>0.58742617078185055</v>
      </c>
      <c r="F30" s="33">
        <f>IFERROR(F17/F15,0)</f>
        <v>0.58742617078185055</v>
      </c>
      <c r="G30" s="33">
        <f t="shared" si="82"/>
        <v>0.58742617078185055</v>
      </c>
      <c r="H30" s="33">
        <f t="shared" si="82"/>
        <v>0.58742617078185055</v>
      </c>
      <c r="I30" s="33">
        <f t="shared" si="82"/>
        <v>0.58742617078185055</v>
      </c>
      <c r="J30" s="33">
        <f t="shared" ref="J30" si="83">IFERROR(J17/J15,0)</f>
        <v>0.58742617078185055</v>
      </c>
      <c r="K30" s="33">
        <f t="shared" si="82"/>
        <v>0.58742617078185055</v>
      </c>
      <c r="L30" s="33">
        <f t="shared" si="82"/>
        <v>0.58742617078185055</v>
      </c>
      <c r="M30" s="33">
        <f t="shared" si="82"/>
        <v>0.58742617078185055</v>
      </c>
      <c r="N30" s="33">
        <f t="shared" si="82"/>
        <v>0.58742617078185055</v>
      </c>
      <c r="O30" s="33">
        <f t="shared" ref="O30" si="84">IFERROR(O17/O15,0)</f>
        <v>0.58742617078185055</v>
      </c>
      <c r="P30" s="33">
        <f t="shared" ref="O30:S30" si="85">IFERROR(P17/P15,0)</f>
        <v>0.58742617078185055</v>
      </c>
      <c r="Q30" s="33">
        <f t="shared" si="85"/>
        <v>0.58742617078185055</v>
      </c>
      <c r="R30" s="33">
        <f t="shared" si="85"/>
        <v>0.58742617078185055</v>
      </c>
      <c r="S30" s="33">
        <f t="shared" si="85"/>
        <v>0.58742617078185055</v>
      </c>
      <c r="T30" s="33">
        <f t="shared" ref="T30" si="86">IFERROR(T17/T15,0)</f>
        <v>0.58742617078185055</v>
      </c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</row>
    <row r="31" spans="1:230" x14ac:dyDescent="0.15">
      <c r="A31" s="3" t="s">
        <v>20</v>
      </c>
      <c r="B31" s="35">
        <f t="shared" ref="B31:N31" si="87">IFERROR(B22/B15,0)</f>
        <v>-0.29334604385128704</v>
      </c>
      <c r="C31" s="35">
        <f>IFERROR(C22/C15,0)</f>
        <v>-0.18632706847533609</v>
      </c>
      <c r="D31" s="35">
        <f t="shared" si="87"/>
        <v>-0.23874849098582265</v>
      </c>
      <c r="E31" s="35">
        <f>IFERROR(E22/E15,0)</f>
        <v>-0.37175203008862934</v>
      </c>
      <c r="F31" s="35">
        <f t="shared" si="87"/>
        <v>-0.31614749670483361</v>
      </c>
      <c r="G31" s="35">
        <f t="shared" si="87"/>
        <v>-0.26744912088795147</v>
      </c>
      <c r="H31" s="35">
        <f t="shared" si="87"/>
        <v>-0.22482956523047948</v>
      </c>
      <c r="I31" s="35">
        <f t="shared" si="87"/>
        <v>-0.18756592053085464</v>
      </c>
      <c r="J31" s="35">
        <f t="shared" ref="J31" si="88">IFERROR(J22/J15,0)</f>
        <v>-0.15502629798385273</v>
      </c>
      <c r="K31" s="35">
        <f t="shared" si="87"/>
        <v>-0.10159199406362072</v>
      </c>
      <c r="L31" s="35">
        <f t="shared" si="87"/>
        <v>-5.2864377974555697E-2</v>
      </c>
      <c r="M31" s="35">
        <f t="shared" si="87"/>
        <v>-8.3649795399965091E-3</v>
      </c>
      <c r="N31" s="35">
        <f t="shared" si="87"/>
        <v>3.2331746563807648E-2</v>
      </c>
      <c r="O31" s="35">
        <f t="shared" ref="O31" si="89">IFERROR(O22/O15,0)</f>
        <v>6.9604557402894535E-2</v>
      </c>
      <c r="P31" s="35">
        <f t="shared" ref="O31:S31" si="90">IFERROR(P22/P15,0)</f>
        <v>0.11821574780455493</v>
      </c>
      <c r="Q31" s="35">
        <f t="shared" si="90"/>
        <v>0.16188201016916015</v>
      </c>
      <c r="R31" s="35">
        <f t="shared" si="90"/>
        <v>0.20112651342275914</v>
      </c>
      <c r="S31" s="35">
        <f t="shared" si="90"/>
        <v>0.23641609341623693</v>
      </c>
      <c r="T31" s="35">
        <f t="shared" ref="T31" si="91">IFERROR(T22/T15,0)</f>
        <v>0.26816736471994124</v>
      </c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</row>
    <row r="32" spans="1:230" x14ac:dyDescent="0.15">
      <c r="A32" s="3" t="s">
        <v>21</v>
      </c>
      <c r="B32" s="35">
        <f t="shared" ref="B32:N32" si="92">IFERROR(B25/B24,0)</f>
        <v>0</v>
      </c>
      <c r="C32" s="35">
        <f>IFERROR(C25/C24,0)</f>
        <v>0</v>
      </c>
      <c r="D32" s="35">
        <f t="shared" si="92"/>
        <v>0</v>
      </c>
      <c r="E32" s="35">
        <f t="shared" si="92"/>
        <v>0.11097444813331732</v>
      </c>
      <c r="F32" s="35">
        <f t="shared" si="92"/>
        <v>0</v>
      </c>
      <c r="G32" s="35">
        <f t="shared" si="92"/>
        <v>0</v>
      </c>
      <c r="H32" s="35">
        <f t="shared" si="92"/>
        <v>0.1</v>
      </c>
      <c r="I32" s="35">
        <f t="shared" si="92"/>
        <v>0.1</v>
      </c>
      <c r="J32" s="35">
        <f t="shared" ref="J32" si="93">IFERROR(J25/J24,0)</f>
        <v>0.1</v>
      </c>
      <c r="K32" s="35">
        <f t="shared" si="92"/>
        <v>0.1</v>
      </c>
      <c r="L32" s="35">
        <f t="shared" si="92"/>
        <v>0.1</v>
      </c>
      <c r="M32" s="35">
        <f t="shared" si="92"/>
        <v>0.1</v>
      </c>
      <c r="N32" s="35">
        <f t="shared" si="92"/>
        <v>0.1</v>
      </c>
      <c r="O32" s="35">
        <f t="shared" ref="O32" si="94">IFERROR(O25/O24,0)</f>
        <v>0.1</v>
      </c>
      <c r="P32" s="35">
        <f t="shared" ref="O32:S32" si="95">IFERROR(P25/P24,0)</f>
        <v>0.1</v>
      </c>
      <c r="Q32" s="35">
        <f t="shared" si="95"/>
        <v>0.1</v>
      </c>
      <c r="R32" s="35">
        <f t="shared" si="95"/>
        <v>0.1</v>
      </c>
      <c r="S32" s="35">
        <f t="shared" si="95"/>
        <v>0.1</v>
      </c>
      <c r="T32" s="35">
        <f t="shared" ref="T32" si="96">IFERROR(T25/T24,0)</f>
        <v>0.1</v>
      </c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</row>
    <row r="33" spans="1:115" x14ac:dyDescent="0.15"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</row>
    <row r="34" spans="1:115" x14ac:dyDescent="0.15">
      <c r="A34" s="2" t="s">
        <v>18</v>
      </c>
      <c r="B34" s="48"/>
      <c r="C34" s="48">
        <f t="shared" ref="C34:T34" si="97">C15/B15-1</f>
        <v>0.37810295519542425</v>
      </c>
      <c r="D34" s="48">
        <f>D15/C15-1</f>
        <v>0.3866757054017973</v>
      </c>
      <c r="E34" s="48">
        <f t="shared" si="97"/>
        <v>0.45101814807794005</v>
      </c>
      <c r="F34" s="48">
        <f t="shared" si="97"/>
        <v>0.37999999999999967</v>
      </c>
      <c r="G34" s="48">
        <f t="shared" si="97"/>
        <v>0.37999999999999989</v>
      </c>
      <c r="H34" s="48">
        <f t="shared" si="97"/>
        <v>0.38000000000000012</v>
      </c>
      <c r="I34" s="48">
        <f t="shared" si="97"/>
        <v>0.37999999999999967</v>
      </c>
      <c r="J34" s="48">
        <f t="shared" si="97"/>
        <v>0.37999999999999967</v>
      </c>
      <c r="K34" s="48">
        <f t="shared" si="97"/>
        <v>0.19999999999999996</v>
      </c>
      <c r="L34" s="48">
        <f t="shared" si="97"/>
        <v>0.19999999999999996</v>
      </c>
      <c r="M34" s="48">
        <f t="shared" si="97"/>
        <v>0.19999999999999996</v>
      </c>
      <c r="N34" s="48">
        <f t="shared" si="97"/>
        <v>0.19999999999999996</v>
      </c>
      <c r="O34" s="48">
        <f t="shared" si="97"/>
        <v>0.19999999999999996</v>
      </c>
      <c r="P34" s="48">
        <f t="shared" si="97"/>
        <v>0.10000000000000009</v>
      </c>
      <c r="Q34" s="48">
        <f t="shared" si="97"/>
        <v>0.10000000000000009</v>
      </c>
      <c r="R34" s="48">
        <f t="shared" si="97"/>
        <v>0.10000000000000009</v>
      </c>
      <c r="S34" s="48">
        <f t="shared" si="97"/>
        <v>0.10000000000000009</v>
      </c>
      <c r="T34" s="48">
        <f t="shared" si="97"/>
        <v>0.10000000000000009</v>
      </c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</row>
    <row r="35" spans="1:115" x14ac:dyDescent="0.15">
      <c r="A35" s="3" t="s">
        <v>34</v>
      </c>
      <c r="B35" s="35"/>
      <c r="C35" s="35">
        <f t="shared" ref="C35:T35" si="98">C18/B18-1</f>
        <v>0.17241379310344818</v>
      </c>
      <c r="D35" s="35">
        <f t="shared" si="98"/>
        <v>0.35294117647058831</v>
      </c>
      <c r="E35" s="35">
        <f t="shared" si="98"/>
        <v>0.63043478260869557</v>
      </c>
      <c r="F35" s="35">
        <f t="shared" si="98"/>
        <v>0.30000000000000004</v>
      </c>
      <c r="G35" s="35">
        <f t="shared" si="98"/>
        <v>0.30000000000000004</v>
      </c>
      <c r="H35" s="35">
        <f t="shared" si="98"/>
        <v>0.30000000000000004</v>
      </c>
      <c r="I35" s="35">
        <f t="shared" si="98"/>
        <v>0.30000000000000004</v>
      </c>
      <c r="J35" s="35">
        <f t="shared" si="98"/>
        <v>0.30000000000000004</v>
      </c>
      <c r="K35" s="35">
        <f t="shared" si="98"/>
        <v>0.10000000000000009</v>
      </c>
      <c r="L35" s="35">
        <f t="shared" si="98"/>
        <v>0.10000000000000009</v>
      </c>
      <c r="M35" s="35">
        <f t="shared" si="98"/>
        <v>0.10000000000000009</v>
      </c>
      <c r="N35" s="35">
        <f t="shared" si="98"/>
        <v>0.10000000000000009</v>
      </c>
      <c r="O35" s="35">
        <f t="shared" si="98"/>
        <v>0.10000000000000009</v>
      </c>
      <c r="P35" s="35">
        <f t="shared" si="98"/>
        <v>5.0000000000000044E-2</v>
      </c>
      <c r="Q35" s="35">
        <f t="shared" si="98"/>
        <v>5.0000000000000044E-2</v>
      </c>
      <c r="R35" s="35">
        <f t="shared" si="98"/>
        <v>5.0000000000000044E-2</v>
      </c>
      <c r="S35" s="35">
        <f t="shared" si="98"/>
        <v>5.0000000000000044E-2</v>
      </c>
      <c r="T35" s="35">
        <f t="shared" si="98"/>
        <v>5.0000000000000044E-2</v>
      </c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</row>
    <row r="36" spans="1:115" x14ac:dyDescent="0.15">
      <c r="A36" s="3" t="s">
        <v>35</v>
      </c>
      <c r="B36" s="35"/>
      <c r="C36" s="35">
        <f t="shared" ref="C36:T36" si="99">C19/B19-1</f>
        <v>0.19512195121951215</v>
      </c>
      <c r="D36" s="35">
        <f t="shared" si="99"/>
        <v>0.46938775510204089</v>
      </c>
      <c r="E36" s="35">
        <f t="shared" si="99"/>
        <v>0.41666666666666674</v>
      </c>
      <c r="F36" s="35">
        <f t="shared" si="99"/>
        <v>0.39999999999999991</v>
      </c>
      <c r="G36" s="35">
        <f t="shared" si="99"/>
        <v>0.39999999999999991</v>
      </c>
      <c r="H36" s="35">
        <f t="shared" si="99"/>
        <v>0.39999999999999991</v>
      </c>
      <c r="I36" s="35">
        <f t="shared" si="99"/>
        <v>0.39999999999999991</v>
      </c>
      <c r="J36" s="35">
        <f t="shared" si="99"/>
        <v>0.39999999999999991</v>
      </c>
      <c r="K36" s="35">
        <f t="shared" si="99"/>
        <v>0.14999999999999991</v>
      </c>
      <c r="L36" s="35">
        <f t="shared" si="99"/>
        <v>0.14999999999999991</v>
      </c>
      <c r="M36" s="35">
        <f t="shared" si="99"/>
        <v>0.14999999999999991</v>
      </c>
      <c r="N36" s="35">
        <f t="shared" si="99"/>
        <v>0.14999999999999991</v>
      </c>
      <c r="O36" s="35">
        <f t="shared" si="99"/>
        <v>0.14999999999999991</v>
      </c>
      <c r="P36" s="35">
        <f t="shared" si="99"/>
        <v>-2.0000000000000018E-2</v>
      </c>
      <c r="Q36" s="35">
        <f t="shared" si="99"/>
        <v>-2.0000000000000129E-2</v>
      </c>
      <c r="R36" s="35">
        <f t="shared" si="99"/>
        <v>-1.9999999999999907E-2</v>
      </c>
      <c r="S36" s="35">
        <f t="shared" si="99"/>
        <v>-2.0000000000000018E-2</v>
      </c>
      <c r="T36" s="35">
        <f t="shared" si="99"/>
        <v>-2.0000000000000018E-2</v>
      </c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</row>
    <row r="37" spans="1:115" x14ac:dyDescent="0.15">
      <c r="A37" s="3" t="s">
        <v>36</v>
      </c>
      <c r="B37" s="35"/>
      <c r="C37" s="35">
        <f t="shared" ref="C37:T37" si="100">C20/B20-1</f>
        <v>0.35294117647058831</v>
      </c>
      <c r="D37" s="35">
        <f t="shared" si="100"/>
        <v>0.82608695652173902</v>
      </c>
      <c r="E37" s="35">
        <f t="shared" si="100"/>
        <v>1.4285714285714284</v>
      </c>
      <c r="F37" s="35">
        <f t="shared" si="100"/>
        <v>0.19999999999999996</v>
      </c>
      <c r="G37" s="35">
        <f t="shared" si="100"/>
        <v>0.19999999999999996</v>
      </c>
      <c r="H37" s="35">
        <f t="shared" si="100"/>
        <v>0.19999999999999996</v>
      </c>
      <c r="I37" s="35">
        <f t="shared" si="100"/>
        <v>0.19999999999999996</v>
      </c>
      <c r="J37" s="35">
        <f t="shared" si="100"/>
        <v>0.19999999999999996</v>
      </c>
      <c r="K37" s="35">
        <f t="shared" si="100"/>
        <v>5.0000000000000044E-2</v>
      </c>
      <c r="L37" s="35">
        <f t="shared" si="100"/>
        <v>5.0000000000000044E-2</v>
      </c>
      <c r="M37" s="35">
        <f t="shared" si="100"/>
        <v>5.0000000000000044E-2</v>
      </c>
      <c r="N37" s="35">
        <f t="shared" si="100"/>
        <v>5.0000000000000044E-2</v>
      </c>
      <c r="O37" s="35">
        <f t="shared" si="100"/>
        <v>5.0000000000000044E-2</v>
      </c>
      <c r="P37" s="35">
        <f t="shared" si="100"/>
        <v>-2.0000000000000129E-2</v>
      </c>
      <c r="Q37" s="35">
        <f t="shared" si="100"/>
        <v>-2.0000000000000018E-2</v>
      </c>
      <c r="R37" s="35">
        <f t="shared" si="100"/>
        <v>-1.9999999999999907E-2</v>
      </c>
      <c r="S37" s="35">
        <f t="shared" si="100"/>
        <v>-2.0000000000000018E-2</v>
      </c>
      <c r="T37" s="35">
        <f t="shared" si="100"/>
        <v>-2.0000000000000018E-2</v>
      </c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</row>
    <row r="38" spans="1:115" x14ac:dyDescent="0.15">
      <c r="A38" s="6" t="s">
        <v>82</v>
      </c>
      <c r="B38" s="33"/>
      <c r="C38" s="33">
        <f>C21/B21-1</f>
        <v>0.21839080459770122</v>
      </c>
      <c r="D38" s="33">
        <f t="shared" ref="D38:T38" si="101">D21/C21-1</f>
        <v>0.50943396226415105</v>
      </c>
      <c r="E38" s="33">
        <f t="shared" si="101"/>
        <v>0.74374999999999991</v>
      </c>
      <c r="F38" s="33">
        <f t="shared" si="101"/>
        <v>0.30000000000000004</v>
      </c>
      <c r="G38" s="33">
        <f t="shared" si="101"/>
        <v>0.30562448304383771</v>
      </c>
      <c r="H38" s="33">
        <f t="shared" si="101"/>
        <v>0.31120050681026279</v>
      </c>
      <c r="I38" s="33">
        <f t="shared" si="101"/>
        <v>0.31669009967483697</v>
      </c>
      <c r="J38" s="33">
        <f t="shared" si="101"/>
        <v>0.32205788727624052</v>
      </c>
      <c r="K38" s="33">
        <f t="shared" si="101"/>
        <v>0.11363600041511446</v>
      </c>
      <c r="L38" s="33">
        <f t="shared" si="101"/>
        <v>0.11513556203559294</v>
      </c>
      <c r="M38" s="33">
        <f t="shared" si="101"/>
        <v>0.11660148939386206</v>
      </c>
      <c r="N38" s="33">
        <f t="shared" si="101"/>
        <v>0.11803155971990575</v>
      </c>
      <c r="O38" s="33">
        <f t="shared" si="101"/>
        <v>0.11942384744737544</v>
      </c>
      <c r="P38" s="33">
        <f t="shared" si="101"/>
        <v>-3.263958205417361E-3</v>
      </c>
      <c r="Q38" s="33">
        <f t="shared" si="101"/>
        <v>-2.3696112637080491E-3</v>
      </c>
      <c r="R38" s="33">
        <f t="shared" si="101"/>
        <v>-1.4441216084485342E-3</v>
      </c>
      <c r="S38" s="33">
        <f t="shared" si="101"/>
        <v>-4.8815020496129069E-4</v>
      </c>
      <c r="T38" s="33">
        <f t="shared" si="101"/>
        <v>4.9744811829088853E-4</v>
      </c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</row>
    <row r="39" spans="1:115" x14ac:dyDescent="0.15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</row>
    <row r="40" spans="1:115" x14ac:dyDescent="0.15">
      <c r="A40" s="2" t="s">
        <v>22</v>
      </c>
      <c r="B40" s="24">
        <f>B41-B42</f>
        <v>24</v>
      </c>
      <c r="C40" s="24">
        <f>C41-C42</f>
        <v>31</v>
      </c>
      <c r="D40" s="24">
        <f>D41-D42</f>
        <v>102</v>
      </c>
      <c r="E40" s="24">
        <f>E41-E42</f>
        <v>183</v>
      </c>
      <c r="F40" s="49">
        <f>E40+F26</f>
        <v>59.756459999999976</v>
      </c>
      <c r="G40" s="49">
        <f t="shared" ref="G40:T40" si="102">F40+G26</f>
        <v>-87.199296000000089</v>
      </c>
      <c r="H40" s="49">
        <f t="shared" si="102"/>
        <v>-243.45028274640003</v>
      </c>
      <c r="I40" s="49">
        <f t="shared" si="102"/>
        <v>-425.91343103322743</v>
      </c>
      <c r="J40" s="49">
        <f t="shared" si="102"/>
        <v>-636.69778360422686</v>
      </c>
      <c r="K40" s="49">
        <f t="shared" si="102"/>
        <v>-807.88727118398469</v>
      </c>
      <c r="L40" s="49">
        <f t="shared" si="102"/>
        <v>-922.1690352251544</v>
      </c>
      <c r="M40" s="49">
        <f t="shared" si="102"/>
        <v>-957.70683460403666</v>
      </c>
      <c r="N40" s="49">
        <f t="shared" si="102"/>
        <v>-887.10461355100495</v>
      </c>
      <c r="O40" s="49">
        <f t="shared" si="102"/>
        <v>-676.14519383918775</v>
      </c>
      <c r="P40" s="49">
        <f t="shared" si="102"/>
        <v>-264.36341149613844</v>
      </c>
      <c r="Q40" s="49">
        <f t="shared" si="102"/>
        <v>369.48410475590839</v>
      </c>
      <c r="R40" s="49">
        <f t="shared" si="102"/>
        <v>1248.8980778988416</v>
      </c>
      <c r="S40" s="49">
        <f t="shared" si="102"/>
        <v>2399.8660015352875</v>
      </c>
      <c r="T40" s="49">
        <f t="shared" si="102"/>
        <v>3851.1147178029719</v>
      </c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</row>
    <row r="41" spans="1:115" x14ac:dyDescent="0.15">
      <c r="A41" s="3" t="s">
        <v>23</v>
      </c>
      <c r="B41" s="50">
        <f>Reports!E34</f>
        <v>50</v>
      </c>
      <c r="C41" s="50">
        <f>Reports!I34</f>
        <v>84</v>
      </c>
      <c r="D41" s="50">
        <f>Reports!M34</f>
        <v>131</v>
      </c>
      <c r="E41" s="50">
        <f>Reports!Q34</f>
        <v>194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</row>
    <row r="42" spans="1:115" x14ac:dyDescent="0.15">
      <c r="A42" s="3" t="s">
        <v>24</v>
      </c>
      <c r="B42" s="50">
        <f>Reports!E35</f>
        <v>26</v>
      </c>
      <c r="C42" s="50">
        <f>Reports!I35</f>
        <v>53</v>
      </c>
      <c r="D42" s="50">
        <f>Reports!M35</f>
        <v>29</v>
      </c>
      <c r="E42" s="50">
        <f>Reports!Q35</f>
        <v>11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</row>
    <row r="43" spans="1:115" x14ac:dyDescent="0.15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</row>
    <row r="44" spans="1:115" x14ac:dyDescent="0.15">
      <c r="A44" s="3" t="s">
        <v>48</v>
      </c>
      <c r="B44" s="52">
        <f>Reports!E37</f>
        <v>1</v>
      </c>
      <c r="C44" s="50">
        <f>Reports!I37</f>
        <v>1</v>
      </c>
      <c r="D44" s="50">
        <f>Reports!M37</f>
        <v>1</v>
      </c>
      <c r="E44" s="50">
        <f>Reports!Q37</f>
        <v>700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</row>
    <row r="45" spans="1:115" x14ac:dyDescent="0.15">
      <c r="A45" s="3" t="s">
        <v>49</v>
      </c>
      <c r="B45" s="52">
        <f>Reports!E38</f>
        <v>116</v>
      </c>
      <c r="C45" s="50">
        <f>Reports!I38</f>
        <v>163</v>
      </c>
      <c r="D45" s="50">
        <f>Reports!M38</f>
        <v>321</v>
      </c>
      <c r="E45" s="50">
        <f>Reports!Q38</f>
        <v>1163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</row>
    <row r="46" spans="1:115" x14ac:dyDescent="0.15">
      <c r="A46" s="3" t="s">
        <v>50</v>
      </c>
      <c r="B46" s="52">
        <f>Reports!E39</f>
        <v>223</v>
      </c>
      <c r="C46" s="50">
        <f>Reports!I39</f>
        <v>295</v>
      </c>
      <c r="D46" s="50">
        <f>Reports!M39</f>
        <v>63</v>
      </c>
      <c r="E46" s="50">
        <f>Reports!Q39</f>
        <v>158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</row>
    <row r="47" spans="1:115" x14ac:dyDescent="0.15"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</row>
    <row r="48" spans="1:115" x14ac:dyDescent="0.15">
      <c r="A48" s="3" t="s">
        <v>51</v>
      </c>
      <c r="B48" s="53">
        <f>B45-B44-B41</f>
        <v>65</v>
      </c>
      <c r="C48" s="53">
        <f>C45-C44-C41</f>
        <v>78</v>
      </c>
      <c r="D48" s="53">
        <f>D45-D44-D41</f>
        <v>189</v>
      </c>
      <c r="E48" s="53">
        <f>E45-E44-E41</f>
        <v>269</v>
      </c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</row>
    <row r="49" spans="1:115" x14ac:dyDescent="0.15">
      <c r="A49" s="3" t="s">
        <v>52</v>
      </c>
      <c r="B49" s="53">
        <f>B45-B46</f>
        <v>-107</v>
      </c>
      <c r="C49" s="53">
        <f>C45-C46</f>
        <v>-132</v>
      </c>
      <c r="D49" s="53">
        <f>D45-D46</f>
        <v>258</v>
      </c>
      <c r="E49" s="53">
        <f>E45-E46</f>
        <v>1005</v>
      </c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</row>
    <row r="50" spans="1:115" x14ac:dyDescent="0.15"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</row>
    <row r="51" spans="1:115" x14ac:dyDescent="0.15">
      <c r="A51" s="18" t="s">
        <v>54</v>
      </c>
      <c r="B51" s="54">
        <f>B26/B49</f>
        <v>0.28758878504672902</v>
      </c>
      <c r="C51" s="54">
        <f>C26/C49</f>
        <v>0.21921212121212127</v>
      </c>
      <c r="D51" s="54">
        <f>D26/D49</f>
        <v>-0.20488372093023249</v>
      </c>
      <c r="E51" s="54">
        <f>E26/E49</f>
        <v>-9.5654726368159179E-2</v>
      </c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</row>
    <row r="52" spans="1:115" x14ac:dyDescent="0.15">
      <c r="A52" s="18" t="s">
        <v>55</v>
      </c>
      <c r="B52" s="54">
        <f>B26/B45</f>
        <v>-0.26527586206896558</v>
      </c>
      <c r="C52" s="54">
        <f>C26/C45</f>
        <v>-0.17752147239263807</v>
      </c>
      <c r="D52" s="54">
        <f>D26/D45</f>
        <v>-0.16467289719626163</v>
      </c>
      <c r="E52" s="54">
        <f>E26/E45</f>
        <v>-8.2659501289767831E-2</v>
      </c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</row>
    <row r="53" spans="1:115" x14ac:dyDescent="0.15">
      <c r="A53" s="18" t="s">
        <v>56</v>
      </c>
      <c r="B53" s="54">
        <f>B26/(B49-B44)</f>
        <v>0.28492592592592597</v>
      </c>
      <c r="C53" s="54">
        <f>C26/(C49-C44)</f>
        <v>0.21756390977443615</v>
      </c>
      <c r="D53" s="54">
        <f>D26/(D49-D44)</f>
        <v>-0.20568093385214001</v>
      </c>
      <c r="E53" s="54">
        <f>E26/(E49-E44)</f>
        <v>-0.31519016393442617</v>
      </c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</row>
    <row r="54" spans="1:115" x14ac:dyDescent="0.15">
      <c r="A54" s="18" t="s">
        <v>57</v>
      </c>
      <c r="B54" s="54">
        <f>B26/B48</f>
        <v>-0.47341538461538468</v>
      </c>
      <c r="C54" s="54">
        <f>C26/C48</f>
        <v>-0.37097435897435904</v>
      </c>
      <c r="D54" s="54">
        <f>D26/D48</f>
        <v>-0.27968253968253959</v>
      </c>
      <c r="E54" s="54">
        <f>E26/E48</f>
        <v>-0.35737174721189585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</row>
    <row r="56" spans="1:115" x14ac:dyDescent="0.15">
      <c r="A56" s="3" t="s">
        <v>70</v>
      </c>
      <c r="C56" s="54">
        <f>C12/B12-1</f>
        <v>9.9374565670604653E-2</v>
      </c>
      <c r="D56" s="54">
        <f>D12/C12-1</f>
        <v>0.1017699115044246</v>
      </c>
      <c r="E56" s="54">
        <f>E12/D12-1</f>
        <v>0.19563970166379807</v>
      </c>
      <c r="F56" s="54">
        <f>F12/E12-1</f>
        <v>0.19999999999999996</v>
      </c>
      <c r="G56" s="54">
        <f t="shared" ref="E56:J56" si="103">G12/F12-1</f>
        <v>0.19999999999999996</v>
      </c>
      <c r="H56" s="54">
        <f t="shared" si="103"/>
        <v>0.19999999999999996</v>
      </c>
      <c r="I56" s="54">
        <f t="shared" si="103"/>
        <v>0.19999999999999996</v>
      </c>
      <c r="J56" s="54">
        <f t="shared" si="103"/>
        <v>0.19999999999999996</v>
      </c>
    </row>
    <row r="57" spans="1:115" x14ac:dyDescent="0.15">
      <c r="A57" s="3" t="s">
        <v>80</v>
      </c>
      <c r="C57" s="54">
        <f>C13/B13-1</f>
        <v>0.25353359830987054</v>
      </c>
      <c r="D57" s="54">
        <f>D13/C13-1</f>
        <v>0.25858919446106921</v>
      </c>
      <c r="E57" s="54">
        <f>E13/D13-1</f>
        <v>0.21359147413620416</v>
      </c>
      <c r="F57" s="54">
        <f t="shared" ref="E57:J57" si="104">F13/E13-1</f>
        <v>0.14999999999999991</v>
      </c>
      <c r="G57" s="54">
        <f t="shared" si="104"/>
        <v>0.14999999999999991</v>
      </c>
      <c r="H57" s="54">
        <f t="shared" si="104"/>
        <v>0.14999999999999991</v>
      </c>
      <c r="I57" s="54">
        <f t="shared" si="104"/>
        <v>0.14999999999999991</v>
      </c>
      <c r="J57" s="54">
        <f t="shared" si="104"/>
        <v>0.14999999999999991</v>
      </c>
    </row>
    <row r="59" spans="1:115" s="16" customFormat="1" x14ac:dyDescent="0.15">
      <c r="A59" s="16" t="s">
        <v>77</v>
      </c>
      <c r="B59" s="16">
        <f>Reports!E55</f>
        <v>170</v>
      </c>
      <c r="C59" s="37">
        <f>Reports!I55</f>
        <v>227</v>
      </c>
      <c r="D59" s="16">
        <f>Reports!M55</f>
        <v>288</v>
      </c>
      <c r="E59" s="16">
        <f>Reports!Q55</f>
        <v>324</v>
      </c>
    </row>
    <row r="60" spans="1:115" s="19" customFormat="1" x14ac:dyDescent="0.15">
      <c r="A60" s="19" t="s">
        <v>76</v>
      </c>
      <c r="C60" s="54">
        <f>C59/B59-1</f>
        <v>0.33529411764705874</v>
      </c>
      <c r="D60" s="54">
        <f>D59/C59-1</f>
        <v>0.26872246696035251</v>
      </c>
      <c r="E60" s="54">
        <f>E59/D59-1</f>
        <v>0.125</v>
      </c>
    </row>
  </sheetData>
  <hyperlinks>
    <hyperlink ref="A1" r:id="rId1" xr:uid="{00000000-0004-0000-0000-000000000000}"/>
    <hyperlink ref="L4" r:id="rId2" xr:uid="{CBCA994A-BC74-CB48-8009-AD2DE8254A02}"/>
    <hyperlink ref="A7" r:id="rId3" xr:uid="{3494FB13-BE12-7A48-89B6-63CD9310EDD5}"/>
    <hyperlink ref="A4" r:id="rId4" xr:uid="{169C0310-CE78-7946-8AA5-590F6CAC438B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8"/>
  <sheetViews>
    <sheetView zoomScale="125" zoomScaleNormal="12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J38" sqref="J38"/>
    </sheetView>
  </sheetViews>
  <sheetFormatPr baseColWidth="10" defaultRowHeight="13" x14ac:dyDescent="0.15"/>
  <cols>
    <col min="1" max="1" width="20.33203125" style="6" bestFit="1" customWidth="1"/>
    <col min="2" max="2" width="10.83203125" style="21"/>
    <col min="3" max="5" width="10.83203125" style="20"/>
    <col min="6" max="6" width="10.83203125" style="21"/>
    <col min="7" max="9" width="10.83203125" style="20"/>
    <col min="10" max="10" width="10.83203125" style="21"/>
    <col min="11" max="13" width="10.83203125" style="20"/>
    <col min="14" max="14" width="10.83203125" style="21"/>
    <col min="15" max="17" width="10.83203125" style="20"/>
    <col min="18" max="16384" width="10.83203125" style="6"/>
  </cols>
  <sheetData>
    <row r="1" spans="1:21" s="20" customFormat="1" x14ac:dyDescent="0.15">
      <c r="A1" s="64" t="s">
        <v>37</v>
      </c>
      <c r="B1" s="22" t="s">
        <v>0</v>
      </c>
      <c r="C1" s="23" t="s">
        <v>1</v>
      </c>
      <c r="D1" s="23" t="s">
        <v>2</v>
      </c>
      <c r="E1" s="23" t="s">
        <v>3</v>
      </c>
      <c r="F1" s="22" t="s">
        <v>30</v>
      </c>
      <c r="G1" s="23" t="s">
        <v>31</v>
      </c>
      <c r="H1" s="23" t="s">
        <v>32</v>
      </c>
      <c r="I1" s="23" t="s">
        <v>33</v>
      </c>
      <c r="J1" s="22" t="s">
        <v>44</v>
      </c>
      <c r="K1" s="23" t="s">
        <v>45</v>
      </c>
      <c r="L1" s="23" t="s">
        <v>46</v>
      </c>
      <c r="M1" s="23" t="s">
        <v>47</v>
      </c>
      <c r="N1" s="22" t="s">
        <v>61</v>
      </c>
      <c r="O1" s="23" t="s">
        <v>66</v>
      </c>
      <c r="P1" s="23" t="s">
        <v>67</v>
      </c>
      <c r="Q1" s="23" t="s">
        <v>62</v>
      </c>
      <c r="R1" s="20" t="s">
        <v>110</v>
      </c>
      <c r="S1" s="20" t="s">
        <v>111</v>
      </c>
      <c r="T1" s="20" t="s">
        <v>112</v>
      </c>
      <c r="U1" s="20" t="s">
        <v>113</v>
      </c>
    </row>
    <row r="2" spans="1:21" s="20" customFormat="1" x14ac:dyDescent="0.15">
      <c r="A2" s="1"/>
      <c r="B2" s="57">
        <v>42825</v>
      </c>
      <c r="C2" s="56">
        <v>42916</v>
      </c>
      <c r="D2" s="56">
        <v>43008</v>
      </c>
      <c r="E2" s="56">
        <v>43100</v>
      </c>
      <c r="F2" s="57">
        <v>43190</v>
      </c>
      <c r="G2" s="56">
        <v>43281</v>
      </c>
      <c r="H2" s="56">
        <v>43373</v>
      </c>
      <c r="I2" s="56">
        <v>43465</v>
      </c>
      <c r="J2" s="57">
        <v>43555</v>
      </c>
      <c r="K2" s="56">
        <v>43646</v>
      </c>
      <c r="L2" s="56">
        <v>43738</v>
      </c>
      <c r="M2" s="56">
        <v>43830</v>
      </c>
      <c r="N2" s="57">
        <v>43921</v>
      </c>
      <c r="O2" s="56">
        <v>44012</v>
      </c>
      <c r="P2" s="56">
        <v>44104</v>
      </c>
      <c r="Q2" s="56">
        <v>44196</v>
      </c>
    </row>
    <row r="3" spans="1:21" s="8" customFormat="1" x14ac:dyDescent="0.15">
      <c r="A3" s="8" t="s">
        <v>78</v>
      </c>
      <c r="B3" s="22">
        <v>24.401</v>
      </c>
      <c r="C3" s="23">
        <v>24.271000000000001</v>
      </c>
      <c r="D3" s="23">
        <v>26.190999999999999</v>
      </c>
      <c r="E3" s="23">
        <v>30.036999999999999</v>
      </c>
      <c r="F3" s="22">
        <v>32.497999999999998</v>
      </c>
      <c r="G3" s="23">
        <v>34.448</v>
      </c>
      <c r="H3" s="23">
        <v>36.82</v>
      </c>
      <c r="I3" s="23">
        <v>40.796999999999997</v>
      </c>
      <c r="J3" s="22">
        <v>45.555999999999997</v>
      </c>
      <c r="K3" s="23">
        <v>46.173000000000002</v>
      </c>
      <c r="L3" s="23">
        <v>49.796999999999997</v>
      </c>
      <c r="M3" s="23">
        <v>58.936</v>
      </c>
      <c r="N3" s="22">
        <v>62.923999999999999</v>
      </c>
      <c r="O3" s="23">
        <v>74.662999999999997</v>
      </c>
      <c r="P3" s="23">
        <v>70.638000000000005</v>
      </c>
      <c r="Q3" s="23">
        <v>82.649000000000001</v>
      </c>
    </row>
    <row r="4" spans="1:21" s="8" customFormat="1" x14ac:dyDescent="0.15">
      <c r="B4" s="22"/>
      <c r="C4" s="23"/>
      <c r="D4" s="23"/>
      <c r="E4" s="23"/>
      <c r="F4" s="22"/>
      <c r="G4" s="23"/>
      <c r="H4" s="23"/>
      <c r="I4" s="23"/>
      <c r="J4" s="22"/>
      <c r="K4" s="23"/>
      <c r="L4" s="23"/>
      <c r="M4" s="23"/>
      <c r="N4" s="22"/>
      <c r="O4" s="23"/>
      <c r="P4" s="23"/>
      <c r="Q4" s="23"/>
    </row>
    <row r="5" spans="1:21" s="67" customFormat="1" x14ac:dyDescent="0.15">
      <c r="A5" s="67" t="s">
        <v>81</v>
      </c>
      <c r="B5" s="69">
        <f t="shared" ref="B5:Q5" si="0">B50/1000000</f>
        <v>1.261E-3</v>
      </c>
      <c r="C5" s="68">
        <f t="shared" si="0"/>
        <v>1.284E-3</v>
      </c>
      <c r="D5" s="68">
        <f t="shared" si="0"/>
        <v>1.3649999999999999E-3</v>
      </c>
      <c r="E5" s="68">
        <f t="shared" si="0"/>
        <v>1.439E-3</v>
      </c>
      <c r="F5" s="69">
        <f t="shared" si="0"/>
        <v>1.444E-3</v>
      </c>
      <c r="G5" s="68">
        <f t="shared" si="0"/>
        <v>1.529E-3</v>
      </c>
      <c r="H5" s="68">
        <f t="shared" si="0"/>
        <v>1.516E-3</v>
      </c>
      <c r="I5" s="68">
        <f t="shared" si="0"/>
        <v>1.5820000000000001E-3</v>
      </c>
      <c r="J5" s="69">
        <f t="shared" si="0"/>
        <v>1.621E-3</v>
      </c>
      <c r="K5" s="68">
        <f t="shared" si="0"/>
        <v>1.627E-3</v>
      </c>
      <c r="L5" s="68">
        <f t="shared" si="0"/>
        <v>1.684E-3</v>
      </c>
      <c r="M5" s="68">
        <f t="shared" si="0"/>
        <v>1.743E-3</v>
      </c>
      <c r="N5" s="69">
        <f t="shared" si="0"/>
        <v>1.8370000000000001E-3</v>
      </c>
      <c r="O5" s="68">
        <f t="shared" si="0"/>
        <v>1.951E-3</v>
      </c>
      <c r="P5" s="68">
        <f t="shared" si="0"/>
        <v>2.0470000000000002E-3</v>
      </c>
      <c r="Q5" s="68">
        <f t="shared" si="0"/>
        <v>2.0839999999999999E-3</v>
      </c>
    </row>
    <row r="6" spans="1:21" s="8" customFormat="1" x14ac:dyDescent="0.15">
      <c r="A6" s="8" t="s">
        <v>79</v>
      </c>
      <c r="B6" s="27">
        <f t="shared" ref="B6:Q6" si="1">B3/B5</f>
        <v>19350.515463917527</v>
      </c>
      <c r="C6" s="26">
        <f t="shared" si="1"/>
        <v>18902.647975077882</v>
      </c>
      <c r="D6" s="26">
        <f t="shared" si="1"/>
        <v>19187.545787545787</v>
      </c>
      <c r="E6" s="26">
        <f t="shared" si="1"/>
        <v>20873.523280055593</v>
      </c>
      <c r="F6" s="27">
        <f t="shared" si="1"/>
        <v>22505.540166204984</v>
      </c>
      <c r="G6" s="26">
        <f t="shared" si="1"/>
        <v>22529.758011772399</v>
      </c>
      <c r="H6" s="26">
        <f t="shared" si="1"/>
        <v>24287.598944591031</v>
      </c>
      <c r="I6" s="26">
        <f t="shared" si="1"/>
        <v>25788.242730720605</v>
      </c>
      <c r="J6" s="27">
        <f t="shared" si="1"/>
        <v>28103.639728562612</v>
      </c>
      <c r="K6" s="26">
        <f t="shared" si="1"/>
        <v>28379.225568531041</v>
      </c>
      <c r="L6" s="26">
        <f t="shared" si="1"/>
        <v>29570.665083135391</v>
      </c>
      <c r="M6" s="26">
        <f t="shared" si="1"/>
        <v>33812.966150315551</v>
      </c>
      <c r="N6" s="27">
        <f t="shared" si="1"/>
        <v>34253.674469243328</v>
      </c>
      <c r="O6" s="26">
        <f t="shared" si="1"/>
        <v>38269.09277293695</v>
      </c>
      <c r="P6" s="26">
        <f t="shared" si="1"/>
        <v>34508.060576453347</v>
      </c>
      <c r="Q6" s="26">
        <f t="shared" si="1"/>
        <v>39658.829174664112</v>
      </c>
    </row>
    <row r="7" spans="1:21" s="23" customFormat="1" x14ac:dyDescent="0.15">
      <c r="B7" s="22"/>
      <c r="F7" s="22"/>
      <c r="J7" s="22"/>
      <c r="L7" s="23">
        <v>47</v>
      </c>
      <c r="M7" s="23">
        <v>53</v>
      </c>
      <c r="N7" s="22">
        <v>58</v>
      </c>
      <c r="O7" s="23">
        <v>70</v>
      </c>
      <c r="P7" s="23">
        <v>74</v>
      </c>
      <c r="Q7" s="23">
        <v>80</v>
      </c>
      <c r="R7" s="23">
        <v>83</v>
      </c>
    </row>
    <row r="8" spans="1:21" s="17" customFormat="1" x14ac:dyDescent="0.15">
      <c r="A8" s="17" t="s">
        <v>4</v>
      </c>
      <c r="B8" s="25">
        <f t="shared" ref="B8:Q8" si="2">B5*B6</f>
        <v>24.401</v>
      </c>
      <c r="C8" s="24">
        <f t="shared" si="2"/>
        <v>24.271000000000001</v>
      </c>
      <c r="D8" s="24">
        <f t="shared" si="2"/>
        <v>26.190999999999995</v>
      </c>
      <c r="E8" s="24">
        <f t="shared" si="2"/>
        <v>30.036999999999999</v>
      </c>
      <c r="F8" s="25">
        <f t="shared" si="2"/>
        <v>32.497999999999998</v>
      </c>
      <c r="G8" s="24">
        <f t="shared" si="2"/>
        <v>34.448</v>
      </c>
      <c r="H8" s="24">
        <f t="shared" si="2"/>
        <v>36.82</v>
      </c>
      <c r="I8" s="24">
        <f t="shared" si="2"/>
        <v>40.796999999999997</v>
      </c>
      <c r="J8" s="25">
        <f t="shared" si="2"/>
        <v>45.555999999999997</v>
      </c>
      <c r="K8" s="24">
        <f t="shared" si="2"/>
        <v>46.173000000000002</v>
      </c>
      <c r="L8" s="24">
        <f t="shared" si="2"/>
        <v>49.796999999999997</v>
      </c>
      <c r="M8" s="24">
        <f t="shared" si="2"/>
        <v>58.936000000000007</v>
      </c>
      <c r="N8" s="25">
        <f t="shared" si="2"/>
        <v>62.923999999999999</v>
      </c>
      <c r="O8" s="24">
        <f t="shared" si="2"/>
        <v>74.662999999999997</v>
      </c>
      <c r="P8" s="24">
        <f t="shared" si="2"/>
        <v>70.638000000000005</v>
      </c>
      <c r="Q8" s="24">
        <f t="shared" si="2"/>
        <v>82.649000000000001</v>
      </c>
      <c r="R8" s="17">
        <v>83</v>
      </c>
    </row>
    <row r="9" spans="1:21" s="8" customFormat="1" x14ac:dyDescent="0.15">
      <c r="A9" s="8" t="s">
        <v>5</v>
      </c>
      <c r="B9" s="22">
        <v>10.468999999999999</v>
      </c>
      <c r="C9" s="23">
        <v>10.914999999999999</v>
      </c>
      <c r="D9" s="23">
        <v>12.794</v>
      </c>
      <c r="E9" s="23">
        <v>14.494</v>
      </c>
      <c r="F9" s="22">
        <v>15.384</v>
      </c>
      <c r="G9" s="23">
        <v>15.695</v>
      </c>
      <c r="H9" s="23">
        <v>16.710999999999999</v>
      </c>
      <c r="I9" s="23">
        <v>17.709</v>
      </c>
      <c r="J9" s="22">
        <v>19.718</v>
      </c>
      <c r="K9" s="23">
        <v>20.783999999999999</v>
      </c>
      <c r="L9" s="50">
        <v>22.292000000000002</v>
      </c>
      <c r="M9" s="50">
        <v>25.527999999999999</v>
      </c>
      <c r="N9" s="22">
        <v>27.265000000000001</v>
      </c>
      <c r="O9" s="50">
        <v>29.696999999999999</v>
      </c>
      <c r="P9" s="50">
        <v>29.292000000000002</v>
      </c>
      <c r="Q9" s="50">
        <v>33.753</v>
      </c>
    </row>
    <row r="10" spans="1:21" s="8" customFormat="1" x14ac:dyDescent="0.15">
      <c r="A10" s="8" t="s">
        <v>6</v>
      </c>
      <c r="B10" s="27">
        <f t="shared" ref="B10:D10" si="3">B8-B9</f>
        <v>13.932</v>
      </c>
      <c r="C10" s="26">
        <f t="shared" si="3"/>
        <v>13.356000000000002</v>
      </c>
      <c r="D10" s="26">
        <f t="shared" si="3"/>
        <v>13.396999999999995</v>
      </c>
      <c r="E10" s="26">
        <f t="shared" ref="E10" si="4">E8-E9</f>
        <v>15.542999999999999</v>
      </c>
      <c r="F10" s="27">
        <f>F8-F9</f>
        <v>17.113999999999997</v>
      </c>
      <c r="G10" s="26">
        <f>G8-G9</f>
        <v>18.753</v>
      </c>
      <c r="H10" s="26">
        <f t="shared" ref="H10:J10" si="5">H8-H9</f>
        <v>20.109000000000002</v>
      </c>
      <c r="I10" s="26">
        <f t="shared" si="5"/>
        <v>23.087999999999997</v>
      </c>
      <c r="J10" s="27">
        <f t="shared" si="5"/>
        <v>25.837999999999997</v>
      </c>
      <c r="K10" s="26">
        <f t="shared" ref="K10:Q10" si="6">K8-K9</f>
        <v>25.389000000000003</v>
      </c>
      <c r="L10" s="26">
        <f t="shared" si="6"/>
        <v>27.504999999999995</v>
      </c>
      <c r="M10" s="26">
        <f t="shared" si="6"/>
        <v>33.408000000000008</v>
      </c>
      <c r="N10" s="27">
        <f t="shared" ref="N10" si="7">N8-N9</f>
        <v>35.658999999999999</v>
      </c>
      <c r="O10" s="26">
        <f t="shared" si="6"/>
        <v>44.965999999999994</v>
      </c>
      <c r="P10" s="26">
        <f t="shared" si="6"/>
        <v>41.346000000000004</v>
      </c>
      <c r="Q10" s="26">
        <f t="shared" si="6"/>
        <v>48.896000000000001</v>
      </c>
    </row>
    <row r="11" spans="1:21" s="8" customFormat="1" x14ac:dyDescent="0.15">
      <c r="A11" s="8" t="s">
        <v>7</v>
      </c>
      <c r="B11" s="22">
        <v>6</v>
      </c>
      <c r="C11" s="23">
        <v>7</v>
      </c>
      <c r="D11" s="23">
        <v>8</v>
      </c>
      <c r="E11" s="23">
        <v>8</v>
      </c>
      <c r="F11" s="22">
        <v>8</v>
      </c>
      <c r="G11" s="23">
        <v>8</v>
      </c>
      <c r="H11" s="23">
        <v>9</v>
      </c>
      <c r="I11" s="23">
        <v>9</v>
      </c>
      <c r="J11" s="22">
        <v>10</v>
      </c>
      <c r="K11" s="23">
        <v>11</v>
      </c>
      <c r="L11" s="50">
        <v>12</v>
      </c>
      <c r="M11" s="50">
        <v>13</v>
      </c>
      <c r="N11" s="22">
        <v>14</v>
      </c>
      <c r="O11" s="50">
        <v>17</v>
      </c>
      <c r="P11" s="50">
        <v>18</v>
      </c>
      <c r="Q11" s="50">
        <v>26</v>
      </c>
    </row>
    <row r="12" spans="1:21" s="8" customFormat="1" x14ac:dyDescent="0.15">
      <c r="A12" s="8" t="s">
        <v>8</v>
      </c>
      <c r="B12" s="22">
        <v>9</v>
      </c>
      <c r="C12" s="23">
        <v>10</v>
      </c>
      <c r="D12" s="23">
        <v>11</v>
      </c>
      <c r="E12" s="23">
        <v>11</v>
      </c>
      <c r="F12" s="22">
        <v>12</v>
      </c>
      <c r="G12" s="23">
        <v>12</v>
      </c>
      <c r="H12" s="23">
        <v>12</v>
      </c>
      <c r="I12" s="23">
        <v>13</v>
      </c>
      <c r="J12" s="22">
        <v>15</v>
      </c>
      <c r="K12" s="23">
        <v>17</v>
      </c>
      <c r="L12" s="50">
        <v>18</v>
      </c>
      <c r="M12" s="50">
        <v>22</v>
      </c>
      <c r="N12" s="22">
        <v>19</v>
      </c>
      <c r="O12" s="50">
        <v>25</v>
      </c>
      <c r="P12" s="50">
        <v>23</v>
      </c>
      <c r="Q12" s="50">
        <v>35</v>
      </c>
    </row>
    <row r="13" spans="1:21" s="8" customFormat="1" x14ac:dyDescent="0.15">
      <c r="A13" s="8" t="s">
        <v>9</v>
      </c>
      <c r="B13" s="22">
        <v>3</v>
      </c>
      <c r="C13" s="23">
        <v>4</v>
      </c>
      <c r="D13" s="23">
        <v>5</v>
      </c>
      <c r="E13" s="23">
        <v>5</v>
      </c>
      <c r="F13" s="22">
        <v>6</v>
      </c>
      <c r="G13" s="23">
        <v>4</v>
      </c>
      <c r="H13" s="23">
        <v>6</v>
      </c>
      <c r="I13" s="23">
        <v>7</v>
      </c>
      <c r="J13" s="22">
        <v>9</v>
      </c>
      <c r="K13" s="23">
        <v>9</v>
      </c>
      <c r="L13" s="50">
        <v>11</v>
      </c>
      <c r="M13" s="50">
        <v>13</v>
      </c>
      <c r="N13" s="22">
        <v>14</v>
      </c>
      <c r="O13" s="50">
        <v>18</v>
      </c>
      <c r="P13" s="50">
        <v>24</v>
      </c>
      <c r="Q13" s="50">
        <v>46</v>
      </c>
    </row>
    <row r="14" spans="1:21" s="8" customFormat="1" x14ac:dyDescent="0.15">
      <c r="A14" s="8" t="s">
        <v>10</v>
      </c>
      <c r="B14" s="27">
        <f t="shared" ref="B14:D14" si="8">SUM(B11:B13)</f>
        <v>18</v>
      </c>
      <c r="C14" s="26">
        <f t="shared" si="8"/>
        <v>21</v>
      </c>
      <c r="D14" s="26">
        <f t="shared" si="8"/>
        <v>24</v>
      </c>
      <c r="E14" s="26">
        <f t="shared" ref="E14:F14" si="9">SUM(E11:E13)</f>
        <v>24</v>
      </c>
      <c r="F14" s="27">
        <f t="shared" si="9"/>
        <v>26</v>
      </c>
      <c r="G14" s="26">
        <f t="shared" ref="G14:H14" si="10">SUM(G11:G13)</f>
        <v>24</v>
      </c>
      <c r="H14" s="26">
        <f t="shared" si="10"/>
        <v>27</v>
      </c>
      <c r="I14" s="26">
        <f t="shared" ref="I14:K14" si="11">SUM(I11:I13)</f>
        <v>29</v>
      </c>
      <c r="J14" s="27">
        <f t="shared" si="11"/>
        <v>34</v>
      </c>
      <c r="K14" s="26">
        <f t="shared" si="11"/>
        <v>37</v>
      </c>
      <c r="L14" s="26">
        <f t="shared" ref="L14:M14" si="12">SUM(L11:L13)</f>
        <v>41</v>
      </c>
      <c r="M14" s="26">
        <f t="shared" si="12"/>
        <v>48</v>
      </c>
      <c r="N14" s="27">
        <f t="shared" ref="N14:P14" si="13">SUM(N11:N13)</f>
        <v>47</v>
      </c>
      <c r="O14" s="26">
        <f t="shared" si="13"/>
        <v>60</v>
      </c>
      <c r="P14" s="26">
        <f t="shared" si="13"/>
        <v>65</v>
      </c>
      <c r="Q14" s="26">
        <f t="shared" ref="Q14" si="14">SUM(Q11:Q13)</f>
        <v>107</v>
      </c>
    </row>
    <row r="15" spans="1:21" s="8" customFormat="1" x14ac:dyDescent="0.15">
      <c r="A15" s="8" t="s">
        <v>11</v>
      </c>
      <c r="B15" s="27">
        <f t="shared" ref="B15:H15" si="15">B10-B14</f>
        <v>-4.0679999999999996</v>
      </c>
      <c r="C15" s="26">
        <f t="shared" si="15"/>
        <v>-7.6439999999999984</v>
      </c>
      <c r="D15" s="26">
        <f t="shared" si="15"/>
        <v>-10.603000000000005</v>
      </c>
      <c r="E15" s="26">
        <f t="shared" si="15"/>
        <v>-8.4570000000000007</v>
      </c>
      <c r="F15" s="27">
        <f t="shared" si="15"/>
        <v>-8.8860000000000028</v>
      </c>
      <c r="G15" s="26">
        <f t="shared" si="15"/>
        <v>-5.2469999999999999</v>
      </c>
      <c r="H15" s="26">
        <f t="shared" si="15"/>
        <v>-6.8909999999999982</v>
      </c>
      <c r="I15" s="26">
        <f t="shared" ref="I15:K15" si="16">I10-I14</f>
        <v>-5.9120000000000026</v>
      </c>
      <c r="J15" s="27">
        <f t="shared" si="16"/>
        <v>-8.1620000000000026</v>
      </c>
      <c r="K15" s="26">
        <f t="shared" si="16"/>
        <v>-11.610999999999997</v>
      </c>
      <c r="L15" s="26">
        <f t="shared" ref="L15:M15" si="17">L10-L14</f>
        <v>-13.495000000000005</v>
      </c>
      <c r="M15" s="26">
        <f t="shared" si="17"/>
        <v>-14.591999999999992</v>
      </c>
      <c r="N15" s="27">
        <f t="shared" ref="N15:P15" si="18">N10-N14</f>
        <v>-11.341000000000001</v>
      </c>
      <c r="O15" s="26">
        <f t="shared" si="18"/>
        <v>-15.034000000000006</v>
      </c>
      <c r="P15" s="26">
        <f t="shared" si="18"/>
        <v>-23.653999999999996</v>
      </c>
      <c r="Q15" s="26">
        <f t="shared" ref="Q15" si="19">Q10-Q14</f>
        <v>-58.103999999999999</v>
      </c>
    </row>
    <row r="16" spans="1:21" s="8" customFormat="1" x14ac:dyDescent="0.15">
      <c r="A16" s="8" t="s">
        <v>12</v>
      </c>
      <c r="B16" s="22">
        <f t="shared" ref="B16:G16" si="20">0-0-0</f>
        <v>0</v>
      </c>
      <c r="C16" s="23">
        <f t="shared" si="20"/>
        <v>0</v>
      </c>
      <c r="D16" s="23">
        <f t="shared" si="20"/>
        <v>0</v>
      </c>
      <c r="E16" s="23">
        <f t="shared" si="20"/>
        <v>0</v>
      </c>
      <c r="F16" s="22">
        <f t="shared" si="20"/>
        <v>0</v>
      </c>
      <c r="G16" s="23">
        <f t="shared" si="20"/>
        <v>0</v>
      </c>
      <c r="H16" s="23">
        <f>0-0-1</f>
        <v>-1</v>
      </c>
      <c r="I16" s="23">
        <f>0-1+0</f>
        <v>-1</v>
      </c>
      <c r="J16" s="22">
        <f>0-1-1</f>
        <v>-2</v>
      </c>
      <c r="K16" s="23">
        <f>1-3-2</f>
        <v>-4</v>
      </c>
      <c r="L16" s="50">
        <f>1-1+0</f>
        <v>0</v>
      </c>
      <c r="M16" s="50">
        <f>1-0-0</f>
        <v>1</v>
      </c>
      <c r="N16" s="22">
        <f>1-0+0</f>
        <v>1</v>
      </c>
      <c r="O16" s="50">
        <f>0-0-0</f>
        <v>0</v>
      </c>
      <c r="P16" s="50">
        <f>0-0+0</f>
        <v>0</v>
      </c>
      <c r="Q16" s="50">
        <f>0-0-1</f>
        <v>-1</v>
      </c>
    </row>
    <row r="17" spans="1:18" s="8" customFormat="1" x14ac:dyDescent="0.15">
      <c r="A17" s="8" t="s">
        <v>13</v>
      </c>
      <c r="B17" s="27">
        <f t="shared" ref="B17:C17" si="21">B15+B16</f>
        <v>-4.0679999999999996</v>
      </c>
      <c r="C17" s="26">
        <f t="shared" si="21"/>
        <v>-7.6439999999999984</v>
      </c>
      <c r="D17" s="26">
        <f t="shared" ref="D17:F17" si="22">D15+D16</f>
        <v>-10.603000000000005</v>
      </c>
      <c r="E17" s="26">
        <f>E15+E16</f>
        <v>-8.4570000000000007</v>
      </c>
      <c r="F17" s="27">
        <f t="shared" si="22"/>
        <v>-8.8860000000000028</v>
      </c>
      <c r="G17" s="26">
        <f t="shared" ref="G17" si="23">G15+G16</f>
        <v>-5.2469999999999999</v>
      </c>
      <c r="H17" s="26">
        <f t="shared" ref="H17:L17" si="24">H15+H16</f>
        <v>-7.8909999999999982</v>
      </c>
      <c r="I17" s="26">
        <f t="shared" si="24"/>
        <v>-6.9120000000000026</v>
      </c>
      <c r="J17" s="27">
        <f t="shared" si="24"/>
        <v>-10.162000000000003</v>
      </c>
      <c r="K17" s="26">
        <f t="shared" si="24"/>
        <v>-15.610999999999997</v>
      </c>
      <c r="L17" s="26">
        <f t="shared" si="24"/>
        <v>-13.495000000000005</v>
      </c>
      <c r="M17" s="26">
        <f t="shared" ref="M17" si="25">M15+M16</f>
        <v>-13.591999999999992</v>
      </c>
      <c r="N17" s="27">
        <f t="shared" ref="N17:Q17" si="26">N15+N16</f>
        <v>-10.341000000000001</v>
      </c>
      <c r="O17" s="26">
        <f t="shared" si="26"/>
        <v>-15.034000000000006</v>
      </c>
      <c r="P17" s="26">
        <f t="shared" si="26"/>
        <v>-23.653999999999996</v>
      </c>
      <c r="Q17" s="26">
        <f t="shared" si="26"/>
        <v>-59.103999999999999</v>
      </c>
    </row>
    <row r="18" spans="1:18" s="8" customFormat="1" x14ac:dyDescent="0.15">
      <c r="A18" s="8" t="s">
        <v>14</v>
      </c>
      <c r="B18" s="22">
        <v>0</v>
      </c>
      <c r="C18" s="23">
        <v>0</v>
      </c>
      <c r="D18" s="23">
        <v>0</v>
      </c>
      <c r="E18" s="23">
        <v>0</v>
      </c>
      <c r="F18" s="22">
        <v>0</v>
      </c>
      <c r="G18" s="23">
        <v>0</v>
      </c>
      <c r="H18" s="23">
        <v>0</v>
      </c>
      <c r="I18" s="23">
        <v>0</v>
      </c>
      <c r="J18" s="22">
        <v>0</v>
      </c>
      <c r="K18" s="23">
        <v>0</v>
      </c>
      <c r="L18" s="23">
        <v>0</v>
      </c>
      <c r="M18" s="23">
        <v>0</v>
      </c>
      <c r="N18" s="22">
        <v>1</v>
      </c>
      <c r="O18" s="23">
        <v>0</v>
      </c>
      <c r="P18" s="23">
        <v>0</v>
      </c>
      <c r="Q18" s="23">
        <v>-13</v>
      </c>
    </row>
    <row r="19" spans="1:18" s="17" customFormat="1" x14ac:dyDescent="0.15">
      <c r="A19" s="17" t="s">
        <v>15</v>
      </c>
      <c r="B19" s="25">
        <f t="shared" ref="B19:Q19" si="27">B17-B18</f>
        <v>-4.0679999999999996</v>
      </c>
      <c r="C19" s="24">
        <f t="shared" si="27"/>
        <v>-7.6439999999999984</v>
      </c>
      <c r="D19" s="24">
        <f t="shared" si="27"/>
        <v>-10.603000000000005</v>
      </c>
      <c r="E19" s="24">
        <f t="shared" si="27"/>
        <v>-8.4570000000000007</v>
      </c>
      <c r="F19" s="25">
        <f t="shared" si="27"/>
        <v>-8.8860000000000028</v>
      </c>
      <c r="G19" s="24">
        <f t="shared" si="27"/>
        <v>-5.2469999999999999</v>
      </c>
      <c r="H19" s="24">
        <f t="shared" si="27"/>
        <v>-7.8909999999999982</v>
      </c>
      <c r="I19" s="24">
        <f t="shared" si="27"/>
        <v>-6.9120000000000026</v>
      </c>
      <c r="J19" s="25">
        <f t="shared" si="27"/>
        <v>-10.162000000000003</v>
      </c>
      <c r="K19" s="24">
        <f t="shared" si="27"/>
        <v>-15.610999999999997</v>
      </c>
      <c r="L19" s="24">
        <f t="shared" si="27"/>
        <v>-13.495000000000005</v>
      </c>
      <c r="M19" s="24">
        <f t="shared" si="27"/>
        <v>-13.591999999999992</v>
      </c>
      <c r="N19" s="25">
        <f t="shared" si="27"/>
        <v>-11.341000000000001</v>
      </c>
      <c r="O19" s="24">
        <f t="shared" si="27"/>
        <v>-15.034000000000006</v>
      </c>
      <c r="P19" s="24">
        <f t="shared" si="27"/>
        <v>-23.653999999999996</v>
      </c>
      <c r="Q19" s="24">
        <f t="shared" si="27"/>
        <v>-46.103999999999999</v>
      </c>
    </row>
    <row r="20" spans="1:18" s="4" customFormat="1" x14ac:dyDescent="0.15">
      <c r="A20" s="4" t="s">
        <v>16</v>
      </c>
      <c r="B20" s="59">
        <f t="shared" ref="B20:D20" si="28">IFERROR(B19/B21,0)</f>
        <v>0</v>
      </c>
      <c r="C20" s="58">
        <f t="shared" si="28"/>
        <v>0</v>
      </c>
      <c r="D20" s="58">
        <f t="shared" si="28"/>
        <v>0</v>
      </c>
      <c r="E20" s="58">
        <f t="shared" ref="E20" si="29">IFERROR(E19/E21,0)</f>
        <v>0</v>
      </c>
      <c r="F20" s="59">
        <f t="shared" ref="F20:K20" si="30">IFERROR(F19/F21,0)</f>
        <v>0</v>
      </c>
      <c r="G20" s="58">
        <f t="shared" si="30"/>
        <v>-0.21747419903013221</v>
      </c>
      <c r="H20" s="58">
        <f t="shared" si="30"/>
        <v>-0.32170084389905818</v>
      </c>
      <c r="I20" s="58">
        <f t="shared" si="30"/>
        <v>-0.27888960619754694</v>
      </c>
      <c r="J20" s="59">
        <f t="shared" si="30"/>
        <v>-0.40181890075128524</v>
      </c>
      <c r="K20" s="58">
        <f t="shared" si="30"/>
        <v>-0.26113648149077462</v>
      </c>
      <c r="L20" s="58">
        <f t="shared" ref="L20:M20" si="31">IFERROR(L19/L21,0)</f>
        <v>-0.14473401973401978</v>
      </c>
      <c r="M20" s="58">
        <f t="shared" si="31"/>
        <v>-0.14452655643574874</v>
      </c>
      <c r="N20" s="59">
        <f t="shared" ref="N20:P20" si="32">IFERROR(N19/N21,0)</f>
        <v>-0.11887716061676504</v>
      </c>
      <c r="O20" s="58">
        <f t="shared" si="32"/>
        <v>-0.15058847097711231</v>
      </c>
      <c r="P20" s="58">
        <f t="shared" si="32"/>
        <v>-0.22327311170262973</v>
      </c>
      <c r="Q20" s="58">
        <f t="shared" ref="Q20" si="33">IFERROR(Q19/Q21,0)</f>
        <v>-0.40835414784503371</v>
      </c>
    </row>
    <row r="21" spans="1:18" s="8" customFormat="1" x14ac:dyDescent="0.15">
      <c r="A21" s="8" t="s">
        <v>17</v>
      </c>
      <c r="B21" s="22"/>
      <c r="C21" s="23"/>
      <c r="D21" s="23"/>
      <c r="E21" s="23"/>
      <c r="F21" s="22"/>
      <c r="G21" s="23">
        <v>24.126999999999999</v>
      </c>
      <c r="H21" s="23">
        <v>24.529</v>
      </c>
      <c r="I21" s="23">
        <v>24.783999999999999</v>
      </c>
      <c r="J21" s="22">
        <v>25.29</v>
      </c>
      <c r="K21" s="23">
        <v>59.780999999999999</v>
      </c>
      <c r="L21" s="50">
        <v>93.24</v>
      </c>
      <c r="M21" s="50">
        <v>94.045000000000002</v>
      </c>
      <c r="N21" s="22">
        <v>95.400999999999996</v>
      </c>
      <c r="O21" s="50">
        <v>99.834999999999994</v>
      </c>
      <c r="P21" s="50">
        <v>105.94199999999999</v>
      </c>
      <c r="Q21" s="50">
        <v>112.902</v>
      </c>
    </row>
    <row r="22" spans="1:18" s="41" customFormat="1" x14ac:dyDescent="0.15">
      <c r="B22" s="40"/>
      <c r="C22" s="39"/>
      <c r="D22" s="39"/>
      <c r="E22" s="39"/>
      <c r="F22" s="55"/>
      <c r="I22" s="39"/>
      <c r="J22" s="55"/>
      <c r="N22" s="55"/>
    </row>
    <row r="23" spans="1:18" x14ac:dyDescent="0.15">
      <c r="A23" s="6" t="s">
        <v>19</v>
      </c>
      <c r="B23" s="34">
        <f t="shared" ref="B23:P23" si="34">IFERROR(B10/B8,0)</f>
        <v>0.570960206548912</v>
      </c>
      <c r="C23" s="33">
        <f t="shared" si="34"/>
        <v>0.55028634996497883</v>
      </c>
      <c r="D23" s="33">
        <f t="shared" si="34"/>
        <v>0.51151158795005902</v>
      </c>
      <c r="E23" s="33">
        <f t="shared" si="34"/>
        <v>0.51746179711688911</v>
      </c>
      <c r="F23" s="34">
        <f t="shared" si="34"/>
        <v>0.52661702258600529</v>
      </c>
      <c r="G23" s="33">
        <f t="shared" si="34"/>
        <v>0.54438574082675339</v>
      </c>
      <c r="H23" s="33">
        <f t="shared" si="34"/>
        <v>0.54614340032590991</v>
      </c>
      <c r="I23" s="33">
        <f t="shared" si="34"/>
        <v>0.56592396499742625</v>
      </c>
      <c r="J23" s="34">
        <f t="shared" si="34"/>
        <v>0.56717007638949857</v>
      </c>
      <c r="K23" s="33">
        <f t="shared" si="34"/>
        <v>0.54986680527581056</v>
      </c>
      <c r="L23" s="33">
        <f t="shared" si="34"/>
        <v>0.55234251059300754</v>
      </c>
      <c r="M23" s="33">
        <f t="shared" si="34"/>
        <v>0.56685217863445103</v>
      </c>
      <c r="N23" s="34">
        <f t="shared" si="34"/>
        <v>0.56669951052062806</v>
      </c>
      <c r="O23" s="33">
        <f t="shared" si="34"/>
        <v>0.60225278919946956</v>
      </c>
      <c r="P23" s="33">
        <f t="shared" si="34"/>
        <v>0.58532234774483993</v>
      </c>
      <c r="Q23" s="33">
        <f t="shared" ref="Q23" si="35">IFERROR(Q10/Q8,0)</f>
        <v>0.59161030381492818</v>
      </c>
    </row>
    <row r="24" spans="1:18" x14ac:dyDescent="0.15">
      <c r="A24" s="6" t="s">
        <v>20</v>
      </c>
      <c r="B24" s="36">
        <f t="shared" ref="B24:P24" si="36">IFERROR(B15/B8,0)</f>
        <v>-0.16671447891479857</v>
      </c>
      <c r="C24" s="35">
        <f t="shared" si="36"/>
        <v>-0.31494376004284941</v>
      </c>
      <c r="D24" s="35">
        <f t="shared" si="36"/>
        <v>-0.40483372150738828</v>
      </c>
      <c r="E24" s="35">
        <f t="shared" si="36"/>
        <v>-0.28155275160635218</v>
      </c>
      <c r="F24" s="36">
        <f t="shared" si="36"/>
        <v>-0.27343221121299782</v>
      </c>
      <c r="G24" s="35">
        <f t="shared" si="36"/>
        <v>-0.15231653506734788</v>
      </c>
      <c r="H24" s="35">
        <f t="shared" si="36"/>
        <v>-0.18715372080391088</v>
      </c>
      <c r="I24" s="35">
        <f t="shared" si="36"/>
        <v>-0.14491261612373466</v>
      </c>
      <c r="J24" s="36">
        <f t="shared" si="36"/>
        <v>-0.17916410571604185</v>
      </c>
      <c r="K24" s="35">
        <f t="shared" si="36"/>
        <v>-0.25146730773395698</v>
      </c>
      <c r="L24" s="35">
        <f t="shared" si="36"/>
        <v>-0.27100026105990332</v>
      </c>
      <c r="M24" s="35">
        <f t="shared" si="36"/>
        <v>-0.24759060675987496</v>
      </c>
      <c r="N24" s="36">
        <f t="shared" si="36"/>
        <v>-0.1802332973110419</v>
      </c>
      <c r="O24" s="35">
        <f t="shared" si="36"/>
        <v>-0.2013581024068147</v>
      </c>
      <c r="P24" s="35">
        <f t="shared" si="36"/>
        <v>-0.33486225544324577</v>
      </c>
      <c r="Q24" s="35">
        <f t="shared" ref="Q24" si="37">IFERROR(Q15/Q8,0)</f>
        <v>-0.70302121017798158</v>
      </c>
    </row>
    <row r="25" spans="1:18" x14ac:dyDescent="0.15">
      <c r="A25" s="6" t="s">
        <v>21</v>
      </c>
      <c r="B25" s="36">
        <f t="shared" ref="B25:P25" si="38">IFERROR(B18/B17,0)</f>
        <v>0</v>
      </c>
      <c r="C25" s="35">
        <f t="shared" si="38"/>
        <v>0</v>
      </c>
      <c r="D25" s="35">
        <f t="shared" si="38"/>
        <v>0</v>
      </c>
      <c r="E25" s="35">
        <f t="shared" si="38"/>
        <v>0</v>
      </c>
      <c r="F25" s="36">
        <f t="shared" si="38"/>
        <v>0</v>
      </c>
      <c r="G25" s="35">
        <f t="shared" si="38"/>
        <v>0</v>
      </c>
      <c r="H25" s="35">
        <f t="shared" si="38"/>
        <v>0</v>
      </c>
      <c r="I25" s="35">
        <f t="shared" si="38"/>
        <v>0</v>
      </c>
      <c r="J25" s="36">
        <f t="shared" si="38"/>
        <v>0</v>
      </c>
      <c r="K25" s="35">
        <f t="shared" si="38"/>
        <v>0</v>
      </c>
      <c r="L25" s="35">
        <f t="shared" si="38"/>
        <v>0</v>
      </c>
      <c r="M25" s="35">
        <f t="shared" si="38"/>
        <v>0</v>
      </c>
      <c r="N25" s="36">
        <f t="shared" si="38"/>
        <v>-9.6702446571898262E-2</v>
      </c>
      <c r="O25" s="35">
        <f t="shared" si="38"/>
        <v>0</v>
      </c>
      <c r="P25" s="35">
        <f t="shared" si="38"/>
        <v>0</v>
      </c>
      <c r="Q25" s="35">
        <f t="shared" ref="Q25" si="39">IFERROR(Q18/Q17,0)</f>
        <v>0.2199512723335138</v>
      </c>
    </row>
    <row r="26" spans="1:18" s="41" customFormat="1" x14ac:dyDescent="0.15">
      <c r="B26" s="40"/>
      <c r="C26" s="39"/>
      <c r="D26" s="39"/>
      <c r="E26" s="39"/>
      <c r="F26" s="55"/>
      <c r="I26" s="39"/>
      <c r="J26" s="55"/>
      <c r="N26" s="55"/>
    </row>
    <row r="27" spans="1:18" s="12" customFormat="1" x14ac:dyDescent="0.15">
      <c r="A27" s="12" t="s">
        <v>18</v>
      </c>
      <c r="B27" s="30"/>
      <c r="C27" s="29"/>
      <c r="D27" s="29"/>
      <c r="E27" s="29"/>
      <c r="F27" s="30">
        <f t="shared" ref="F27:R27" si="40">IFERROR((F8/B8)-1,0)</f>
        <v>0.33183066267775896</v>
      </c>
      <c r="G27" s="29">
        <f t="shared" si="40"/>
        <v>0.41930699188331744</v>
      </c>
      <c r="H27" s="29">
        <f t="shared" si="40"/>
        <v>0.40582642892596721</v>
      </c>
      <c r="I27" s="29">
        <f t="shared" si="40"/>
        <v>0.3582248560109198</v>
      </c>
      <c r="J27" s="30">
        <f t="shared" si="40"/>
        <v>0.40180934211336083</v>
      </c>
      <c r="K27" s="29">
        <f t="shared" si="40"/>
        <v>0.34036809103576404</v>
      </c>
      <c r="L27" s="29">
        <f t="shared" si="40"/>
        <v>0.35244432373709933</v>
      </c>
      <c r="M27" s="29">
        <f t="shared" si="40"/>
        <v>0.44461602568816372</v>
      </c>
      <c r="N27" s="30">
        <f t="shared" si="40"/>
        <v>0.38124506102379496</v>
      </c>
      <c r="O27" s="29">
        <f t="shared" si="40"/>
        <v>0.61702726701752098</v>
      </c>
      <c r="P27" s="29">
        <f t="shared" si="40"/>
        <v>0.418519187902886</v>
      </c>
      <c r="Q27" s="29">
        <f t="shared" si="40"/>
        <v>0.4023517035428259</v>
      </c>
      <c r="R27" s="29">
        <f t="shared" si="40"/>
        <v>0.31905155425592779</v>
      </c>
    </row>
    <row r="28" spans="1:18" s="12" customFormat="1" x14ac:dyDescent="0.15">
      <c r="A28" s="6" t="s">
        <v>34</v>
      </c>
      <c r="B28" s="32"/>
      <c r="C28" s="31"/>
      <c r="D28" s="31"/>
      <c r="E28" s="31"/>
      <c r="F28" s="32">
        <f t="shared" ref="F28:Q31" si="41">F11/B11-1</f>
        <v>0.33333333333333326</v>
      </c>
      <c r="G28" s="31">
        <f t="shared" si="41"/>
        <v>0.14285714285714279</v>
      </c>
      <c r="H28" s="31">
        <f t="shared" si="41"/>
        <v>0.125</v>
      </c>
      <c r="I28" s="31">
        <f t="shared" si="41"/>
        <v>0.125</v>
      </c>
      <c r="J28" s="32">
        <f t="shared" si="41"/>
        <v>0.25</v>
      </c>
      <c r="K28" s="31">
        <f t="shared" si="41"/>
        <v>0.375</v>
      </c>
      <c r="L28" s="31">
        <f t="shared" si="41"/>
        <v>0.33333333333333326</v>
      </c>
      <c r="M28" s="31">
        <f t="shared" si="41"/>
        <v>0.44444444444444442</v>
      </c>
      <c r="N28" s="32">
        <f t="shared" si="41"/>
        <v>0.39999999999999991</v>
      </c>
      <c r="O28" s="31">
        <f t="shared" si="41"/>
        <v>0.54545454545454541</v>
      </c>
      <c r="P28" s="31">
        <f t="shared" si="41"/>
        <v>0.5</v>
      </c>
      <c r="Q28" s="31">
        <f t="shared" si="41"/>
        <v>1</v>
      </c>
    </row>
    <row r="29" spans="1:18" s="12" customFormat="1" x14ac:dyDescent="0.15">
      <c r="A29" s="6" t="s">
        <v>35</v>
      </c>
      <c r="B29" s="32"/>
      <c r="C29" s="31"/>
      <c r="D29" s="31"/>
      <c r="E29" s="31"/>
      <c r="F29" s="32">
        <f t="shared" si="41"/>
        <v>0.33333333333333326</v>
      </c>
      <c r="G29" s="31">
        <f t="shared" si="41"/>
        <v>0.19999999999999996</v>
      </c>
      <c r="H29" s="31">
        <f t="shared" si="41"/>
        <v>9.0909090909090828E-2</v>
      </c>
      <c r="I29" s="31">
        <f t="shared" si="41"/>
        <v>0.18181818181818188</v>
      </c>
      <c r="J29" s="32">
        <f t="shared" si="41"/>
        <v>0.25</v>
      </c>
      <c r="K29" s="31">
        <f t="shared" si="41"/>
        <v>0.41666666666666674</v>
      </c>
      <c r="L29" s="31">
        <f t="shared" si="41"/>
        <v>0.5</v>
      </c>
      <c r="M29" s="31">
        <f t="shared" si="41"/>
        <v>0.69230769230769229</v>
      </c>
      <c r="N29" s="32">
        <f t="shared" si="41"/>
        <v>0.26666666666666661</v>
      </c>
      <c r="O29" s="31">
        <f t="shared" si="41"/>
        <v>0.47058823529411775</v>
      </c>
      <c r="P29" s="31">
        <f t="shared" si="41"/>
        <v>0.27777777777777768</v>
      </c>
      <c r="Q29" s="31">
        <f t="shared" si="41"/>
        <v>0.59090909090909083</v>
      </c>
    </row>
    <row r="30" spans="1:18" s="12" customFormat="1" x14ac:dyDescent="0.15">
      <c r="A30" s="6" t="s">
        <v>36</v>
      </c>
      <c r="B30" s="32"/>
      <c r="C30" s="31"/>
      <c r="D30" s="31"/>
      <c r="E30" s="31"/>
      <c r="F30" s="32">
        <f t="shared" si="41"/>
        <v>1</v>
      </c>
      <c r="G30" s="31">
        <f t="shared" si="41"/>
        <v>0</v>
      </c>
      <c r="H30" s="31">
        <f t="shared" si="41"/>
        <v>0.19999999999999996</v>
      </c>
      <c r="I30" s="31">
        <f t="shared" si="41"/>
        <v>0.39999999999999991</v>
      </c>
      <c r="J30" s="32">
        <f t="shared" si="41"/>
        <v>0.5</v>
      </c>
      <c r="K30" s="31">
        <f t="shared" si="41"/>
        <v>1.25</v>
      </c>
      <c r="L30" s="31">
        <f t="shared" si="41"/>
        <v>0.83333333333333326</v>
      </c>
      <c r="M30" s="31">
        <f t="shared" si="41"/>
        <v>0.85714285714285721</v>
      </c>
      <c r="N30" s="32">
        <f t="shared" si="41"/>
        <v>0.55555555555555558</v>
      </c>
      <c r="O30" s="31">
        <f t="shared" si="41"/>
        <v>1</v>
      </c>
      <c r="P30" s="31">
        <f t="shared" si="41"/>
        <v>1.1818181818181817</v>
      </c>
      <c r="Q30" s="31">
        <f t="shared" si="41"/>
        <v>2.5384615384615383</v>
      </c>
    </row>
    <row r="31" spans="1:18" x14ac:dyDescent="0.15">
      <c r="A31" s="6" t="s">
        <v>60</v>
      </c>
      <c r="B31" s="34"/>
      <c r="C31" s="33"/>
      <c r="D31" s="33"/>
      <c r="E31" s="33"/>
      <c r="F31" s="34">
        <f t="shared" si="41"/>
        <v>0.44444444444444442</v>
      </c>
      <c r="G31" s="33">
        <f t="shared" si="41"/>
        <v>0.14285714285714279</v>
      </c>
      <c r="H31" s="33">
        <f t="shared" si="41"/>
        <v>0.125</v>
      </c>
      <c r="I31" s="33">
        <f t="shared" si="41"/>
        <v>0.20833333333333326</v>
      </c>
      <c r="J31" s="34">
        <f t="shared" si="41"/>
        <v>0.30769230769230771</v>
      </c>
      <c r="K31" s="33">
        <f t="shared" si="41"/>
        <v>0.54166666666666674</v>
      </c>
      <c r="L31" s="33">
        <f t="shared" si="41"/>
        <v>0.5185185185185186</v>
      </c>
      <c r="M31" s="33">
        <f t="shared" si="41"/>
        <v>0.65517241379310343</v>
      </c>
      <c r="N31" s="34">
        <f t="shared" si="41"/>
        <v>0.38235294117647056</v>
      </c>
      <c r="O31" s="33">
        <f t="shared" si="41"/>
        <v>0.62162162162162171</v>
      </c>
      <c r="P31" s="33">
        <f t="shared" si="41"/>
        <v>0.58536585365853666</v>
      </c>
      <c r="Q31" s="33">
        <f t="shared" si="41"/>
        <v>1.2291666666666665</v>
      </c>
    </row>
    <row r="32" spans="1:18" x14ac:dyDescent="0.15">
      <c r="B32" s="45"/>
      <c r="C32" s="44"/>
      <c r="D32" s="44"/>
      <c r="E32" s="44"/>
      <c r="F32" s="45"/>
      <c r="G32" s="44"/>
      <c r="H32" s="44"/>
      <c r="I32" s="44"/>
      <c r="K32" s="44"/>
    </row>
    <row r="33" spans="1:17" s="17" customFormat="1" x14ac:dyDescent="0.15">
      <c r="A33" s="17" t="s">
        <v>22</v>
      </c>
      <c r="B33" s="22"/>
      <c r="C33" s="23"/>
      <c r="D33" s="23"/>
      <c r="E33" s="24">
        <f t="shared" ref="E33" si="42">E34-E35</f>
        <v>24</v>
      </c>
      <c r="F33" s="22"/>
      <c r="G33" s="39"/>
      <c r="H33" s="23"/>
      <c r="I33" s="24">
        <f t="shared" ref="I33" si="43">I34-I35</f>
        <v>31</v>
      </c>
      <c r="J33" s="22"/>
      <c r="K33" s="39"/>
      <c r="L33" s="23"/>
      <c r="M33" s="24">
        <f t="shared" ref="M33" si="44">M34-M35</f>
        <v>102</v>
      </c>
      <c r="N33" s="25">
        <f t="shared" ref="N33:Q33" si="45">N34-N35</f>
        <v>86</v>
      </c>
      <c r="O33" s="24">
        <f t="shared" si="45"/>
        <v>354</v>
      </c>
      <c r="P33" s="24">
        <f t="shared" si="45"/>
        <v>370</v>
      </c>
      <c r="Q33" s="24">
        <f t="shared" si="45"/>
        <v>183</v>
      </c>
    </row>
    <row r="34" spans="1:17" s="8" customFormat="1" x14ac:dyDescent="0.15">
      <c r="A34" s="8" t="s">
        <v>23</v>
      </c>
      <c r="B34" s="22"/>
      <c r="C34" s="23"/>
      <c r="D34" s="23"/>
      <c r="E34" s="23">
        <f>31+19</f>
        <v>50</v>
      </c>
      <c r="F34" s="22"/>
      <c r="G34" s="23"/>
      <c r="H34" s="23"/>
      <c r="I34" s="23">
        <f>37+47</f>
        <v>84</v>
      </c>
      <c r="J34" s="22"/>
      <c r="K34" s="23"/>
      <c r="L34" s="23"/>
      <c r="M34" s="23">
        <f>16+115</f>
        <v>131</v>
      </c>
      <c r="N34" s="22">
        <f>23+94</f>
        <v>117</v>
      </c>
      <c r="O34" s="23">
        <f>257+127</f>
        <v>384</v>
      </c>
      <c r="P34" s="23">
        <f>310+92</f>
        <v>402</v>
      </c>
      <c r="Q34" s="23">
        <f>63+131</f>
        <v>194</v>
      </c>
    </row>
    <row r="35" spans="1:17" s="8" customFormat="1" x14ac:dyDescent="0.15">
      <c r="A35" s="8" t="s">
        <v>24</v>
      </c>
      <c r="B35" s="22"/>
      <c r="C35" s="23"/>
      <c r="D35" s="23"/>
      <c r="E35" s="23">
        <f>2+23+1</f>
        <v>26</v>
      </c>
      <c r="F35" s="22"/>
      <c r="G35" s="23"/>
      <c r="H35" s="23"/>
      <c r="I35" s="23">
        <f>11+39+3</f>
        <v>53</v>
      </c>
      <c r="J35" s="22"/>
      <c r="K35" s="23"/>
      <c r="L35" s="23"/>
      <c r="M35" s="23">
        <f>4+25</f>
        <v>29</v>
      </c>
      <c r="N35" s="22">
        <f>5+26</f>
        <v>31</v>
      </c>
      <c r="O35" s="23">
        <f>5+25</f>
        <v>30</v>
      </c>
      <c r="P35" s="23">
        <f>6+26</f>
        <v>32</v>
      </c>
      <c r="Q35" s="23">
        <f>11+0</f>
        <v>11</v>
      </c>
    </row>
    <row r="36" spans="1:17" s="8" customFormat="1" x14ac:dyDescent="0.15">
      <c r="B36" s="22"/>
      <c r="C36" s="23"/>
      <c r="D36" s="23"/>
      <c r="E36" s="23"/>
      <c r="F36" s="22"/>
      <c r="G36" s="23"/>
      <c r="H36" s="23"/>
      <c r="I36" s="23"/>
      <c r="J36" s="22"/>
      <c r="K36" s="23"/>
      <c r="L36" s="23"/>
      <c r="M36" s="23"/>
      <c r="N36" s="22"/>
      <c r="O36" s="23"/>
      <c r="P36" s="23"/>
      <c r="Q36" s="23"/>
    </row>
    <row r="37" spans="1:17" s="8" customFormat="1" x14ac:dyDescent="0.15">
      <c r="A37" s="60" t="s">
        <v>48</v>
      </c>
      <c r="B37" s="22"/>
      <c r="C37" s="23"/>
      <c r="D37" s="23"/>
      <c r="E37" s="37">
        <f>0+1</f>
        <v>1</v>
      </c>
      <c r="F37" s="22"/>
      <c r="G37" s="23"/>
      <c r="H37" s="23"/>
      <c r="I37" s="23">
        <f>0+1</f>
        <v>1</v>
      </c>
      <c r="J37" s="22"/>
      <c r="K37" s="23"/>
      <c r="L37" s="23"/>
      <c r="M37" s="23">
        <f>0+1</f>
        <v>1</v>
      </c>
      <c r="N37" s="22">
        <f>0+1</f>
        <v>1</v>
      </c>
      <c r="O37" s="23">
        <f>0+3</f>
        <v>3</v>
      </c>
      <c r="P37" s="23">
        <f>0+3</f>
        <v>3</v>
      </c>
      <c r="Q37" s="23">
        <f>578+122</f>
        <v>700</v>
      </c>
    </row>
    <row r="38" spans="1:17" s="8" customFormat="1" x14ac:dyDescent="0.15">
      <c r="A38" s="60" t="s">
        <v>49</v>
      </c>
      <c r="B38" s="22"/>
      <c r="C38" s="23"/>
      <c r="D38" s="23"/>
      <c r="E38" s="37">
        <v>116</v>
      </c>
      <c r="F38" s="22"/>
      <c r="G38" s="23"/>
      <c r="H38" s="23"/>
      <c r="I38" s="23">
        <v>163</v>
      </c>
      <c r="J38" s="22"/>
      <c r="K38" s="23"/>
      <c r="L38" s="23"/>
      <c r="M38" s="23">
        <v>321</v>
      </c>
      <c r="N38" s="22">
        <v>324</v>
      </c>
      <c r="O38" s="23">
        <v>608</v>
      </c>
      <c r="P38" s="23">
        <v>632</v>
      </c>
      <c r="Q38" s="23">
        <v>1163</v>
      </c>
    </row>
    <row r="39" spans="1:17" s="8" customFormat="1" x14ac:dyDescent="0.15">
      <c r="A39" s="60" t="s">
        <v>50</v>
      </c>
      <c r="B39" s="22"/>
      <c r="C39" s="23"/>
      <c r="D39" s="23"/>
      <c r="E39" s="37">
        <f>43+180</f>
        <v>223</v>
      </c>
      <c r="F39" s="22"/>
      <c r="G39" s="23"/>
      <c r="H39" s="23"/>
      <c r="I39" s="23">
        <f>75+220</f>
        <v>295</v>
      </c>
      <c r="J39" s="22"/>
      <c r="K39" s="23"/>
      <c r="L39" s="23"/>
      <c r="M39" s="23">
        <v>63</v>
      </c>
      <c r="N39" s="22">
        <v>68</v>
      </c>
      <c r="O39" s="23">
        <v>66</v>
      </c>
      <c r="P39" s="23">
        <v>96</v>
      </c>
      <c r="Q39" s="23">
        <v>158</v>
      </c>
    </row>
    <row r="40" spans="1:17" s="8" customFormat="1" x14ac:dyDescent="0.15">
      <c r="B40" s="22"/>
      <c r="C40" s="23"/>
      <c r="D40" s="23"/>
      <c r="E40" s="37"/>
      <c r="F40" s="22"/>
      <c r="G40" s="23"/>
      <c r="H40" s="23"/>
      <c r="I40" s="23"/>
      <c r="J40" s="22"/>
      <c r="K40" s="23"/>
      <c r="L40" s="23"/>
      <c r="M40" s="23"/>
      <c r="N40" s="22"/>
      <c r="O40" s="23"/>
      <c r="P40" s="23"/>
      <c r="Q40" s="23"/>
    </row>
    <row r="41" spans="1:17" s="8" customFormat="1" x14ac:dyDescent="0.15">
      <c r="A41" s="60" t="s">
        <v>51</v>
      </c>
      <c r="B41" s="22"/>
      <c r="C41" s="23"/>
      <c r="D41" s="23"/>
      <c r="E41" s="26">
        <f t="shared" ref="E41" si="46">E38-E34-E37</f>
        <v>65</v>
      </c>
      <c r="F41" s="22"/>
      <c r="G41" s="39"/>
      <c r="H41" s="23"/>
      <c r="I41" s="26">
        <f t="shared" ref="I41:N41" si="47">I38-I34-I37</f>
        <v>78</v>
      </c>
      <c r="J41" s="22"/>
      <c r="K41" s="39"/>
      <c r="L41" s="23"/>
      <c r="M41" s="26">
        <f t="shared" si="47"/>
        <v>189</v>
      </c>
      <c r="N41" s="27">
        <f t="shared" si="47"/>
        <v>206</v>
      </c>
      <c r="O41" s="26">
        <f t="shared" ref="O41:P41" si="48">O38-O34-O37</f>
        <v>221</v>
      </c>
      <c r="P41" s="26">
        <f t="shared" si="48"/>
        <v>227</v>
      </c>
      <c r="Q41" s="26">
        <f t="shared" ref="Q41" si="49">Q38-Q34-Q37</f>
        <v>269</v>
      </c>
    </row>
    <row r="42" spans="1:17" s="8" customFormat="1" x14ac:dyDescent="0.15">
      <c r="A42" s="60" t="s">
        <v>52</v>
      </c>
      <c r="B42" s="22"/>
      <c r="C42" s="23"/>
      <c r="D42" s="23"/>
      <c r="E42" s="26">
        <f t="shared" ref="E42" si="50">E38-E39</f>
        <v>-107</v>
      </c>
      <c r="F42" s="22"/>
      <c r="G42" s="39"/>
      <c r="H42" s="23"/>
      <c r="I42" s="26">
        <f t="shared" ref="I42" si="51">I38-I39</f>
        <v>-132</v>
      </c>
      <c r="J42" s="22"/>
      <c r="K42" s="39"/>
      <c r="L42" s="23"/>
      <c r="M42" s="26">
        <f>M38-M39</f>
        <v>258</v>
      </c>
      <c r="N42" s="27">
        <f t="shared" ref="N42" si="52">N38-N39</f>
        <v>256</v>
      </c>
      <c r="O42" s="26">
        <f>O38-O39</f>
        <v>542</v>
      </c>
      <c r="P42" s="26">
        <f>P38-P39</f>
        <v>536</v>
      </c>
      <c r="Q42" s="26">
        <f>Q38-Q39</f>
        <v>1005</v>
      </c>
    </row>
    <row r="43" spans="1:17" s="8" customFormat="1" x14ac:dyDescent="0.15">
      <c r="B43" s="22"/>
      <c r="C43" s="23"/>
      <c r="D43" s="23"/>
      <c r="E43" s="37"/>
      <c r="F43" s="22"/>
      <c r="G43" s="23"/>
      <c r="H43" s="23"/>
      <c r="I43" s="23"/>
      <c r="J43" s="22"/>
      <c r="K43" s="23"/>
      <c r="L43" s="23"/>
      <c r="M43" s="23"/>
      <c r="N43" s="22"/>
      <c r="O43" s="23"/>
      <c r="P43" s="23"/>
      <c r="Q43" s="23"/>
    </row>
    <row r="44" spans="1:17" s="17" customFormat="1" x14ac:dyDescent="0.15">
      <c r="A44" s="61" t="s">
        <v>53</v>
      </c>
      <c r="B44" s="22"/>
      <c r="C44" s="23"/>
      <c r="D44" s="23"/>
      <c r="E44" s="24">
        <f t="shared" ref="E44:M44" si="53">SUM(B19:E19)</f>
        <v>-30.772000000000006</v>
      </c>
      <c r="F44" s="22"/>
      <c r="G44" s="39"/>
      <c r="H44" s="23"/>
      <c r="I44" s="24">
        <f t="shared" si="53"/>
        <v>-28.936000000000003</v>
      </c>
      <c r="J44" s="22"/>
      <c r="K44" s="39"/>
      <c r="L44" s="23"/>
      <c r="M44" s="24">
        <f t="shared" si="53"/>
        <v>-52.859999999999992</v>
      </c>
      <c r="N44" s="25">
        <f t="shared" ref="N44" si="54">SUM(K19:N19)</f>
        <v>-54.038999999999994</v>
      </c>
      <c r="O44" s="24">
        <f>SUM(L19:O19)</f>
        <v>-53.462000000000003</v>
      </c>
      <c r="P44" s="24">
        <f>SUM(M19:P19)</f>
        <v>-63.620999999999995</v>
      </c>
      <c r="Q44" s="24">
        <f>SUM(N19:Q19)</f>
        <v>-96.13300000000001</v>
      </c>
    </row>
    <row r="45" spans="1:17" x14ac:dyDescent="0.15">
      <c r="A45" s="18" t="s">
        <v>54</v>
      </c>
      <c r="B45" s="22"/>
      <c r="C45" s="23"/>
      <c r="D45" s="23"/>
      <c r="E45" s="33">
        <f t="shared" ref="E45" si="55">E44/E42</f>
        <v>0.28758878504672902</v>
      </c>
      <c r="G45" s="44"/>
      <c r="I45" s="33">
        <f t="shared" ref="I45:N45" si="56">I44/I42</f>
        <v>0.21921212121212125</v>
      </c>
      <c r="K45" s="44"/>
      <c r="M45" s="33">
        <f t="shared" si="56"/>
        <v>-0.20488372093023252</v>
      </c>
      <c r="N45" s="34">
        <f t="shared" si="56"/>
        <v>-0.21108984374999998</v>
      </c>
      <c r="O45" s="33">
        <f t="shared" ref="O45:P45" si="57">O44/O42</f>
        <v>-9.863837638376384E-2</v>
      </c>
      <c r="P45" s="33">
        <f t="shared" si="57"/>
        <v>-0.11869589552238805</v>
      </c>
      <c r="Q45" s="33">
        <f t="shared" ref="Q45" si="58">Q44/Q42</f>
        <v>-9.5654726368159207E-2</v>
      </c>
    </row>
    <row r="46" spans="1:17" x14ac:dyDescent="0.15">
      <c r="A46" s="18" t="s">
        <v>55</v>
      </c>
      <c r="B46" s="22"/>
      <c r="C46" s="23"/>
      <c r="D46" s="23"/>
      <c r="E46" s="33">
        <f t="shared" ref="E46" si="59">E44/E38</f>
        <v>-0.26527586206896558</v>
      </c>
      <c r="G46" s="44"/>
      <c r="I46" s="33">
        <f t="shared" ref="I46:N46" si="60">I44/I38</f>
        <v>-0.17752147239263805</v>
      </c>
      <c r="K46" s="44"/>
      <c r="M46" s="33">
        <f t="shared" si="60"/>
        <v>-0.16467289719626166</v>
      </c>
      <c r="N46" s="34">
        <f t="shared" si="60"/>
        <v>-0.16678703703703701</v>
      </c>
      <c r="O46" s="33">
        <f t="shared" ref="O46:P46" si="61">O44/O38</f>
        <v>-8.7930921052631589E-2</v>
      </c>
      <c r="P46" s="33">
        <f t="shared" si="61"/>
        <v>-0.10066613924050632</v>
      </c>
      <c r="Q46" s="33">
        <f t="shared" ref="Q46" si="62">Q44/Q38</f>
        <v>-8.2659501289767845E-2</v>
      </c>
    </row>
    <row r="47" spans="1:17" x14ac:dyDescent="0.15">
      <c r="A47" s="18" t="s">
        <v>56</v>
      </c>
      <c r="B47" s="22"/>
      <c r="C47" s="23"/>
      <c r="D47" s="23"/>
      <c r="E47" s="33">
        <f t="shared" ref="E47" si="63">E44/(E42-E37)</f>
        <v>0.28492592592592597</v>
      </c>
      <c r="G47" s="44"/>
      <c r="I47" s="33">
        <f t="shared" ref="I47:N47" si="64">I44/(I42-I37)</f>
        <v>0.21756390977443613</v>
      </c>
      <c r="K47" s="44"/>
      <c r="M47" s="33">
        <f t="shared" si="64"/>
        <v>-0.20568093385214004</v>
      </c>
      <c r="N47" s="34">
        <f t="shared" si="64"/>
        <v>-0.21191764705882352</v>
      </c>
      <c r="O47" s="33">
        <f t="shared" ref="O47:P47" si="65">O44/(O42-O37)</f>
        <v>-9.9187384044526913E-2</v>
      </c>
      <c r="P47" s="33">
        <f t="shared" si="65"/>
        <v>-0.1193639774859287</v>
      </c>
      <c r="Q47" s="33">
        <f t="shared" ref="Q47" si="66">Q44/(Q42-Q37)</f>
        <v>-0.31519016393442628</v>
      </c>
    </row>
    <row r="48" spans="1:17" x14ac:dyDescent="0.15">
      <c r="A48" s="18" t="s">
        <v>57</v>
      </c>
      <c r="B48" s="22"/>
      <c r="C48" s="23"/>
      <c r="D48" s="23"/>
      <c r="E48" s="33">
        <f t="shared" ref="E48" si="67">E44/E41</f>
        <v>-0.47341538461538468</v>
      </c>
      <c r="G48" s="44"/>
      <c r="I48" s="33">
        <f t="shared" ref="I48:N48" si="68">I44/I41</f>
        <v>-0.37097435897435904</v>
      </c>
      <c r="K48" s="44"/>
      <c r="M48" s="33">
        <f t="shared" si="68"/>
        <v>-0.27968253968253964</v>
      </c>
      <c r="N48" s="34">
        <f t="shared" si="68"/>
        <v>-0.26232524271844659</v>
      </c>
      <c r="O48" s="33">
        <f t="shared" ref="O48:P48" si="69">O44/O41</f>
        <v>-0.24190950226244345</v>
      </c>
      <c r="P48" s="33">
        <f t="shared" si="69"/>
        <v>-0.28026872246696033</v>
      </c>
      <c r="Q48" s="33">
        <f t="shared" ref="Q48" si="70">Q44/Q41</f>
        <v>-0.35737174721189596</v>
      </c>
    </row>
    <row r="50" spans="1:17" s="8" customFormat="1" x14ac:dyDescent="0.15">
      <c r="A50" s="8" t="s">
        <v>69</v>
      </c>
      <c r="B50" s="22">
        <v>1261</v>
      </c>
      <c r="C50" s="23">
        <v>1284</v>
      </c>
      <c r="D50" s="23">
        <v>1365</v>
      </c>
      <c r="E50" s="23">
        <v>1439</v>
      </c>
      <c r="F50" s="22">
        <v>1444</v>
      </c>
      <c r="G50" s="23">
        <v>1529</v>
      </c>
      <c r="H50" s="23">
        <v>1516</v>
      </c>
      <c r="I50" s="23">
        <v>1582</v>
      </c>
      <c r="J50" s="22">
        <v>1621</v>
      </c>
      <c r="K50" s="23">
        <v>1627</v>
      </c>
      <c r="L50" s="23">
        <v>1684</v>
      </c>
      <c r="M50" s="23">
        <v>1743</v>
      </c>
      <c r="N50" s="22">
        <v>1837</v>
      </c>
      <c r="O50" s="23">
        <v>1951</v>
      </c>
      <c r="P50" s="23">
        <v>2047</v>
      </c>
      <c r="Q50" s="23">
        <v>2084</v>
      </c>
    </row>
    <row r="51" spans="1:17" s="8" customFormat="1" x14ac:dyDescent="0.15">
      <c r="B51" s="22"/>
      <c r="C51" s="23"/>
      <c r="D51" s="23"/>
      <c r="E51" s="23"/>
      <c r="F51" s="22"/>
      <c r="G51" s="23"/>
      <c r="H51" s="23"/>
      <c r="I51" s="23"/>
      <c r="J51" s="22"/>
      <c r="K51" s="23"/>
      <c r="L51" s="23"/>
      <c r="M51" s="23"/>
      <c r="N51" s="22"/>
      <c r="O51" s="23"/>
      <c r="P51" s="23"/>
      <c r="Q51" s="23"/>
    </row>
    <row r="52" spans="1:17" s="66" customFormat="1" x14ac:dyDescent="0.15">
      <c r="A52" s="66" t="s">
        <v>70</v>
      </c>
      <c r="B52" s="34"/>
      <c r="C52" s="33"/>
      <c r="D52" s="33"/>
      <c r="E52" s="33"/>
      <c r="F52" s="34">
        <f t="shared" ref="F52:Q52" si="71">F50/B50-1</f>
        <v>0.14512291831879454</v>
      </c>
      <c r="G52" s="33">
        <f t="shared" si="71"/>
        <v>0.19080996884735213</v>
      </c>
      <c r="H52" s="33">
        <f t="shared" si="71"/>
        <v>0.11062271062271067</v>
      </c>
      <c r="I52" s="33">
        <f t="shared" si="71"/>
        <v>9.9374565670604653E-2</v>
      </c>
      <c r="J52" s="34">
        <f t="shared" si="71"/>
        <v>0.12257617728531867</v>
      </c>
      <c r="K52" s="33">
        <f t="shared" si="71"/>
        <v>6.4094179202092816E-2</v>
      </c>
      <c r="L52" s="33">
        <f t="shared" si="71"/>
        <v>0.1108179419525066</v>
      </c>
      <c r="M52" s="33">
        <f t="shared" si="71"/>
        <v>0.10176991150442483</v>
      </c>
      <c r="N52" s="34">
        <f t="shared" si="71"/>
        <v>0.13325107958050597</v>
      </c>
      <c r="O52" s="33">
        <f t="shared" si="71"/>
        <v>0.19913952059004303</v>
      </c>
      <c r="P52" s="33">
        <f t="shared" si="71"/>
        <v>0.21555819477434679</v>
      </c>
      <c r="Q52" s="33">
        <f t="shared" si="71"/>
        <v>0.19563970166379807</v>
      </c>
    </row>
    <row r="53" spans="1:17" s="66" customFormat="1" x14ac:dyDescent="0.15">
      <c r="A53" s="66" t="s">
        <v>80</v>
      </c>
      <c r="B53" s="34"/>
      <c r="C53" s="33"/>
      <c r="D53" s="33"/>
      <c r="E53" s="33"/>
      <c r="F53" s="34">
        <f t="shared" ref="F53:Q53" si="72">F6/B6-1</f>
        <v>0.1630460288342479</v>
      </c>
      <c r="G53" s="33">
        <f t="shared" si="72"/>
        <v>0.19188370018193557</v>
      </c>
      <c r="H53" s="33">
        <f t="shared" si="72"/>
        <v>0.26580018171764186</v>
      </c>
      <c r="I53" s="33">
        <f t="shared" si="72"/>
        <v>0.2354523184574675</v>
      </c>
      <c r="J53" s="34">
        <f t="shared" si="72"/>
        <v>0.24874317705841631</v>
      </c>
      <c r="K53" s="33">
        <f t="shared" si="72"/>
        <v>0.25963295094879135</v>
      </c>
      <c r="L53" s="33">
        <f t="shared" si="72"/>
        <v>0.2175211370459873</v>
      </c>
      <c r="M53" s="33">
        <f t="shared" si="72"/>
        <v>0.31117759761255015</v>
      </c>
      <c r="N53" s="34">
        <f t="shared" si="72"/>
        <v>0.21883410120825886</v>
      </c>
      <c r="O53" s="33">
        <f t="shared" si="72"/>
        <v>0.34848967885059268</v>
      </c>
      <c r="P53" s="33">
        <f t="shared" si="72"/>
        <v>0.16696937588102578</v>
      </c>
      <c r="Q53" s="33">
        <f t="shared" si="72"/>
        <v>0.17288820502646152</v>
      </c>
    </row>
    <row r="55" spans="1:17" x14ac:dyDescent="0.15">
      <c r="A55" s="6" t="s">
        <v>77</v>
      </c>
      <c r="B55" s="21">
        <v>132</v>
      </c>
      <c r="C55" s="20">
        <v>143</v>
      </c>
      <c r="D55" s="20">
        <v>157</v>
      </c>
      <c r="E55" s="20">
        <v>170</v>
      </c>
      <c r="F55" s="21">
        <v>183</v>
      </c>
      <c r="G55" s="20">
        <v>190</v>
      </c>
      <c r="H55" s="20">
        <v>213</v>
      </c>
      <c r="I55" s="20">
        <v>227</v>
      </c>
      <c r="J55" s="21">
        <v>243</v>
      </c>
      <c r="K55" s="20">
        <v>262</v>
      </c>
      <c r="L55" s="20">
        <v>274</v>
      </c>
      <c r="M55" s="20">
        <v>288</v>
      </c>
      <c r="N55" s="21">
        <v>297</v>
      </c>
      <c r="O55" s="20">
        <v>304</v>
      </c>
      <c r="P55" s="20">
        <v>313</v>
      </c>
      <c r="Q55" s="20">
        <v>324</v>
      </c>
    </row>
    <row r="56" spans="1:17" s="66" customFormat="1" x14ac:dyDescent="0.15">
      <c r="A56" s="66" t="s">
        <v>76</v>
      </c>
      <c r="B56" s="34"/>
      <c r="C56" s="33"/>
      <c r="D56" s="33"/>
      <c r="E56" s="33"/>
      <c r="F56" s="34">
        <f t="shared" ref="F56:Q56" si="73">F55/B55-1</f>
        <v>0.38636363636363646</v>
      </c>
      <c r="G56" s="33">
        <f t="shared" si="73"/>
        <v>0.32867132867132876</v>
      </c>
      <c r="H56" s="33">
        <f t="shared" si="73"/>
        <v>0.3566878980891719</v>
      </c>
      <c r="I56" s="33">
        <f t="shared" si="73"/>
        <v>0.33529411764705874</v>
      </c>
      <c r="J56" s="34">
        <f t="shared" si="73"/>
        <v>0.32786885245901631</v>
      </c>
      <c r="K56" s="33">
        <f t="shared" si="73"/>
        <v>0.3789473684210527</v>
      </c>
      <c r="L56" s="33">
        <f t="shared" si="73"/>
        <v>0.28638497652582151</v>
      </c>
      <c r="M56" s="33">
        <f t="shared" si="73"/>
        <v>0.26872246696035251</v>
      </c>
      <c r="N56" s="34">
        <f t="shared" si="73"/>
        <v>0.22222222222222232</v>
      </c>
      <c r="O56" s="33">
        <f t="shared" si="73"/>
        <v>0.16030534351145032</v>
      </c>
      <c r="P56" s="33">
        <f t="shared" si="73"/>
        <v>0.14233576642335777</v>
      </c>
      <c r="Q56" s="33">
        <f t="shared" si="73"/>
        <v>0.125</v>
      </c>
    </row>
    <row r="58" spans="1:17" s="66" customFormat="1" x14ac:dyDescent="0.15">
      <c r="A58" s="66" t="s">
        <v>114</v>
      </c>
      <c r="B58" s="34"/>
      <c r="C58" s="33"/>
      <c r="D58" s="33"/>
      <c r="E58" s="33"/>
      <c r="F58" s="34"/>
      <c r="G58" s="33"/>
      <c r="H58" s="33"/>
      <c r="I58" s="33"/>
      <c r="J58" s="34"/>
      <c r="K58" s="33"/>
      <c r="L58" s="33"/>
      <c r="M58" s="33"/>
      <c r="N58" s="34">
        <v>1.33</v>
      </c>
      <c r="O58" s="33">
        <v>1.38</v>
      </c>
      <c r="P58" s="33">
        <v>1.43</v>
      </c>
      <c r="Q58" s="33">
        <v>1.1499999999999999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36"/>
  <sheetViews>
    <sheetView zoomScale="130" zoomScaleNormal="130" workbookViewId="0">
      <selection activeCell="C8" sqref="C8"/>
    </sheetView>
  </sheetViews>
  <sheetFormatPr baseColWidth="10" defaultRowHeight="13" x14ac:dyDescent="0.15"/>
  <cols>
    <col min="1" max="1" width="10.83203125" style="3"/>
    <col min="2" max="2" width="15.6640625" style="3" bestFit="1" customWidth="1"/>
    <col min="3" max="3" width="31" style="3" bestFit="1" customWidth="1"/>
    <col min="4" max="16384" width="10.83203125" style="3"/>
  </cols>
  <sheetData>
    <row r="4" spans="2:3" x14ac:dyDescent="0.15">
      <c r="B4" s="65" t="s">
        <v>71</v>
      </c>
    </row>
    <row r="6" spans="2:3" x14ac:dyDescent="0.15">
      <c r="B6" s="3" t="s">
        <v>72</v>
      </c>
      <c r="C6" s="3" t="s">
        <v>106</v>
      </c>
    </row>
    <row r="7" spans="2:3" x14ac:dyDescent="0.15">
      <c r="B7" s="3" t="s">
        <v>107</v>
      </c>
      <c r="C7" s="3" t="s">
        <v>109</v>
      </c>
    </row>
    <row r="8" spans="2:3" x14ac:dyDescent="0.15">
      <c r="B8" s="3" t="s">
        <v>108</v>
      </c>
    </row>
    <row r="10" spans="2:3" x14ac:dyDescent="0.15">
      <c r="B10" s="2" t="s">
        <v>73</v>
      </c>
    </row>
    <row r="12" spans="2:3" x14ac:dyDescent="0.15">
      <c r="B12" s="3" t="s">
        <v>74</v>
      </c>
      <c r="C12" s="3" t="s">
        <v>75</v>
      </c>
    </row>
    <row r="14" spans="2:3" x14ac:dyDescent="0.15">
      <c r="B14" s="2" t="s">
        <v>69</v>
      </c>
    </row>
    <row r="16" spans="2:3" x14ac:dyDescent="0.15">
      <c r="B16" s="3" t="s">
        <v>85</v>
      </c>
    </row>
    <row r="17" spans="2:2" x14ac:dyDescent="0.15">
      <c r="B17" s="3" t="s">
        <v>86</v>
      </c>
    </row>
    <row r="18" spans="2:2" x14ac:dyDescent="0.15">
      <c r="B18" s="3" t="s">
        <v>87</v>
      </c>
    </row>
    <row r="19" spans="2:2" x14ac:dyDescent="0.15">
      <c r="B19" s="3" t="s">
        <v>88</v>
      </c>
    </row>
    <row r="20" spans="2:2" x14ac:dyDescent="0.15">
      <c r="B20" s="3" t="s">
        <v>89</v>
      </c>
    </row>
    <row r="21" spans="2:2" x14ac:dyDescent="0.15">
      <c r="B21" s="3" t="s">
        <v>90</v>
      </c>
    </row>
    <row r="22" spans="2:2" x14ac:dyDescent="0.15">
      <c r="B22" s="3" t="s">
        <v>91</v>
      </c>
    </row>
    <row r="23" spans="2:2" x14ac:dyDescent="0.15">
      <c r="B23" s="3" t="s">
        <v>92</v>
      </c>
    </row>
    <row r="24" spans="2:2" x14ac:dyDescent="0.15">
      <c r="B24" s="3" t="s">
        <v>93</v>
      </c>
    </row>
    <row r="25" spans="2:2" x14ac:dyDescent="0.15">
      <c r="B25" s="3" t="s">
        <v>94</v>
      </c>
    </row>
    <row r="26" spans="2:2" x14ac:dyDescent="0.15">
      <c r="B26" s="3" t="s">
        <v>95</v>
      </c>
    </row>
    <row r="27" spans="2:2" x14ac:dyDescent="0.15">
      <c r="B27" s="3" t="s">
        <v>96</v>
      </c>
    </row>
    <row r="28" spans="2:2" x14ac:dyDescent="0.15">
      <c r="B28" s="3" t="s">
        <v>97</v>
      </c>
    </row>
    <row r="29" spans="2:2" x14ac:dyDescent="0.15">
      <c r="B29" s="3" t="s">
        <v>98</v>
      </c>
    </row>
    <row r="30" spans="2:2" x14ac:dyDescent="0.15">
      <c r="B30" s="3" t="s">
        <v>99</v>
      </c>
    </row>
    <row r="31" spans="2:2" x14ac:dyDescent="0.15">
      <c r="B31" s="3" t="s">
        <v>100</v>
      </c>
    </row>
    <row r="32" spans="2:2" x14ac:dyDescent="0.15">
      <c r="B32" s="3" t="s">
        <v>101</v>
      </c>
    </row>
    <row r="33" spans="2:2" x14ac:dyDescent="0.15">
      <c r="B33" s="3" t="s">
        <v>102</v>
      </c>
    </row>
    <row r="34" spans="2:2" x14ac:dyDescent="0.15">
      <c r="B34" s="3" t="s">
        <v>103</v>
      </c>
    </row>
    <row r="35" spans="2:2" x14ac:dyDescent="0.15">
      <c r="B35" s="3" t="s">
        <v>104</v>
      </c>
    </row>
    <row r="36" spans="2:2" x14ac:dyDescent="0.15">
      <c r="B36" s="3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2021-02-25T20:24:30Z</dcterms:modified>
</cp:coreProperties>
</file>