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5F09A06-F06B-8C40-B85C-45717EF815D9}" xr6:coauthVersionLast="46" xr6:coauthVersionMax="46" xr10:uidLastSave="{00000000-0000-0000-0000-000000000000}"/>
  <bookViews>
    <workbookView xWindow="0" yWindow="460" windowWidth="1886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 s="1"/>
  <c r="C5" i="2"/>
  <c r="R17" i="2"/>
  <c r="S17" i="2" s="1"/>
  <c r="T17" i="2" s="1"/>
  <c r="U17" i="2" s="1"/>
  <c r="Q17" i="2"/>
  <c r="R16" i="2"/>
  <c r="S16" i="2" s="1"/>
  <c r="T16" i="2" s="1"/>
  <c r="U16" i="2" s="1"/>
  <c r="Q16" i="2"/>
  <c r="M18" i="2"/>
  <c r="N18" i="2" s="1"/>
  <c r="O18" i="2" s="1"/>
  <c r="P18" i="2" s="1"/>
  <c r="M17" i="2"/>
  <c r="N17" i="2" s="1"/>
  <c r="O17" i="2" s="1"/>
  <c r="P17" i="2" s="1"/>
  <c r="M16" i="2"/>
  <c r="N16" i="2" s="1"/>
  <c r="O16" i="2" s="1"/>
  <c r="P16" i="2" s="1"/>
  <c r="L17" i="2"/>
  <c r="L16" i="2"/>
  <c r="H18" i="2"/>
  <c r="I18" i="2" s="1"/>
  <c r="J18" i="2" s="1"/>
  <c r="K18" i="2" s="1"/>
  <c r="H17" i="2"/>
  <c r="I17" i="2" s="1"/>
  <c r="J17" i="2" s="1"/>
  <c r="K17" i="2" s="1"/>
  <c r="H16" i="2"/>
  <c r="I16" i="2" s="1"/>
  <c r="J16" i="2" s="1"/>
  <c r="K16" i="2" s="1"/>
  <c r="G18" i="2"/>
  <c r="G17" i="2"/>
  <c r="G16" i="2"/>
  <c r="F4" i="2"/>
  <c r="K11" i="2"/>
  <c r="J11" i="2"/>
  <c r="I11" i="2"/>
  <c r="H11" i="2"/>
  <c r="I10" i="2"/>
  <c r="J10" i="2" s="1"/>
  <c r="K10" i="2" s="1"/>
  <c r="H10" i="2"/>
  <c r="G11" i="2"/>
  <c r="G10" i="2"/>
  <c r="Y3" i="1"/>
  <c r="Y4" i="1"/>
  <c r="Q33" i="1"/>
  <c r="Q38" i="1"/>
  <c r="E44" i="2" s="1"/>
  <c r="E40" i="2"/>
  <c r="E42" i="2"/>
  <c r="E43" i="2"/>
  <c r="F44" i="2"/>
  <c r="F43" i="2"/>
  <c r="F42" i="2"/>
  <c r="F40" i="2"/>
  <c r="F39" i="2"/>
  <c r="E21" i="2"/>
  <c r="F21" i="2"/>
  <c r="W38" i="1"/>
  <c r="W36" i="1"/>
  <c r="W33" i="1"/>
  <c r="U38" i="1"/>
  <c r="E39" i="2"/>
  <c r="U36" i="1"/>
  <c r="X38" i="1"/>
  <c r="X36" i="1"/>
  <c r="U33" i="1"/>
  <c r="X33" i="1"/>
  <c r="X14" i="1"/>
  <c r="X50" i="1" l="1"/>
  <c r="X49" i="1"/>
  <c r="X41" i="1"/>
  <c r="X32" i="1"/>
  <c r="X28" i="1"/>
  <c r="X27" i="1"/>
  <c r="X12" i="1"/>
  <c r="X6" i="1"/>
  <c r="X8" i="1" s="1"/>
  <c r="X13" i="1" l="1"/>
  <c r="X22" i="1"/>
  <c r="X40" i="1"/>
  <c r="W50" i="1"/>
  <c r="W49" i="1"/>
  <c r="W41" i="1"/>
  <c r="W32" i="1"/>
  <c r="W28" i="1"/>
  <c r="W27" i="1"/>
  <c r="W6" i="1"/>
  <c r="W7" i="1" l="1"/>
  <c r="W8" i="1" s="1"/>
  <c r="W22" i="1" s="1"/>
  <c r="W40" i="1"/>
  <c r="W12" i="1"/>
  <c r="X15" i="1"/>
  <c r="X23" i="1"/>
  <c r="G55" i="2"/>
  <c r="U50" i="1"/>
  <c r="U49" i="1"/>
  <c r="U41" i="1"/>
  <c r="U28" i="1"/>
  <c r="U27" i="1"/>
  <c r="U12" i="1"/>
  <c r="U6" i="1"/>
  <c r="Y26" i="1" l="1"/>
  <c r="U7" i="1"/>
  <c r="U8" i="1" s="1"/>
  <c r="U22" i="1" s="1"/>
  <c r="F47" i="2"/>
  <c r="Q34" i="2"/>
  <c r="Q33" i="2"/>
  <c r="U32" i="1"/>
  <c r="V40" i="1"/>
  <c r="X18" i="1"/>
  <c r="X19" i="1" s="1"/>
  <c r="X24" i="1"/>
  <c r="U40" i="1"/>
  <c r="F38" i="2"/>
  <c r="G21" i="2" s="1"/>
  <c r="W13" i="1"/>
  <c r="G33" i="2"/>
  <c r="F13" i="2"/>
  <c r="R33" i="2" l="1"/>
  <c r="R34" i="2"/>
  <c r="W23" i="1"/>
  <c r="W15" i="1"/>
  <c r="U13" i="1"/>
  <c r="F46" i="2"/>
  <c r="F15" i="2"/>
  <c r="S34" i="2" l="1"/>
  <c r="S33" i="2"/>
  <c r="U23" i="1"/>
  <c r="U15" i="1"/>
  <c r="W24" i="1"/>
  <c r="W18" i="1"/>
  <c r="W19" i="1" s="1"/>
  <c r="T34" i="2" l="1"/>
  <c r="U34" i="2"/>
  <c r="T33" i="2"/>
  <c r="U18" i="1"/>
  <c r="U24" i="1"/>
  <c r="U33" i="2" l="1"/>
  <c r="U19" i="1"/>
  <c r="T41" i="1"/>
  <c r="T50" i="1"/>
  <c r="T49" i="1"/>
  <c r="X29" i="1"/>
  <c r="T6" i="1"/>
  <c r="V50" i="1"/>
  <c r="V49" i="1"/>
  <c r="V41" i="1"/>
  <c r="V28" i="1"/>
  <c r="V27" i="1"/>
  <c r="V12" i="1"/>
  <c r="V6" i="1"/>
  <c r="V7" i="1" s="1"/>
  <c r="X26" i="1" l="1"/>
  <c r="T8" i="1"/>
  <c r="T12" i="1"/>
  <c r="T32" i="1"/>
  <c r="T40" i="1"/>
  <c r="V8" i="1"/>
  <c r="V32" i="1"/>
  <c r="T27" i="1"/>
  <c r="T28" i="1"/>
  <c r="S11" i="1"/>
  <c r="W29" i="1" s="1"/>
  <c r="S50" i="1"/>
  <c r="S49" i="1"/>
  <c r="S41" i="1"/>
  <c r="S28" i="1"/>
  <c r="S27" i="1"/>
  <c r="S6" i="1"/>
  <c r="F55" i="2"/>
  <c r="F54" i="2"/>
  <c r="D23" i="2"/>
  <c r="D21" i="2"/>
  <c r="D16" i="2"/>
  <c r="D17" i="2"/>
  <c r="D14" i="2"/>
  <c r="C17" i="2"/>
  <c r="C16" i="2"/>
  <c r="C14" i="2"/>
  <c r="C13" i="2"/>
  <c r="B23" i="2"/>
  <c r="B21" i="2"/>
  <c r="B17" i="2"/>
  <c r="B16" i="2"/>
  <c r="B14" i="2"/>
  <c r="B11" i="1"/>
  <c r="B12" i="1" s="1"/>
  <c r="F11" i="1"/>
  <c r="C11" i="1"/>
  <c r="C12" i="1" s="1"/>
  <c r="G11" i="1"/>
  <c r="G12" i="1" s="1"/>
  <c r="C6" i="1"/>
  <c r="C8" i="1" s="1"/>
  <c r="F6" i="1"/>
  <c r="F8" i="1" s="1"/>
  <c r="G6" i="1"/>
  <c r="G26" i="1" s="1"/>
  <c r="F49" i="1"/>
  <c r="G49" i="1"/>
  <c r="H49" i="1"/>
  <c r="F50" i="1"/>
  <c r="G50" i="1"/>
  <c r="H50" i="1"/>
  <c r="D11" i="1"/>
  <c r="D12" i="1" s="1"/>
  <c r="H11" i="1"/>
  <c r="H12" i="1" s="1"/>
  <c r="H6" i="1"/>
  <c r="E11" i="1"/>
  <c r="E12" i="1" s="1"/>
  <c r="I11" i="1"/>
  <c r="I12" i="1" s="1"/>
  <c r="J11" i="1"/>
  <c r="N32" i="1"/>
  <c r="O32" i="1"/>
  <c r="K11" i="1"/>
  <c r="O11" i="1"/>
  <c r="O12" i="1" s="1"/>
  <c r="P32" i="1"/>
  <c r="L11" i="1"/>
  <c r="L12" i="1" s="1"/>
  <c r="P11" i="1"/>
  <c r="P12" i="1" s="1"/>
  <c r="M11" i="1"/>
  <c r="M12" i="1" s="1"/>
  <c r="Q11" i="1"/>
  <c r="U29" i="1" s="1"/>
  <c r="R50" i="1"/>
  <c r="R49" i="1"/>
  <c r="Q6" i="1"/>
  <c r="P6" i="1"/>
  <c r="P8" i="1" s="1"/>
  <c r="P22" i="1" s="1"/>
  <c r="O6" i="1"/>
  <c r="O8" i="1" s="1"/>
  <c r="R41" i="1"/>
  <c r="N11" i="1"/>
  <c r="N12" i="1" s="1"/>
  <c r="R28" i="1"/>
  <c r="R27" i="1"/>
  <c r="N6" i="1"/>
  <c r="N8" i="1" s="1"/>
  <c r="N22" i="1" s="1"/>
  <c r="R6" i="1"/>
  <c r="R8" i="1" s="1"/>
  <c r="R11" i="1"/>
  <c r="V29" i="1" s="1"/>
  <c r="J12" i="1"/>
  <c r="Q41" i="1"/>
  <c r="M6" i="1"/>
  <c r="M8" i="1" s="1"/>
  <c r="M22" i="1" s="1"/>
  <c r="I6" i="1"/>
  <c r="Q50" i="1"/>
  <c r="P50" i="1"/>
  <c r="O50" i="1"/>
  <c r="N50" i="1"/>
  <c r="M50" i="1"/>
  <c r="L50" i="1"/>
  <c r="K50" i="1"/>
  <c r="J50" i="1"/>
  <c r="I50" i="1"/>
  <c r="Q49" i="1"/>
  <c r="P49" i="1"/>
  <c r="O49" i="1"/>
  <c r="N49" i="1"/>
  <c r="M49" i="1"/>
  <c r="L49" i="1"/>
  <c r="K49" i="1"/>
  <c r="J49" i="1"/>
  <c r="I49" i="1"/>
  <c r="E6" i="1"/>
  <c r="E8" i="1" s="1"/>
  <c r="E41" i="1"/>
  <c r="P41" i="1"/>
  <c r="C21" i="2"/>
  <c r="C23" i="2"/>
  <c r="B26" i="2"/>
  <c r="J6" i="1"/>
  <c r="J8" i="1" s="1"/>
  <c r="K6" i="1"/>
  <c r="L6" i="1"/>
  <c r="I41" i="1"/>
  <c r="M41" i="1"/>
  <c r="B6" i="1"/>
  <c r="B8" i="1" s="1"/>
  <c r="B22" i="1" s="1"/>
  <c r="D6" i="1"/>
  <c r="D8" i="1" s="1"/>
  <c r="O41" i="1"/>
  <c r="N41" i="1"/>
  <c r="Q28" i="1"/>
  <c r="Q27" i="1"/>
  <c r="N28" i="1"/>
  <c r="N27" i="1"/>
  <c r="O28" i="1"/>
  <c r="O27" i="1"/>
  <c r="P28" i="1"/>
  <c r="P27" i="1"/>
  <c r="D26" i="2"/>
  <c r="C26" i="2"/>
  <c r="G26" i="2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F27" i="1"/>
  <c r="I27" i="1"/>
  <c r="M27" i="1"/>
  <c r="K27" i="1"/>
  <c r="J27" i="1"/>
  <c r="H27" i="1"/>
  <c r="L27" i="1"/>
  <c r="H28" i="1"/>
  <c r="I28" i="1"/>
  <c r="J28" i="1"/>
  <c r="K28" i="1"/>
  <c r="L28" i="1"/>
  <c r="M28" i="1"/>
  <c r="G28" i="1"/>
  <c r="G27" i="1"/>
  <c r="F28" i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L29" i="1" l="1"/>
  <c r="C13" i="1"/>
  <c r="L30" i="1"/>
  <c r="I26" i="1"/>
  <c r="M30" i="1"/>
  <c r="R40" i="1"/>
  <c r="N40" i="1"/>
  <c r="S40" i="1"/>
  <c r="S32" i="1"/>
  <c r="R26" i="1"/>
  <c r="L26" i="1"/>
  <c r="Q40" i="1"/>
  <c r="J29" i="1"/>
  <c r="B13" i="2"/>
  <c r="B15" i="2" s="1"/>
  <c r="B28" i="2" s="1"/>
  <c r="M29" i="1"/>
  <c r="I32" i="1"/>
  <c r="S8" i="1"/>
  <c r="S22" i="1" s="1"/>
  <c r="W26" i="1"/>
  <c r="Q8" i="1"/>
  <c r="Q22" i="1" s="1"/>
  <c r="U26" i="1"/>
  <c r="P40" i="1"/>
  <c r="D13" i="2"/>
  <c r="D15" i="2" s="1"/>
  <c r="D28" i="2" s="1"/>
  <c r="D18" i="2"/>
  <c r="D19" i="2" s="1"/>
  <c r="K26" i="1"/>
  <c r="R12" i="1"/>
  <c r="V30" i="1" s="1"/>
  <c r="I29" i="1"/>
  <c r="P29" i="1"/>
  <c r="H8" i="1"/>
  <c r="H22" i="1" s="1"/>
  <c r="F26" i="1"/>
  <c r="N29" i="1"/>
  <c r="J26" i="1"/>
  <c r="Q12" i="1"/>
  <c r="J13" i="1"/>
  <c r="J23" i="1" s="1"/>
  <c r="C34" i="2"/>
  <c r="V26" i="1"/>
  <c r="P26" i="1"/>
  <c r="G29" i="1"/>
  <c r="Q29" i="1"/>
  <c r="T13" i="1"/>
  <c r="T15" i="1" s="1"/>
  <c r="T18" i="1" s="1"/>
  <c r="X30" i="1"/>
  <c r="C47" i="2"/>
  <c r="E33" i="2"/>
  <c r="E38" i="2"/>
  <c r="E55" i="2"/>
  <c r="B38" i="2"/>
  <c r="D47" i="2"/>
  <c r="C55" i="2"/>
  <c r="E34" i="2"/>
  <c r="V13" i="1"/>
  <c r="V22" i="1"/>
  <c r="O13" i="1"/>
  <c r="O15" i="1" s="1"/>
  <c r="O22" i="1"/>
  <c r="C38" i="2"/>
  <c r="E54" i="2"/>
  <c r="O29" i="1"/>
  <c r="K29" i="1"/>
  <c r="M26" i="1"/>
  <c r="E47" i="2"/>
  <c r="E46" i="2"/>
  <c r="O40" i="1"/>
  <c r="M13" i="1"/>
  <c r="M23" i="1" s="1"/>
  <c r="D54" i="2"/>
  <c r="B18" i="2"/>
  <c r="B19" i="2" s="1"/>
  <c r="R32" i="1"/>
  <c r="D34" i="2"/>
  <c r="M40" i="1"/>
  <c r="D38" i="2"/>
  <c r="I40" i="1"/>
  <c r="D55" i="2"/>
  <c r="J22" i="1"/>
  <c r="B47" i="2"/>
  <c r="N26" i="1"/>
  <c r="Q32" i="1"/>
  <c r="P30" i="1"/>
  <c r="E32" i="1"/>
  <c r="D33" i="2"/>
  <c r="E22" i="1"/>
  <c r="E13" i="1"/>
  <c r="D22" i="1"/>
  <c r="D13" i="1"/>
  <c r="N30" i="1"/>
  <c r="T29" i="1"/>
  <c r="F22" i="1"/>
  <c r="D46" i="2"/>
  <c r="C15" i="1"/>
  <c r="C23" i="1"/>
  <c r="P13" i="1"/>
  <c r="F29" i="1"/>
  <c r="Q26" i="1"/>
  <c r="C54" i="2"/>
  <c r="B13" i="1"/>
  <c r="B46" i="2"/>
  <c r="E13" i="2"/>
  <c r="C22" i="1"/>
  <c r="L8" i="1"/>
  <c r="N13" i="1"/>
  <c r="K12" i="1"/>
  <c r="K30" i="1" s="1"/>
  <c r="G8" i="1"/>
  <c r="M32" i="1"/>
  <c r="S26" i="1"/>
  <c r="S12" i="1"/>
  <c r="E40" i="1"/>
  <c r="C18" i="2"/>
  <c r="E35" i="2"/>
  <c r="H26" i="1"/>
  <c r="C15" i="2"/>
  <c r="R29" i="1"/>
  <c r="C6" i="2"/>
  <c r="C7" i="2" s="1"/>
  <c r="K8" i="1"/>
  <c r="R22" i="1"/>
  <c r="F12" i="1"/>
  <c r="J30" i="1" s="1"/>
  <c r="S29" i="1"/>
  <c r="I8" i="1"/>
  <c r="H29" i="1"/>
  <c r="O26" i="1"/>
  <c r="C33" i="2"/>
  <c r="T30" i="1"/>
  <c r="C32" i="2" l="1"/>
  <c r="J15" i="1"/>
  <c r="Q13" i="1"/>
  <c r="Q23" i="1" s="1"/>
  <c r="O23" i="1"/>
  <c r="L18" i="2"/>
  <c r="F19" i="2"/>
  <c r="F20" i="2" s="1"/>
  <c r="F22" i="2" s="1"/>
  <c r="T19" i="1"/>
  <c r="H13" i="1"/>
  <c r="R13" i="1"/>
  <c r="R15" i="1" s="1"/>
  <c r="U30" i="1"/>
  <c r="Q30" i="1"/>
  <c r="R30" i="1"/>
  <c r="B20" i="2"/>
  <c r="B29" i="2" s="1"/>
  <c r="S30" i="1"/>
  <c r="W30" i="1"/>
  <c r="D32" i="2"/>
  <c r="C46" i="2"/>
  <c r="C35" i="2"/>
  <c r="V23" i="1"/>
  <c r="V15" i="1"/>
  <c r="H55" i="2"/>
  <c r="F13" i="1"/>
  <c r="F15" i="1" s="1"/>
  <c r="O30" i="1"/>
  <c r="M15" i="1"/>
  <c r="O18" i="1"/>
  <c r="O24" i="1"/>
  <c r="T26" i="1"/>
  <c r="I22" i="1"/>
  <c r="I13" i="1"/>
  <c r="H23" i="1"/>
  <c r="H15" i="1"/>
  <c r="F23" i="1"/>
  <c r="K13" i="1"/>
  <c r="K22" i="1"/>
  <c r="J18" i="1"/>
  <c r="J24" i="1"/>
  <c r="D20" i="2"/>
  <c r="D15" i="1"/>
  <c r="D23" i="1"/>
  <c r="E23" i="1"/>
  <c r="E15" i="1"/>
  <c r="R24" i="1"/>
  <c r="R18" i="1"/>
  <c r="C18" i="1"/>
  <c r="C19" i="1" s="1"/>
  <c r="C24" i="1"/>
  <c r="N23" i="1"/>
  <c r="N15" i="1"/>
  <c r="L22" i="1"/>
  <c r="L13" i="1"/>
  <c r="C28" i="2"/>
  <c r="B23" i="1"/>
  <c r="B15" i="1"/>
  <c r="F34" i="2"/>
  <c r="G13" i="1"/>
  <c r="G22" i="1"/>
  <c r="M18" i="1"/>
  <c r="M24" i="1"/>
  <c r="P15" i="1"/>
  <c r="P23" i="1"/>
  <c r="E32" i="2"/>
  <c r="E15" i="2"/>
  <c r="D35" i="2"/>
  <c r="S13" i="1"/>
  <c r="E19" i="2"/>
  <c r="E36" i="2" s="1"/>
  <c r="C19" i="2"/>
  <c r="C36" i="2" s="1"/>
  <c r="Q18" i="2" l="1"/>
  <c r="Q15" i="1"/>
  <c r="B22" i="2"/>
  <c r="R19" i="1"/>
  <c r="R23" i="1"/>
  <c r="I55" i="2"/>
  <c r="V18" i="1"/>
  <c r="V24" i="1"/>
  <c r="F33" i="2"/>
  <c r="B24" i="2"/>
  <c r="B30" i="2"/>
  <c r="I23" i="1"/>
  <c r="I15" i="1"/>
  <c r="F24" i="1"/>
  <c r="F18" i="1"/>
  <c r="H18" i="1"/>
  <c r="H19" i="1" s="1"/>
  <c r="H24" i="1"/>
  <c r="S15" i="1"/>
  <c r="S23" i="1"/>
  <c r="D18" i="1"/>
  <c r="D19" i="1" s="1"/>
  <c r="D24" i="1"/>
  <c r="G23" i="1"/>
  <c r="G15" i="1"/>
  <c r="G34" i="2"/>
  <c r="C20" i="2"/>
  <c r="D29" i="2"/>
  <c r="D22" i="2"/>
  <c r="B24" i="1"/>
  <c r="B18" i="1"/>
  <c r="P18" i="1"/>
  <c r="P24" i="1"/>
  <c r="D36" i="2"/>
  <c r="T22" i="1"/>
  <c r="L23" i="1"/>
  <c r="L15" i="1"/>
  <c r="M19" i="1"/>
  <c r="J19" i="1"/>
  <c r="F35" i="2"/>
  <c r="E20" i="2"/>
  <c r="E28" i="2"/>
  <c r="G13" i="2"/>
  <c r="N24" i="1"/>
  <c r="N18" i="1"/>
  <c r="Q24" i="1"/>
  <c r="Q18" i="1"/>
  <c r="E24" i="1"/>
  <c r="E18" i="1"/>
  <c r="K23" i="1"/>
  <c r="K15" i="1"/>
  <c r="O19" i="1"/>
  <c r="F36" i="2"/>
  <c r="Q35" i="2" l="1"/>
  <c r="Q19" i="2"/>
  <c r="R18" i="2"/>
  <c r="S18" i="2" s="1"/>
  <c r="R35" i="2"/>
  <c r="R19" i="2"/>
  <c r="Q19" i="1"/>
  <c r="X43" i="1"/>
  <c r="W43" i="1"/>
  <c r="J55" i="2"/>
  <c r="V19" i="1"/>
  <c r="T23" i="1"/>
  <c r="G35" i="2"/>
  <c r="H19" i="2"/>
  <c r="G54" i="2"/>
  <c r="S24" i="1"/>
  <c r="S18" i="1"/>
  <c r="E43" i="1"/>
  <c r="B19" i="1"/>
  <c r="E19" i="1"/>
  <c r="E47" i="1"/>
  <c r="E46" i="1"/>
  <c r="E45" i="1"/>
  <c r="E44" i="1"/>
  <c r="I18" i="1"/>
  <c r="I19" i="1" s="1"/>
  <c r="I24" i="1"/>
  <c r="D24" i="2"/>
  <c r="D30" i="2"/>
  <c r="C29" i="2"/>
  <c r="C22" i="2"/>
  <c r="H34" i="2"/>
  <c r="F32" i="2"/>
  <c r="P19" i="1"/>
  <c r="K18" i="1"/>
  <c r="K24" i="1"/>
  <c r="L24" i="1"/>
  <c r="L18" i="1"/>
  <c r="N19" i="1"/>
  <c r="Q43" i="1"/>
  <c r="E29" i="2"/>
  <c r="E22" i="2"/>
  <c r="R43" i="1"/>
  <c r="P43" i="1"/>
  <c r="F19" i="1"/>
  <c r="G19" i="2"/>
  <c r="G36" i="2" s="1"/>
  <c r="G18" i="1"/>
  <c r="G19" i="1" s="1"/>
  <c r="G24" i="1"/>
  <c r="B49" i="2"/>
  <c r="B25" i="2"/>
  <c r="B50" i="2"/>
  <c r="B52" i="2"/>
  <c r="B51" i="2"/>
  <c r="R36" i="2" l="1"/>
  <c r="S35" i="2"/>
  <c r="T18" i="2"/>
  <c r="S19" i="2"/>
  <c r="S36" i="2" s="1"/>
  <c r="S19" i="1"/>
  <c r="U43" i="1"/>
  <c r="W47" i="1"/>
  <c r="W44" i="1"/>
  <c r="W46" i="1"/>
  <c r="W45" i="1"/>
  <c r="I43" i="1"/>
  <c r="I47" i="1" s="1"/>
  <c r="X47" i="1"/>
  <c r="X45" i="1"/>
  <c r="X46" i="1"/>
  <c r="X44" i="1"/>
  <c r="T43" i="1"/>
  <c r="K55" i="2"/>
  <c r="H36" i="2"/>
  <c r="H33" i="2"/>
  <c r="F28" i="2"/>
  <c r="D52" i="2"/>
  <c r="D49" i="2"/>
  <c r="D51" i="2"/>
  <c r="D25" i="2"/>
  <c r="D50" i="2"/>
  <c r="H54" i="2"/>
  <c r="H13" i="2"/>
  <c r="H35" i="2"/>
  <c r="P47" i="1"/>
  <c r="P44" i="1"/>
  <c r="P46" i="1"/>
  <c r="P45" i="1"/>
  <c r="I34" i="2"/>
  <c r="C30" i="2"/>
  <c r="C24" i="2"/>
  <c r="G32" i="2"/>
  <c r="R46" i="1"/>
  <c r="R45" i="1"/>
  <c r="R44" i="1"/>
  <c r="R47" i="1"/>
  <c r="E30" i="2"/>
  <c r="E24" i="2"/>
  <c r="Q47" i="1"/>
  <c r="Q46" i="1"/>
  <c r="Q45" i="1"/>
  <c r="Q44" i="1"/>
  <c r="L19" i="1"/>
  <c r="O43" i="1"/>
  <c r="N43" i="1"/>
  <c r="K19" i="1"/>
  <c r="M43" i="1"/>
  <c r="S43" i="1"/>
  <c r="T35" i="2" l="1"/>
  <c r="U18" i="2"/>
  <c r="T19" i="2"/>
  <c r="T36" i="2" s="1"/>
  <c r="I46" i="1"/>
  <c r="I45" i="1"/>
  <c r="T46" i="1"/>
  <c r="T44" i="1"/>
  <c r="T47" i="1"/>
  <c r="T45" i="1"/>
  <c r="U47" i="1"/>
  <c r="U45" i="1"/>
  <c r="U46" i="1"/>
  <c r="U44" i="1"/>
  <c r="I44" i="1"/>
  <c r="C50" i="2"/>
  <c r="C49" i="2"/>
  <c r="C51" i="2"/>
  <c r="G15" i="2"/>
  <c r="G14" i="2" s="1"/>
  <c r="I19" i="2"/>
  <c r="I36" i="2" s="1"/>
  <c r="E52" i="2"/>
  <c r="E51" i="2"/>
  <c r="E49" i="2"/>
  <c r="I33" i="2"/>
  <c r="M47" i="1"/>
  <c r="M46" i="1"/>
  <c r="M45" i="1"/>
  <c r="M44" i="1"/>
  <c r="H32" i="2"/>
  <c r="O47" i="1"/>
  <c r="O46" i="1"/>
  <c r="O45" i="1"/>
  <c r="O44" i="1"/>
  <c r="I54" i="2"/>
  <c r="I13" i="2"/>
  <c r="T24" i="1"/>
  <c r="E25" i="2"/>
  <c r="E50" i="2"/>
  <c r="J34" i="2"/>
  <c r="S46" i="1"/>
  <c r="S45" i="1"/>
  <c r="S44" i="1"/>
  <c r="S47" i="1"/>
  <c r="C52" i="2"/>
  <c r="C25" i="2"/>
  <c r="F29" i="2"/>
  <c r="I35" i="2"/>
  <c r="N47" i="1"/>
  <c r="N46" i="1"/>
  <c r="N45" i="1"/>
  <c r="N44" i="1"/>
  <c r="U35" i="2" l="1"/>
  <c r="U19" i="2"/>
  <c r="U36" i="2" s="1"/>
  <c r="G20" i="2"/>
  <c r="G29" i="2" s="1"/>
  <c r="G28" i="2"/>
  <c r="H15" i="2" s="1"/>
  <c r="H20" i="2" s="1"/>
  <c r="J19" i="2"/>
  <c r="J36" i="2" s="1"/>
  <c r="K54" i="2"/>
  <c r="K13" i="2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J33" i="2"/>
  <c r="F30" i="2"/>
  <c r="I32" i="2"/>
  <c r="K34" i="2"/>
  <c r="J35" i="2"/>
  <c r="J13" i="2"/>
  <c r="J54" i="2"/>
  <c r="H28" i="2" l="1"/>
  <c r="I15" i="2" s="1"/>
  <c r="I14" i="2" s="1"/>
  <c r="H14" i="2"/>
  <c r="F24" i="2"/>
  <c r="V43" i="1"/>
  <c r="K33" i="2"/>
  <c r="J32" i="2"/>
  <c r="K35" i="2"/>
  <c r="K19" i="2"/>
  <c r="K36" i="2" s="1"/>
  <c r="L34" i="2"/>
  <c r="H29" i="2"/>
  <c r="I20" i="2" l="1"/>
  <c r="I29" i="2" s="1"/>
  <c r="I28" i="2"/>
  <c r="J15" i="2" s="1"/>
  <c r="J28" i="2" s="1"/>
  <c r="K15" i="2" s="1"/>
  <c r="K14" i="2" s="1"/>
  <c r="V46" i="1"/>
  <c r="V47" i="1"/>
  <c r="F25" i="2"/>
  <c r="F49" i="2"/>
  <c r="F51" i="2"/>
  <c r="F50" i="2"/>
  <c r="F52" i="2"/>
  <c r="G22" i="2"/>
  <c r="V45" i="1"/>
  <c r="V44" i="1"/>
  <c r="L33" i="2"/>
  <c r="M19" i="2"/>
  <c r="L35" i="2"/>
  <c r="K32" i="2"/>
  <c r="L19" i="2"/>
  <c r="L36" i="2" s="1"/>
  <c r="M34" i="2"/>
  <c r="J20" i="2" l="1"/>
  <c r="J14" i="2"/>
  <c r="M33" i="2"/>
  <c r="J29" i="2"/>
  <c r="G30" i="2"/>
  <c r="K20" i="2"/>
  <c r="K28" i="2"/>
  <c r="L15" i="2" s="1"/>
  <c r="L32" i="2"/>
  <c r="M36" i="2"/>
  <c r="N34" i="2"/>
  <c r="M35" i="2"/>
  <c r="G24" i="2" l="1"/>
  <c r="N33" i="2"/>
  <c r="M32" i="2"/>
  <c r="O34" i="2"/>
  <c r="L20" i="2"/>
  <c r="L28" i="2"/>
  <c r="M15" i="2" s="1"/>
  <c r="K29" i="2"/>
  <c r="L14" i="2"/>
  <c r="N35" i="2"/>
  <c r="N19" i="2"/>
  <c r="N36" i="2" s="1"/>
  <c r="G25" i="2" l="1"/>
  <c r="G38" i="2"/>
  <c r="O33" i="2"/>
  <c r="M20" i="2"/>
  <c r="M28" i="2"/>
  <c r="N15" i="2" s="1"/>
  <c r="M14" i="2"/>
  <c r="O35" i="2"/>
  <c r="L29" i="2"/>
  <c r="O19" i="2"/>
  <c r="O36" i="2" s="1"/>
  <c r="P34" i="2"/>
  <c r="P19" i="2"/>
  <c r="Q36" i="2" s="1"/>
  <c r="N32" i="2"/>
  <c r="P33" i="2" l="1"/>
  <c r="N28" i="2"/>
  <c r="O15" i="2" s="1"/>
  <c r="O14" i="2" s="1"/>
  <c r="N20" i="2"/>
  <c r="N14" i="2"/>
  <c r="O32" i="2"/>
  <c r="P36" i="2"/>
  <c r="H21" i="2"/>
  <c r="H22" i="2" s="1"/>
  <c r="P35" i="2"/>
  <c r="M29" i="2"/>
  <c r="Q32" i="2" l="1"/>
  <c r="H30" i="2"/>
  <c r="N29" i="2"/>
  <c r="P32" i="2"/>
  <c r="O20" i="2"/>
  <c r="O28" i="2"/>
  <c r="P15" i="2" s="1"/>
  <c r="R32" i="2" l="1"/>
  <c r="H24" i="2"/>
  <c r="P20" i="2"/>
  <c r="P28" i="2"/>
  <c r="Q15" i="2" s="1"/>
  <c r="P14" i="2"/>
  <c r="O29" i="2"/>
  <c r="Q20" i="2" l="1"/>
  <c r="Q28" i="2"/>
  <c r="R15" i="2" s="1"/>
  <c r="Q14" i="2"/>
  <c r="S32" i="2"/>
  <c r="H25" i="2"/>
  <c r="H38" i="2"/>
  <c r="I21" i="2" s="1"/>
  <c r="I22" i="2" s="1"/>
  <c r="P29" i="2"/>
  <c r="T32" i="2" l="1"/>
  <c r="R28" i="2"/>
  <c r="S15" i="2" s="1"/>
  <c r="R20" i="2"/>
  <c r="R14" i="2"/>
  <c r="Q29" i="2"/>
  <c r="I30" i="2"/>
  <c r="R29" i="2" l="1"/>
  <c r="S28" i="2"/>
  <c r="T15" i="2" s="1"/>
  <c r="S20" i="2"/>
  <c r="S14" i="2"/>
  <c r="U32" i="2"/>
  <c r="I24" i="2"/>
  <c r="I38" i="2" s="1"/>
  <c r="S29" i="2" l="1"/>
  <c r="T14" i="2"/>
  <c r="T28" i="2"/>
  <c r="U15" i="2" s="1"/>
  <c r="T20" i="2"/>
  <c r="I25" i="2"/>
  <c r="J21" i="2"/>
  <c r="J22" i="2" s="1"/>
  <c r="J23" i="2" s="1"/>
  <c r="T29" i="2" l="1"/>
  <c r="U28" i="2"/>
  <c r="U20" i="2"/>
  <c r="U14" i="2"/>
  <c r="J30" i="2"/>
  <c r="U29" i="2" l="1"/>
  <c r="J24" i="2"/>
  <c r="J25" i="2" l="1"/>
  <c r="J38" i="2"/>
  <c r="K21" i="2" s="1"/>
  <c r="K22" i="2" s="1"/>
  <c r="K23" i="2" s="1"/>
  <c r="K30" i="2" l="1"/>
  <c r="K24" i="2"/>
  <c r="K25" i="2" l="1"/>
  <c r="K38" i="2"/>
  <c r="L21" i="2" l="1"/>
  <c r="L22" i="2" s="1"/>
  <c r="L23" i="2" s="1"/>
  <c r="L30" i="2" l="1"/>
  <c r="L24" i="2" l="1"/>
  <c r="L25" i="2"/>
  <c r="L38" i="2"/>
  <c r="M21" i="2" l="1"/>
  <c r="M22" i="2" s="1"/>
  <c r="M23" i="2" s="1"/>
  <c r="M30" i="2" l="1"/>
  <c r="M24" i="2" l="1"/>
  <c r="M25" i="2" l="1"/>
  <c r="M38" i="2"/>
  <c r="N21" i="2" l="1"/>
  <c r="N22" i="2" s="1"/>
  <c r="N23" i="2" s="1"/>
  <c r="N30" i="2" l="1"/>
  <c r="N24" i="2" l="1"/>
  <c r="N25" i="2"/>
  <c r="N38" i="2"/>
  <c r="O21" i="2" l="1"/>
  <c r="O22" i="2" s="1"/>
  <c r="O23" i="2" s="1"/>
  <c r="O30" i="2" l="1"/>
  <c r="O24" i="2" l="1"/>
  <c r="O25" i="2"/>
  <c r="O38" i="2"/>
  <c r="P21" i="2" l="1"/>
  <c r="P22" i="2" s="1"/>
  <c r="P23" i="2" s="1"/>
  <c r="P30" i="2" l="1"/>
  <c r="P24" i="2" l="1"/>
  <c r="P25" i="2" l="1"/>
  <c r="P38" i="2"/>
  <c r="Q21" i="2" l="1"/>
  <c r="Q22" i="2" s="1"/>
  <c r="Q23" i="2" s="1"/>
  <c r="Q30" i="2" l="1"/>
  <c r="Q24" i="2" l="1"/>
  <c r="Q25" i="2"/>
  <c r="Q38" i="2"/>
  <c r="R21" i="2" l="1"/>
  <c r="R22" i="2" s="1"/>
  <c r="R23" i="2" s="1"/>
  <c r="R30" i="2" l="1"/>
  <c r="R24" i="2" l="1"/>
  <c r="R25" i="2"/>
  <c r="R38" i="2"/>
  <c r="S21" i="2" l="1"/>
  <c r="S22" i="2" s="1"/>
  <c r="S23" i="2" s="1"/>
  <c r="S30" i="2" l="1"/>
  <c r="S24" i="2" l="1"/>
  <c r="S25" i="2" l="1"/>
  <c r="S38" i="2"/>
  <c r="T21" i="2" l="1"/>
  <c r="T22" i="2" s="1"/>
  <c r="T23" i="2" s="1"/>
  <c r="T30" i="2" l="1"/>
  <c r="T24" i="2" l="1"/>
  <c r="T25" i="2" s="1"/>
  <c r="T38" i="2" l="1"/>
  <c r="U21" i="2"/>
  <c r="U22" i="2" s="1"/>
  <c r="U23" i="2" s="1"/>
  <c r="U30" i="2" l="1"/>
  <c r="U24" i="2" l="1"/>
  <c r="U25" i="2" l="1"/>
  <c r="V24" i="2"/>
  <c r="U38" i="2"/>
  <c r="W24" i="2" l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<sst xmlns="http://schemas.openxmlformats.org/spreadsheetml/2006/main" count="129" uniqueCount="86">
  <si>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</si>
  <si>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</si>
  <si>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</si>
  <si>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</si>
  <si>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</si>
  <si>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</si>
  <si>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</si>
  <si>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</si>
  <si>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</si>
  <si>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</si>
  <si>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</si>
  <si>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</si>
  <si>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</si>
  <si>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</si>
  <si>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</si>
  <si>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</si>
  <si>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</si>
  <si>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</si>
  <si>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</si>
  <si>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</si>
  <si>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</si>
  <si>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</si>
  <si>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</si>
  <si>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</si>
  <si>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</si>
  <si>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</si>
  <si>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</si>
  <si>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</si>
  <si>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</si>
  <si>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</si>
  <si>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</si>
  <si>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</si>
  <si>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</si>
  <si>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</si>
  <si>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</si>
  <si>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</si>
  <si>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</si>
  <si>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</si>
  <si>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</si>
  <si>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</si>
  <si>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</si>
  <si>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</si>
  <si>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</si>
  <si>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</si>
  <si>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</si>
  <si>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</si>
  <si>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</si>
  <si>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</si>
  <si>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</si>
  <si>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</si>
  <si>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</si>
  <si>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</si>
  <si>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</si>
  <si>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</si>
  <si>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</si>
  <si>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</si>
  <si>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</si>
  <si>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</si>
  <si>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</si>
  <si>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</si>
  <si>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</si>
  <si>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</si>
  <si>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</si>
  <si>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</si>
  <si>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</si>
  <si>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Product</t>
  </si>
  <si>
    <t>Product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</si>
  <si>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</si>
  <si>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</si>
  <si>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</si>
  <si>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</si>
  <si>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</si>
  <si>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</si>
  <si>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</si>
  <si>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</si>
  <si>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Snowflake Inc (SNOW)</t>
  </si>
  <si>
    <t>Frank Slootman</t>
  </si>
  <si>
    <t>Benoit Dageville</t>
  </si>
  <si>
    <t>Thierry Cruanes</t>
  </si>
  <si>
    <t>Q121</t>
  </si>
  <si>
    <t>Q221</t>
  </si>
  <si>
    <t>Q321</t>
  </si>
  <si>
    <t>Q421</t>
  </si>
  <si>
    <t>PRODUCTS</t>
  </si>
  <si>
    <t>Services and other</t>
  </si>
  <si>
    <t>Services and other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</si>
</sst>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0" fontId="8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7</xdr:row>
      <xdr:rowOff>152400</xdr:rowOff>
    </xdr:from>
    <xdr:to>
      <xdr:col>6</xdr:col>
      <xdr:colOff>165100</xdr:colOff>
      <xdr:row>56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65800" y="1308100"/>
          <a:ext cx="0" cy="9271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51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frankslootman/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snowflake.com/overview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linkedin.com/in/thierry-cruanes-3927363/" TargetMode="External"/><Relationship Id="rId4" Type="http://schemas.openxmlformats.org/officeDocument/2006/relationships/hyperlink" Target="https://www.linkedin.com/in/benoit-dageville-3011845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640147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55"/>
  <sheetViews>
    <sheetView tabSelected="1" zoomScale="125" zoomScaleNormal="125" workbookViewId="0">
      <pane xSplit="1" ySplit="9" topLeftCell="E10" activePane="bottomRight" state="frozen"/>
      <selection pane="topRight" activeCell="B1" sqref="B1"/>
      <selection pane="bottomLeft" activeCell="A11" sqref="A11"/>
      <selection pane="bottomRight" activeCell="H16" sqref="H16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68" t="s">
        <v>62</v>
      </c>
      <c r="B1" s="2" t="s">
        <v>75</v>
      </c>
    </row>
    <row r="2" spans="1:117" x14ac:dyDescent="0.15">
      <c r="B2" s="3" t="s">
        <v>44</v>
      </c>
      <c r="C2" s="4">
        <v>297.55</v>
      </c>
      <c r="D2" s="66">
        <v>44203</v>
      </c>
      <c r="E2" s="6" t="s">
        <v>29</v>
      </c>
      <c r="F2" s="7">
        <v>0.01</v>
      </c>
      <c r="I2" s="16"/>
      <c r="L2" s="2"/>
    </row>
    <row r="3" spans="1:117" x14ac:dyDescent="0.15">
      <c r="A3" s="2" t="s">
        <v>42</v>
      </c>
      <c r="B3" s="3" t="s">
        <v>17</v>
      </c>
      <c r="C3" s="8">
        <f>Reports!Y20</f>
        <v>283</v>
      </c>
      <c r="D3" s="67" t="s">
        <v>82</v>
      </c>
      <c r="E3" s="6" t="s">
        <v>30</v>
      </c>
      <c r="F3" s="7">
        <v>0.02</v>
      </c>
      <c r="G3" s="5" t="s">
        <v>63</v>
      </c>
      <c r="I3" s="16"/>
    </row>
    <row r="4" spans="1:117" x14ac:dyDescent="0.15">
      <c r="A4" s="69" t="s">
        <v>76</v>
      </c>
      <c r="B4" s="3" t="s">
        <v>45</v>
      </c>
      <c r="C4" s="10">
        <f>C2*C3</f>
        <v>84206.650000000009</v>
      </c>
      <c r="D4" s="67"/>
      <c r="E4" s="6" t="s">
        <v>31</v>
      </c>
      <c r="F4" s="7">
        <f>6%</f>
        <v>0.06</v>
      </c>
      <c r="G4" s="5" t="s">
        <v>70</v>
      </c>
      <c r="I4" s="19"/>
      <c r="L4" s="9" t="s">
        <v>71</v>
      </c>
    </row>
    <row r="5" spans="1:117" x14ac:dyDescent="0.15">
      <c r="B5" s="3" t="s">
        <v>26</v>
      </c>
      <c r="C5" s="8">
        <f>Reports!X32</f>
        <v>4808</v>
      </c>
      <c r="D5" s="67" t="s">
        <v>81</v>
      </c>
      <c r="E5" s="6" t="s">
        <v>32</v>
      </c>
      <c r="F5" s="11">
        <f>NPV(F4,G24:GR24)</f>
        <v>22565.377744334575</v>
      </c>
      <c r="G5" s="5" t="s">
        <v>72</v>
      </c>
      <c r="I5" s="19"/>
    </row>
    <row r="6" spans="1:117" x14ac:dyDescent="0.15">
      <c r="A6" s="2" t="s">
        <v>43</v>
      </c>
      <c r="B6" s="3" t="s">
        <v>46</v>
      </c>
      <c r="C6" s="10">
        <f>C4-C5</f>
        <v>79398.650000000009</v>
      </c>
      <c r="D6" s="67"/>
      <c r="E6" s="12" t="s">
        <v>33</v>
      </c>
      <c r="F6" s="13">
        <f>F5+C5</f>
        <v>27373.377744334575</v>
      </c>
      <c r="I6" s="19"/>
    </row>
    <row r="7" spans="1:117" x14ac:dyDescent="0.15">
      <c r="A7" s="69" t="s">
        <v>77</v>
      </c>
      <c r="B7" s="5" t="s">
        <v>47</v>
      </c>
      <c r="C7" s="44">
        <f>C6/C3</f>
        <v>280.56060070671379</v>
      </c>
      <c r="D7" s="67"/>
      <c r="E7" s="14" t="s">
        <v>47</v>
      </c>
      <c r="F7" s="43">
        <f>F6/C3</f>
        <v>96.725716411076235</v>
      </c>
      <c r="G7" s="19">
        <f>F7/C2-1</f>
        <v>-0.67492617573155356</v>
      </c>
    </row>
    <row r="8" spans="1:117" x14ac:dyDescent="0.15">
      <c r="A8" s="69" t="s">
        <v>78</v>
      </c>
      <c r="E8" s="6"/>
      <c r="F8" s="15"/>
    </row>
    <row r="9" spans="1:117" x14ac:dyDescent="0.15">
      <c r="B9" s="39">
        <v>2016</v>
      </c>
      <c r="C9" s="39">
        <v>2017</v>
      </c>
      <c r="D9" s="39">
        <f>C9+1</f>
        <v>2018</v>
      </c>
      <c r="E9" s="39">
        <f t="shared" ref="E9:T9" si="0">D9+1</f>
        <v>2019</v>
      </c>
      <c r="F9" s="39">
        <f t="shared" si="0"/>
        <v>2020</v>
      </c>
      <c r="G9" s="39">
        <f t="shared" si="0"/>
        <v>2021</v>
      </c>
      <c r="H9" s="39">
        <f t="shared" si="0"/>
        <v>2022</v>
      </c>
      <c r="I9" s="39">
        <f t="shared" si="0"/>
        <v>2023</v>
      </c>
      <c r="J9" s="39">
        <f t="shared" si="0"/>
        <v>2024</v>
      </c>
      <c r="K9" s="39">
        <f t="shared" si="0"/>
        <v>2025</v>
      </c>
      <c r="L9" s="39">
        <f t="shared" si="0"/>
        <v>2026</v>
      </c>
      <c r="M9" s="39">
        <f t="shared" si="0"/>
        <v>2027</v>
      </c>
      <c r="N9" s="39">
        <f t="shared" si="0"/>
        <v>2028</v>
      </c>
      <c r="O9" s="39">
        <f t="shared" si="0"/>
        <v>2029</v>
      </c>
      <c r="P9" s="39">
        <f t="shared" si="0"/>
        <v>2030</v>
      </c>
      <c r="Q9" s="39">
        <f t="shared" si="0"/>
        <v>2031</v>
      </c>
      <c r="R9" s="39">
        <f t="shared" si="0"/>
        <v>2032</v>
      </c>
      <c r="S9" s="39">
        <f t="shared" si="0"/>
        <v>2033</v>
      </c>
      <c r="T9" s="39">
        <f t="shared" si="0"/>
        <v>2034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65</v>
      </c>
      <c r="B10" s="23"/>
      <c r="C10" s="23"/>
      <c r="D10" s="38"/>
      <c r="E10" s="38">
        <v>95.683000000000007</v>
      </c>
      <c r="F10" s="38">
        <v>252.22900000000001</v>
      </c>
      <c r="G10" s="38">
        <f>SUM(Reports!V3:Y3)</f>
        <v>526.16599999999994</v>
      </c>
      <c r="H10" s="38">
        <f>G10*1.5</f>
        <v>789.24899999999991</v>
      </c>
      <c r="I10" s="38">
        <f t="shared" ref="I10:K10" si="1">H10*1.5</f>
        <v>1183.8734999999999</v>
      </c>
      <c r="J10" s="38">
        <f t="shared" si="1"/>
        <v>1775.81025</v>
      </c>
      <c r="K10" s="38">
        <f t="shared" si="1"/>
        <v>2663.7153749999998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A11" s="8" t="s">
        <v>84</v>
      </c>
      <c r="B11" s="23"/>
      <c r="C11" s="23"/>
      <c r="D11" s="38"/>
      <c r="E11" s="38">
        <v>0.98299999999999998</v>
      </c>
      <c r="F11" s="38">
        <v>12.519</v>
      </c>
      <c r="G11" s="38">
        <f>SUM(Reports!V4:Y4)</f>
        <v>37.417999999999999</v>
      </c>
      <c r="H11" s="38">
        <f>G11*1.5</f>
        <v>56.126999999999995</v>
      </c>
      <c r="I11" s="38">
        <f t="shared" ref="I11:K11" si="2">H11*1.5</f>
        <v>84.190499999999986</v>
      </c>
      <c r="J11" s="38">
        <f t="shared" si="2"/>
        <v>126.28574999999998</v>
      </c>
      <c r="K11" s="38">
        <f t="shared" si="2"/>
        <v>189.42862499999995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</row>
    <row r="12" spans="1:117" s="39" customFormat="1" x14ac:dyDescent="0.15">
      <c r="F12" s="38"/>
      <c r="G12" s="38">
        <v>538</v>
      </c>
      <c r="H12" s="38"/>
      <c r="I12" s="38"/>
    </row>
    <row r="13" spans="1:117" x14ac:dyDescent="0.15">
      <c r="A13" s="2" t="s">
        <v>4</v>
      </c>
      <c r="B13" s="24">
        <f>SUM(B10:B11)</f>
        <v>0</v>
      </c>
      <c r="C13" s="24">
        <f>SUM(C10:C11)</f>
        <v>0</v>
      </c>
      <c r="D13" s="24">
        <f>SUM(D10:D11)</f>
        <v>0</v>
      </c>
      <c r="E13" s="24">
        <f>SUM(E10:E11)</f>
        <v>96.666000000000011</v>
      </c>
      <c r="F13" s="24">
        <f>SUM(F10:F11)</f>
        <v>264.74799999999999</v>
      </c>
      <c r="G13" s="47">
        <f>SUM(G10:G11)</f>
        <v>563.58399999999995</v>
      </c>
      <c r="H13" s="47">
        <f>SUM(H10:H11)</f>
        <v>845.37599999999986</v>
      </c>
      <c r="I13" s="47">
        <f>SUM(I10:I11)</f>
        <v>1268.0639999999999</v>
      </c>
      <c r="J13" s="47">
        <f>SUM(J10:J11)</f>
        <v>1902.096</v>
      </c>
      <c r="K13" s="47">
        <f>SUM(K10:K11)</f>
        <v>2853.1439999999998</v>
      </c>
      <c r="L13" s="47">
        <f>K13*1.25</f>
        <v>3566.43</v>
      </c>
      <c r="M13" s="47">
        <f t="shared" ref="M13:P13" si="3">L13*1.25</f>
        <v>4458.0374999999995</v>
      </c>
      <c r="N13" s="47">
        <f t="shared" si="3"/>
        <v>5572.5468749999991</v>
      </c>
      <c r="O13" s="47">
        <f t="shared" si="3"/>
        <v>6965.6835937499991</v>
      </c>
      <c r="P13" s="47">
        <f t="shared" si="3"/>
        <v>8707.1044921874982</v>
      </c>
      <c r="Q13" s="47">
        <f>P13*1.1</f>
        <v>9577.8149414062482</v>
      </c>
      <c r="R13" s="47">
        <f t="shared" ref="R13:U13" si="4">Q13*1.1</f>
        <v>10535.596435546873</v>
      </c>
      <c r="S13" s="47">
        <f t="shared" si="4"/>
        <v>11589.156079101562</v>
      </c>
      <c r="T13" s="47">
        <f t="shared" si="4"/>
        <v>12748.071687011719</v>
      </c>
      <c r="U13" s="47">
        <f t="shared" si="4"/>
        <v>14022.878855712892</v>
      </c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</row>
    <row r="14" spans="1:117" x14ac:dyDescent="0.15">
      <c r="A14" s="3" t="s">
        <v>5</v>
      </c>
      <c r="B14" s="23">
        <f>SUM(Reports!B7:E7)</f>
        <v>744.31700000000001</v>
      </c>
      <c r="C14" s="23">
        <f>SUM(Reports!F7:I7)</f>
        <v>819.90800000000002</v>
      </c>
      <c r="D14" s="38">
        <f>SUM(Reports!J7:M7)</f>
        <v>1010.491</v>
      </c>
      <c r="E14" s="38">
        <v>51.753</v>
      </c>
      <c r="F14" s="38">
        <v>116.557</v>
      </c>
      <c r="G14" s="23">
        <f>G13-G15</f>
        <v>248.12145998458914</v>
      </c>
      <c r="H14" s="23">
        <f t="shared" ref="H14" si="5">H13-H15</f>
        <v>372.18218997688365</v>
      </c>
      <c r="I14" s="23">
        <f t="shared" ref="I14:P14" si="6">I13-I15</f>
        <v>558.2732849653255</v>
      </c>
      <c r="J14" s="23">
        <f t="shared" si="6"/>
        <v>837.40992744798837</v>
      </c>
      <c r="K14" s="23">
        <f>K13-K15</f>
        <v>1256.1148911719824</v>
      </c>
      <c r="L14" s="23">
        <f t="shared" si="6"/>
        <v>1570.1436139649782</v>
      </c>
      <c r="M14" s="23">
        <f t="shared" si="6"/>
        <v>1962.6795174562226</v>
      </c>
      <c r="N14" s="23">
        <f t="shared" si="6"/>
        <v>2453.3493968202783</v>
      </c>
      <c r="O14" s="23">
        <f t="shared" si="6"/>
        <v>3066.6867460253479</v>
      </c>
      <c r="P14" s="23">
        <f t="shared" si="6"/>
        <v>3833.3584325316842</v>
      </c>
      <c r="Q14" s="23">
        <f t="shared" ref="Q14:U14" si="7">Q13-Q15</f>
        <v>4216.6942757848528</v>
      </c>
      <c r="R14" s="23">
        <f t="shared" si="7"/>
        <v>4638.3637033633386</v>
      </c>
      <c r="S14" s="23">
        <f t="shared" si="7"/>
        <v>5102.2000736996724</v>
      </c>
      <c r="T14" s="23">
        <f t="shared" si="7"/>
        <v>5612.4200810696402</v>
      </c>
      <c r="U14" s="23">
        <f t="shared" si="7"/>
        <v>6173.6620891766051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</row>
    <row r="15" spans="1:117" x14ac:dyDescent="0.15">
      <c r="A15" s="3" t="s">
        <v>6</v>
      </c>
      <c r="B15" s="27">
        <f>B13-B14</f>
        <v>-744.31700000000001</v>
      </c>
      <c r="C15" s="27">
        <f>C13-C14</f>
        <v>-819.90800000000002</v>
      </c>
      <c r="D15" s="27">
        <f>D13-D14</f>
        <v>-1010.491</v>
      </c>
      <c r="E15" s="27">
        <f>E13-E14</f>
        <v>44.913000000000011</v>
      </c>
      <c r="F15" s="27">
        <f>F13-F14</f>
        <v>148.19099999999997</v>
      </c>
      <c r="G15" s="23">
        <f>G13*F28</f>
        <v>315.46254001541081</v>
      </c>
      <c r="H15" s="23">
        <f t="shared" ref="H15:U15" si="8">H13*G28</f>
        <v>473.19381002311621</v>
      </c>
      <c r="I15" s="23">
        <f t="shared" si="8"/>
        <v>709.79071503467435</v>
      </c>
      <c r="J15" s="23">
        <f t="shared" si="8"/>
        <v>1064.6860725520116</v>
      </c>
      <c r="K15" s="23">
        <f>K13*J28</f>
        <v>1597.0291088280173</v>
      </c>
      <c r="L15" s="23">
        <f t="shared" si="8"/>
        <v>1996.2863860350217</v>
      </c>
      <c r="M15" s="23">
        <f t="shared" si="8"/>
        <v>2495.3579825437769</v>
      </c>
      <c r="N15" s="23">
        <f t="shared" si="8"/>
        <v>3119.1974781797207</v>
      </c>
      <c r="O15" s="23">
        <f t="shared" si="8"/>
        <v>3898.9968477246512</v>
      </c>
      <c r="P15" s="23">
        <f t="shared" si="8"/>
        <v>4873.746059655814</v>
      </c>
      <c r="Q15" s="23">
        <f t="shared" si="8"/>
        <v>5361.1206656213953</v>
      </c>
      <c r="R15" s="23">
        <f t="shared" si="8"/>
        <v>5897.2327321835346</v>
      </c>
      <c r="S15" s="23">
        <f t="shared" si="8"/>
        <v>6486.9560054018893</v>
      </c>
      <c r="T15" s="23">
        <f t="shared" si="8"/>
        <v>7135.6516059420792</v>
      </c>
      <c r="U15" s="23">
        <f t="shared" si="8"/>
        <v>7849.2167665362867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</row>
    <row r="16" spans="1:117" x14ac:dyDescent="0.15">
      <c r="A16" s="3" t="s">
        <v>7</v>
      </c>
      <c r="B16" s="23">
        <f>SUM(Reports!B9:E9)</f>
        <v>862.73</v>
      </c>
      <c r="C16" s="23">
        <f>SUM(Reports!F9:I9)</f>
        <v>975.98699999999985</v>
      </c>
      <c r="D16" s="38">
        <f>SUM(Reports!J9:M9)</f>
        <v>1224.0590000000002</v>
      </c>
      <c r="E16" s="38">
        <v>68.680999999999997</v>
      </c>
      <c r="F16" s="38">
        <v>105</v>
      </c>
      <c r="G16" s="23">
        <f>F16*1.45</f>
        <v>152.25</v>
      </c>
      <c r="H16" s="23">
        <f t="shared" ref="H16:K16" si="9">G16*1.45</f>
        <v>220.76249999999999</v>
      </c>
      <c r="I16" s="23">
        <f t="shared" si="9"/>
        <v>320.10562499999997</v>
      </c>
      <c r="J16" s="23">
        <f t="shared" si="9"/>
        <v>464.15315624999994</v>
      </c>
      <c r="K16" s="23">
        <f t="shared" si="9"/>
        <v>673.02207656249993</v>
      </c>
      <c r="L16" s="23">
        <f>K16*1.15</f>
        <v>773.97538804687485</v>
      </c>
      <c r="M16" s="23">
        <f t="shared" ref="M16:P16" si="10">L16*1.15</f>
        <v>890.071696253906</v>
      </c>
      <c r="N16" s="23">
        <f t="shared" si="10"/>
        <v>1023.5824506919918</v>
      </c>
      <c r="O16" s="23">
        <f t="shared" si="10"/>
        <v>1177.1198182957905</v>
      </c>
      <c r="P16" s="23">
        <f t="shared" si="10"/>
        <v>1353.687791040159</v>
      </c>
      <c r="Q16" s="23">
        <f>P16*1.05</f>
        <v>1421.3721805921671</v>
      </c>
      <c r="R16" s="23">
        <f t="shared" ref="R16:U16" si="11">Q16*1.05</f>
        <v>1492.4407896217756</v>
      </c>
      <c r="S16" s="23">
        <f t="shared" si="11"/>
        <v>1567.0628291028645</v>
      </c>
      <c r="T16" s="23">
        <f t="shared" si="11"/>
        <v>1645.4159705580078</v>
      </c>
      <c r="U16" s="23">
        <f t="shared" si="11"/>
        <v>1727.6867690859083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8</v>
      </c>
      <c r="B17" s="23">
        <f>SUM(Reports!B10:E10)</f>
        <v>1683.242</v>
      </c>
      <c r="C17" s="23">
        <f>SUM(Reports!F10:I10)</f>
        <v>1910.1970000000001</v>
      </c>
      <c r="D17" s="38">
        <f>SUM(Reports!J10:M10)</f>
        <v>2197.5919999999996</v>
      </c>
      <c r="E17" s="38">
        <v>125.642</v>
      </c>
      <c r="F17" s="38">
        <v>294</v>
      </c>
      <c r="G17" s="23">
        <f t="shared" ref="G17:K18" si="12">F17*1.45</f>
        <v>426.3</v>
      </c>
      <c r="H17" s="23">
        <f t="shared" si="12"/>
        <v>618.13499999999999</v>
      </c>
      <c r="I17" s="23">
        <f t="shared" si="12"/>
        <v>896.29575</v>
      </c>
      <c r="J17" s="23">
        <f t="shared" si="12"/>
        <v>1299.6288374999999</v>
      </c>
      <c r="K17" s="23">
        <f t="shared" si="12"/>
        <v>1884.4618143749999</v>
      </c>
      <c r="L17" s="23">
        <f>K17*1.1</f>
        <v>2072.9079958124998</v>
      </c>
      <c r="M17" s="23">
        <f t="shared" ref="M17:P17" si="13">L17*1.1</f>
        <v>2280.1987953937501</v>
      </c>
      <c r="N17" s="23">
        <f t="shared" si="13"/>
        <v>2508.2186749331254</v>
      </c>
      <c r="O17" s="23">
        <f t="shared" si="13"/>
        <v>2759.0405424264382</v>
      </c>
      <c r="P17" s="23">
        <f t="shared" si="13"/>
        <v>3034.9445966690823</v>
      </c>
      <c r="Q17" s="23">
        <f>P17*0.95</f>
        <v>2883.1973668356281</v>
      </c>
      <c r="R17" s="23">
        <f t="shared" ref="R17:U17" si="14">Q17*0.95</f>
        <v>2739.0374984938467</v>
      </c>
      <c r="S17" s="23">
        <f t="shared" si="14"/>
        <v>2602.085623569154</v>
      </c>
      <c r="T17" s="23">
        <f t="shared" si="14"/>
        <v>2471.9813423906962</v>
      </c>
      <c r="U17" s="23">
        <f t="shared" si="14"/>
        <v>2348.3822752711612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9</v>
      </c>
      <c r="B18" s="23">
        <f>SUM(Reports!B11:E11)</f>
        <v>602.12699999999995</v>
      </c>
      <c r="C18" s="23">
        <f>SUM(Reports!F11:I11)</f>
        <v>654.7360000000001</v>
      </c>
      <c r="D18" s="38">
        <f>SUM(Reports!J11:M11)</f>
        <v>701.26799999999992</v>
      </c>
      <c r="E18" s="38">
        <v>36</v>
      </c>
      <c r="F18" s="38">
        <v>108</v>
      </c>
      <c r="G18" s="23">
        <f>F18*1.25</f>
        <v>135</v>
      </c>
      <c r="H18" s="23">
        <f t="shared" ref="H18:K18" si="15">G18*1.25</f>
        <v>168.75</v>
      </c>
      <c r="I18" s="23">
        <f t="shared" si="15"/>
        <v>210.9375</v>
      </c>
      <c r="J18" s="23">
        <f t="shared" si="15"/>
        <v>263.671875</v>
      </c>
      <c r="K18" s="23">
        <f t="shared" si="15"/>
        <v>329.58984375</v>
      </c>
      <c r="L18" s="23">
        <f>K18*1.05</f>
        <v>346.0693359375</v>
      </c>
      <c r="M18" s="23">
        <f t="shared" ref="M18:P18" si="16">L18*1.05</f>
        <v>363.372802734375</v>
      </c>
      <c r="N18" s="23">
        <f t="shared" si="16"/>
        <v>381.54144287109375</v>
      </c>
      <c r="O18" s="23">
        <f t="shared" si="16"/>
        <v>400.61851501464844</v>
      </c>
      <c r="P18" s="23">
        <f t="shared" si="16"/>
        <v>420.64944076538086</v>
      </c>
      <c r="Q18" s="23">
        <f t="shared" ref="Q18:U18" si="17">P18*0.98</f>
        <v>412.23645195007322</v>
      </c>
      <c r="R18" s="23">
        <f t="shared" si="17"/>
        <v>403.99172291107175</v>
      </c>
      <c r="S18" s="23">
        <f t="shared" si="17"/>
        <v>395.91188845285029</v>
      </c>
      <c r="T18" s="23">
        <f t="shared" si="17"/>
        <v>387.99365068379331</v>
      </c>
      <c r="U18" s="23">
        <f t="shared" si="17"/>
        <v>380.23377767011743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10</v>
      </c>
      <c r="B19" s="27">
        <f>SUM(B16:B18)</f>
        <v>3148.0989999999997</v>
      </c>
      <c r="C19" s="27">
        <f>SUM(C16:C18)</f>
        <v>3540.92</v>
      </c>
      <c r="D19" s="27">
        <f>SUM(D16:D18)</f>
        <v>4122.9189999999999</v>
      </c>
      <c r="E19" s="27">
        <f>SUM(E16:E18)</f>
        <v>230.32299999999998</v>
      </c>
      <c r="F19" s="27">
        <f>SUM(F16:F18)</f>
        <v>507</v>
      </c>
      <c r="G19" s="23">
        <f t="shared" ref="G19:H19" si="18">SUM(G16:G18)</f>
        <v>713.55</v>
      </c>
      <c r="H19" s="23">
        <f t="shared" si="18"/>
        <v>1007.6475</v>
      </c>
      <c r="I19" s="23">
        <f t="shared" ref="I19:P19" si="19">SUM(I16:I18)</f>
        <v>1427.3388749999999</v>
      </c>
      <c r="J19" s="23">
        <f t="shared" si="19"/>
        <v>2027.4538687499999</v>
      </c>
      <c r="K19" s="23">
        <f t="shared" si="19"/>
        <v>2887.0737346874998</v>
      </c>
      <c r="L19" s="23">
        <f t="shared" si="19"/>
        <v>3192.9527197968746</v>
      </c>
      <c r="M19" s="23">
        <f t="shared" si="19"/>
        <v>3533.6432943820309</v>
      </c>
      <c r="N19" s="23">
        <f t="shared" si="19"/>
        <v>3913.3425684962108</v>
      </c>
      <c r="O19" s="23">
        <f t="shared" si="19"/>
        <v>4336.7788757368771</v>
      </c>
      <c r="P19" s="23">
        <f t="shared" si="19"/>
        <v>4809.2818284746227</v>
      </c>
      <c r="Q19" s="23">
        <f t="shared" ref="Q19:U19" si="20">SUM(Q16:Q18)</f>
        <v>4716.8059993778688</v>
      </c>
      <c r="R19" s="23">
        <f t="shared" si="20"/>
        <v>4635.470011026694</v>
      </c>
      <c r="S19" s="23">
        <f t="shared" si="20"/>
        <v>4565.0603411248694</v>
      </c>
      <c r="T19" s="23">
        <f t="shared" si="20"/>
        <v>4505.390963632497</v>
      </c>
      <c r="U19" s="23">
        <f t="shared" si="20"/>
        <v>4456.3028220271863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11</v>
      </c>
      <c r="B20" s="27">
        <f>B15-B19</f>
        <v>-3892.4159999999997</v>
      </c>
      <c r="C20" s="27">
        <f>C15-C19</f>
        <v>-4360.8280000000004</v>
      </c>
      <c r="D20" s="27">
        <f>D15-D19</f>
        <v>-5133.41</v>
      </c>
      <c r="E20" s="27">
        <f>E15-E19</f>
        <v>-185.40999999999997</v>
      </c>
      <c r="F20" s="27">
        <f>F15-F19</f>
        <v>-358.80900000000003</v>
      </c>
      <c r="G20" s="23">
        <f t="shared" ref="G20:H20" si="21">G15-G19</f>
        <v>-398.08745998458915</v>
      </c>
      <c r="H20" s="23">
        <f t="shared" si="21"/>
        <v>-534.45368997688388</v>
      </c>
      <c r="I20" s="23">
        <f t="shared" ref="I20:P20" si="22">I15-I19</f>
        <v>-717.54815996532557</v>
      </c>
      <c r="J20" s="23">
        <f t="shared" si="22"/>
        <v>-962.76779619798822</v>
      </c>
      <c r="K20" s="23">
        <f t="shared" si="22"/>
        <v>-1290.0446258594825</v>
      </c>
      <c r="L20" s="23">
        <f t="shared" si="22"/>
        <v>-1196.6663337618529</v>
      </c>
      <c r="M20" s="23">
        <f t="shared" si="22"/>
        <v>-1038.2853118382541</v>
      </c>
      <c r="N20" s="23">
        <f t="shared" si="22"/>
        <v>-794.14509031649004</v>
      </c>
      <c r="O20" s="23">
        <f t="shared" si="22"/>
        <v>-437.78202801222596</v>
      </c>
      <c r="P20" s="23">
        <f t="shared" si="22"/>
        <v>64.46423118119128</v>
      </c>
      <c r="Q20" s="23">
        <f t="shared" ref="Q20:U20" si="23">Q15-Q19</f>
        <v>644.31466624352652</v>
      </c>
      <c r="R20" s="23">
        <f t="shared" si="23"/>
        <v>1261.7627211568406</v>
      </c>
      <c r="S20" s="23">
        <f t="shared" si="23"/>
        <v>1921.8956642770199</v>
      </c>
      <c r="T20" s="23">
        <f t="shared" si="23"/>
        <v>2630.2606423095822</v>
      </c>
      <c r="U20" s="23">
        <f t="shared" si="23"/>
        <v>3392.9139445091005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12</v>
      </c>
      <c r="B21" s="23">
        <f>SUM(Reports!B14:E14)</f>
        <v>-29.314</v>
      </c>
      <c r="C21" s="23">
        <f>SUM(Reports!F14:I14)</f>
        <v>-58.463999999999999</v>
      </c>
      <c r="D21" s="38">
        <f>SUM(Reports!J14:M14)</f>
        <v>-30.454000000000004</v>
      </c>
      <c r="E21" s="23">
        <f>9-1</f>
        <v>8</v>
      </c>
      <c r="F21" s="38">
        <f>12-1</f>
        <v>11</v>
      </c>
      <c r="G21" s="23">
        <f>F38*$F$3</f>
        <v>9.16</v>
      </c>
      <c r="H21" s="23">
        <f t="shared" ref="H21:U21" si="24">G38*$F$3</f>
        <v>1.3814508003082175</v>
      </c>
      <c r="I21" s="23">
        <f t="shared" si="24"/>
        <v>-9.2799939832232958</v>
      </c>
      <c r="J21" s="23">
        <f t="shared" si="24"/>
        <v>-23.816557062194274</v>
      </c>
      <c r="K21" s="23">
        <f t="shared" si="24"/>
        <v>-40.588491067617376</v>
      </c>
      <c r="L21" s="23">
        <f t="shared" si="24"/>
        <v>-63.209254055378082</v>
      </c>
      <c r="M21" s="23">
        <f t="shared" si="24"/>
        <v>-84.627139048271005</v>
      </c>
      <c r="N21" s="23">
        <f t="shared" si="24"/>
        <v>-103.71665071334193</v>
      </c>
      <c r="O21" s="23">
        <f t="shared" si="24"/>
        <v>-118.98030031084907</v>
      </c>
      <c r="P21" s="23">
        <f t="shared" si="24"/>
        <v>-128.44525989234134</v>
      </c>
      <c r="Q21" s="23">
        <f t="shared" si="24"/>
        <v>-129.53293738043089</v>
      </c>
      <c r="R21" s="23">
        <f t="shared" si="24"/>
        <v>-120.78164798975828</v>
      </c>
      <c r="S21" s="23">
        <f t="shared" si="24"/>
        <v>-101.38496974591789</v>
      </c>
      <c r="T21" s="23">
        <f t="shared" si="24"/>
        <v>-70.436287938889151</v>
      </c>
      <c r="U21" s="23">
        <f t="shared" si="24"/>
        <v>-26.919273914587365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13</v>
      </c>
      <c r="B22" s="27">
        <f>B20+B21</f>
        <v>-3921.7299999999996</v>
      </c>
      <c r="C22" s="27">
        <f>C20+C21</f>
        <v>-4419.2920000000004</v>
      </c>
      <c r="D22" s="27">
        <f>D20+D21</f>
        <v>-5163.8639999999996</v>
      </c>
      <c r="E22" s="27">
        <f>E20+E21</f>
        <v>-177.40999999999997</v>
      </c>
      <c r="F22" s="27">
        <f>F20+F21</f>
        <v>-347.80900000000003</v>
      </c>
      <c r="G22" s="23">
        <f t="shared" ref="G22:H22" si="25">G20+G21</f>
        <v>-388.92745998458912</v>
      </c>
      <c r="H22" s="23">
        <f t="shared" si="25"/>
        <v>-533.07223917657564</v>
      </c>
      <c r="I22" s="23">
        <f t="shared" ref="I22" si="26">I20+I21</f>
        <v>-726.8281539485489</v>
      </c>
      <c r="J22" s="23">
        <f t="shared" ref="J22" si="27">J20+J21</f>
        <v>-986.58435326018252</v>
      </c>
      <c r="K22" s="23">
        <f t="shared" ref="K22" si="28">K20+K21</f>
        <v>-1330.6331169270998</v>
      </c>
      <c r="L22" s="23">
        <f t="shared" ref="L22" si="29">L20+L21</f>
        <v>-1259.875587817231</v>
      </c>
      <c r="M22" s="23">
        <f t="shared" ref="M22" si="30">M20+M21</f>
        <v>-1122.912450886525</v>
      </c>
      <c r="N22" s="23">
        <f t="shared" ref="N22" si="31">N20+N21</f>
        <v>-897.86174102983193</v>
      </c>
      <c r="O22" s="23">
        <f t="shared" ref="O22" si="32">O20+O21</f>
        <v>-556.76232832307505</v>
      </c>
      <c r="P22" s="23">
        <f t="shared" ref="P22:Q22" si="33">P20+P21</f>
        <v>-63.98102871115006</v>
      </c>
      <c r="Q22" s="23">
        <f t="shared" si="33"/>
        <v>514.78172886309562</v>
      </c>
      <c r="R22" s="23">
        <f t="shared" ref="R22:U22" si="34">R20+R21</f>
        <v>1140.9810731670823</v>
      </c>
      <c r="S22" s="23">
        <f t="shared" si="34"/>
        <v>1820.510694531102</v>
      </c>
      <c r="T22" s="23">
        <f t="shared" si="34"/>
        <v>2559.8243543706931</v>
      </c>
      <c r="U22" s="23">
        <f t="shared" si="34"/>
        <v>3365.9946705945131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14</v>
      </c>
      <c r="B23" s="23">
        <f>SUM(Reports!B16:E16)</f>
        <v>244.23000000000002</v>
      </c>
      <c r="C23" s="23">
        <f>SUM(Reports!F16:I16)</f>
        <v>266.35599999999999</v>
      </c>
      <c r="D23" s="38">
        <f>SUM(Reports!J16:M16)</f>
        <v>443.68700000000001</v>
      </c>
      <c r="E23" s="23">
        <v>1</v>
      </c>
      <c r="F23" s="38">
        <v>1</v>
      </c>
      <c r="G23" s="23"/>
      <c r="H23" s="23"/>
      <c r="I23" s="23"/>
      <c r="J23" s="23">
        <f>J22*0.15</f>
        <v>-147.98765298902737</v>
      </c>
      <c r="K23" s="23">
        <f t="shared" ref="K23:U23" si="35">K22*0.15</f>
        <v>-199.59496753906495</v>
      </c>
      <c r="L23" s="23">
        <f t="shared" si="35"/>
        <v>-188.98133817258466</v>
      </c>
      <c r="M23" s="23">
        <f t="shared" si="35"/>
        <v>-168.43686763297873</v>
      </c>
      <c r="N23" s="23">
        <f t="shared" si="35"/>
        <v>-134.67926115447477</v>
      </c>
      <c r="O23" s="23">
        <f t="shared" si="35"/>
        <v>-83.514349248461258</v>
      </c>
      <c r="P23" s="23">
        <f t="shared" si="35"/>
        <v>-9.5971543066725093</v>
      </c>
      <c r="Q23" s="23">
        <f t="shared" si="35"/>
        <v>77.217259329464341</v>
      </c>
      <c r="R23" s="23">
        <f t="shared" si="35"/>
        <v>171.14716097506235</v>
      </c>
      <c r="S23" s="23">
        <f t="shared" si="35"/>
        <v>273.07660417966531</v>
      </c>
      <c r="T23" s="23">
        <f t="shared" si="35"/>
        <v>383.97365315560393</v>
      </c>
      <c r="U23" s="23">
        <f t="shared" si="35"/>
        <v>504.89920058917693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s="2" customFormat="1" x14ac:dyDescent="0.15">
      <c r="A24" s="2" t="s">
        <v>15</v>
      </c>
      <c r="B24" s="24">
        <f>B22-B23</f>
        <v>-4165.9599999999991</v>
      </c>
      <c r="C24" s="24">
        <f>C22-C23</f>
        <v>-4685.6480000000001</v>
      </c>
      <c r="D24" s="24">
        <f>D22-D23</f>
        <v>-5607.5509999999995</v>
      </c>
      <c r="E24" s="24">
        <f>E22-E23</f>
        <v>-178.40999999999997</v>
      </c>
      <c r="F24" s="24">
        <f t="shared" ref="F24:H24" si="36">F22-F23</f>
        <v>-348.80900000000003</v>
      </c>
      <c r="G24" s="24">
        <f>G22-G23</f>
        <v>-388.92745998458912</v>
      </c>
      <c r="H24" s="24">
        <f t="shared" si="36"/>
        <v>-533.07223917657564</v>
      </c>
      <c r="I24" s="24">
        <f t="shared" ref="I24:P24" si="37">I22-I23</f>
        <v>-726.8281539485489</v>
      </c>
      <c r="J24" s="24">
        <f t="shared" si="37"/>
        <v>-838.59670027115521</v>
      </c>
      <c r="K24" s="24">
        <f t="shared" si="37"/>
        <v>-1131.0381493880348</v>
      </c>
      <c r="L24" s="24">
        <f t="shared" si="37"/>
        <v>-1070.8942496446464</v>
      </c>
      <c r="M24" s="24">
        <f t="shared" si="37"/>
        <v>-954.47558325354623</v>
      </c>
      <c r="N24" s="24">
        <f t="shared" si="37"/>
        <v>-763.1824798753571</v>
      </c>
      <c r="O24" s="24">
        <f t="shared" si="37"/>
        <v>-473.2479790746138</v>
      </c>
      <c r="P24" s="24">
        <f t="shared" si="37"/>
        <v>-54.383874404477552</v>
      </c>
      <c r="Q24" s="24">
        <f t="shared" ref="Q24:U24" si="38">Q22-Q23</f>
        <v>437.56446953363127</v>
      </c>
      <c r="R24" s="24">
        <f t="shared" si="38"/>
        <v>969.83391219201997</v>
      </c>
      <c r="S24" s="24">
        <f t="shared" si="38"/>
        <v>1547.4340903514367</v>
      </c>
      <c r="T24" s="24">
        <f t="shared" si="38"/>
        <v>2175.850701215089</v>
      </c>
      <c r="U24" s="24">
        <f t="shared" si="38"/>
        <v>2861.0954700053362</v>
      </c>
      <c r="V24" s="24">
        <f t="shared" ref="V24:BY24" si="39">U24*($F$2+1)</f>
        <v>2889.7064247053895</v>
      </c>
      <c r="W24" s="24">
        <f t="shared" si="39"/>
        <v>2918.6034889524435</v>
      </c>
      <c r="X24" s="24">
        <f t="shared" si="39"/>
        <v>2947.7895238419678</v>
      </c>
      <c r="Y24" s="24">
        <f t="shared" si="39"/>
        <v>2977.2674190803873</v>
      </c>
      <c r="Z24" s="24">
        <f t="shared" si="39"/>
        <v>3007.0400932711914</v>
      </c>
      <c r="AA24" s="24">
        <f t="shared" si="39"/>
        <v>3037.1104942039033</v>
      </c>
      <c r="AB24" s="24">
        <f t="shared" si="39"/>
        <v>3067.4815991459423</v>
      </c>
      <c r="AC24" s="24">
        <f t="shared" si="39"/>
        <v>3098.1564151374018</v>
      </c>
      <c r="AD24" s="24">
        <f t="shared" si="39"/>
        <v>3129.137979288776</v>
      </c>
      <c r="AE24" s="24">
        <f t="shared" si="39"/>
        <v>3160.4293590816637</v>
      </c>
      <c r="AF24" s="24">
        <f t="shared" si="39"/>
        <v>3192.0336526724805</v>
      </c>
      <c r="AG24" s="24">
        <f t="shared" si="39"/>
        <v>3223.9539891992054</v>
      </c>
      <c r="AH24" s="24">
        <f t="shared" si="39"/>
        <v>3256.1935290911974</v>
      </c>
      <c r="AI24" s="24">
        <f t="shared" si="39"/>
        <v>3288.7554643821095</v>
      </c>
      <c r="AJ24" s="24">
        <f t="shared" si="39"/>
        <v>3321.6430190259307</v>
      </c>
      <c r="AK24" s="24">
        <f t="shared" si="39"/>
        <v>3354.8594492161901</v>
      </c>
      <c r="AL24" s="24">
        <f t="shared" si="39"/>
        <v>3388.4080437083521</v>
      </c>
      <c r="AM24" s="24">
        <f t="shared" si="39"/>
        <v>3422.2921241454355</v>
      </c>
      <c r="AN24" s="24">
        <f t="shared" si="39"/>
        <v>3456.5150453868901</v>
      </c>
      <c r="AO24" s="24">
        <f t="shared" si="39"/>
        <v>3491.0801958407592</v>
      </c>
      <c r="AP24" s="24">
        <f t="shared" si="39"/>
        <v>3525.990997799167</v>
      </c>
      <c r="AQ24" s="24">
        <f t="shared" si="39"/>
        <v>3561.2509077771588</v>
      </c>
      <c r="AR24" s="24">
        <f t="shared" si="39"/>
        <v>3596.8634168549302</v>
      </c>
      <c r="AS24" s="24">
        <f t="shared" si="39"/>
        <v>3632.8320510234794</v>
      </c>
      <c r="AT24" s="24">
        <f t="shared" si="39"/>
        <v>3669.1603715337142</v>
      </c>
      <c r="AU24" s="24">
        <f t="shared" si="39"/>
        <v>3705.8519752490515</v>
      </c>
      <c r="AV24" s="24">
        <f t="shared" si="39"/>
        <v>3742.9104950015421</v>
      </c>
      <c r="AW24" s="24">
        <f t="shared" si="39"/>
        <v>3780.3395999515574</v>
      </c>
      <c r="AX24" s="24">
        <f t="shared" si="39"/>
        <v>3818.1429959510729</v>
      </c>
      <c r="AY24" s="24">
        <f t="shared" si="39"/>
        <v>3856.3244259105836</v>
      </c>
      <c r="AZ24" s="24">
        <f t="shared" si="39"/>
        <v>3894.8876701696895</v>
      </c>
      <c r="BA24" s="24">
        <f t="shared" si="39"/>
        <v>3933.8365468713864</v>
      </c>
      <c r="BB24" s="24">
        <f t="shared" si="39"/>
        <v>3973.1749123401005</v>
      </c>
      <c r="BC24" s="24">
        <f t="shared" si="39"/>
        <v>4012.9066614635017</v>
      </c>
      <c r="BD24" s="24">
        <f t="shared" si="39"/>
        <v>4053.0357280781368</v>
      </c>
      <c r="BE24" s="24">
        <f t="shared" si="39"/>
        <v>4093.5660853589184</v>
      </c>
      <c r="BF24" s="24">
        <f t="shared" si="39"/>
        <v>4134.5017462125079</v>
      </c>
      <c r="BG24" s="24">
        <f t="shared" si="39"/>
        <v>4175.8467636746327</v>
      </c>
      <c r="BH24" s="24">
        <f t="shared" si="39"/>
        <v>4217.6052313113787</v>
      </c>
      <c r="BI24" s="24">
        <f t="shared" si="39"/>
        <v>4259.781283624493</v>
      </c>
      <c r="BJ24" s="24">
        <f t="shared" si="39"/>
        <v>4302.3790964607379</v>
      </c>
      <c r="BK24" s="24">
        <f t="shared" si="39"/>
        <v>4345.4028874253454</v>
      </c>
      <c r="BL24" s="24">
        <f t="shared" si="39"/>
        <v>4388.8569162995991</v>
      </c>
      <c r="BM24" s="24">
        <f t="shared" si="39"/>
        <v>4432.7454854625948</v>
      </c>
      <c r="BN24" s="24">
        <f t="shared" si="39"/>
        <v>4477.0729403172209</v>
      </c>
      <c r="BO24" s="24">
        <f t="shared" si="39"/>
        <v>4521.8436697203933</v>
      </c>
      <c r="BP24" s="24">
        <f t="shared" si="39"/>
        <v>4567.0621064175975</v>
      </c>
      <c r="BQ24" s="24">
        <f t="shared" si="39"/>
        <v>4612.7327274817735</v>
      </c>
      <c r="BR24" s="24">
        <f t="shared" si="39"/>
        <v>4658.8600547565911</v>
      </c>
      <c r="BS24" s="24">
        <f t="shared" si="39"/>
        <v>4705.448655304157</v>
      </c>
      <c r="BT24" s="24">
        <f t="shared" si="39"/>
        <v>4752.5031418571989</v>
      </c>
      <c r="BU24" s="24">
        <f t="shared" si="39"/>
        <v>4800.0281732757712</v>
      </c>
      <c r="BV24" s="24">
        <f t="shared" si="39"/>
        <v>4848.0284550085289</v>
      </c>
      <c r="BW24" s="24">
        <f t="shared" si="39"/>
        <v>4896.5087395586143</v>
      </c>
      <c r="BX24" s="24">
        <f t="shared" si="39"/>
        <v>4945.4738269542004</v>
      </c>
      <c r="BY24" s="24">
        <f t="shared" si="39"/>
        <v>4994.9285652237422</v>
      </c>
      <c r="BZ24" s="24">
        <f t="shared" ref="BZ24:DM24" si="40">BY24*($F$2+1)</f>
        <v>5044.8778508759797</v>
      </c>
      <c r="CA24" s="24">
        <f t="shared" si="40"/>
        <v>5095.3266293847391</v>
      </c>
      <c r="CB24" s="24">
        <f t="shared" si="40"/>
        <v>5146.2798956785864</v>
      </c>
      <c r="CC24" s="24">
        <f t="shared" si="40"/>
        <v>5197.7426946353726</v>
      </c>
      <c r="CD24" s="24">
        <f t="shared" si="40"/>
        <v>5249.7201215817267</v>
      </c>
      <c r="CE24" s="24">
        <f t="shared" si="40"/>
        <v>5302.2173227975445</v>
      </c>
      <c r="CF24" s="24">
        <f t="shared" si="40"/>
        <v>5355.2394960255197</v>
      </c>
      <c r="CG24" s="24">
        <f t="shared" si="40"/>
        <v>5408.7918909857754</v>
      </c>
      <c r="CH24" s="24">
        <f t="shared" si="40"/>
        <v>5462.8798098956331</v>
      </c>
      <c r="CI24" s="24">
        <f t="shared" si="40"/>
        <v>5517.5086079945895</v>
      </c>
      <c r="CJ24" s="24">
        <f t="shared" si="40"/>
        <v>5572.6836940745352</v>
      </c>
      <c r="CK24" s="24">
        <f t="shared" si="40"/>
        <v>5628.4105310152809</v>
      </c>
      <c r="CL24" s="24">
        <f t="shared" si="40"/>
        <v>5684.6946363254337</v>
      </c>
      <c r="CM24" s="24">
        <f t="shared" si="40"/>
        <v>5741.5415826886883</v>
      </c>
      <c r="CN24" s="24">
        <f t="shared" si="40"/>
        <v>5798.9569985155749</v>
      </c>
      <c r="CO24" s="24">
        <f t="shared" si="40"/>
        <v>5856.9465685007308</v>
      </c>
      <c r="CP24" s="24">
        <f t="shared" si="40"/>
        <v>5915.5160341857381</v>
      </c>
      <c r="CQ24" s="24">
        <f t="shared" si="40"/>
        <v>5974.6711945275956</v>
      </c>
      <c r="CR24" s="24">
        <f t="shared" si="40"/>
        <v>6034.4179064728714</v>
      </c>
      <c r="CS24" s="24">
        <f t="shared" si="40"/>
        <v>6094.7620855375999</v>
      </c>
      <c r="CT24" s="24">
        <f t="shared" si="40"/>
        <v>6155.7097063929759</v>
      </c>
      <c r="CU24" s="24">
        <f t="shared" si="40"/>
        <v>6217.266803456906</v>
      </c>
      <c r="CV24" s="24">
        <f t="shared" si="40"/>
        <v>6279.4394714914752</v>
      </c>
      <c r="CW24" s="24">
        <f t="shared" si="40"/>
        <v>6342.2338662063903</v>
      </c>
      <c r="CX24" s="24">
        <f t="shared" si="40"/>
        <v>6405.6562048684546</v>
      </c>
      <c r="CY24" s="24">
        <f t="shared" si="40"/>
        <v>6469.7127669171396</v>
      </c>
      <c r="CZ24" s="24">
        <f t="shared" si="40"/>
        <v>6534.4098945863107</v>
      </c>
      <c r="DA24" s="24">
        <f t="shared" si="40"/>
        <v>6599.7539935321738</v>
      </c>
      <c r="DB24" s="24">
        <f t="shared" si="40"/>
        <v>6665.7515334674954</v>
      </c>
      <c r="DC24" s="24">
        <f t="shared" si="40"/>
        <v>6732.4090488021702</v>
      </c>
      <c r="DD24" s="24">
        <f t="shared" si="40"/>
        <v>6799.7331392901924</v>
      </c>
      <c r="DE24" s="24">
        <f t="shared" si="40"/>
        <v>6867.7304706830946</v>
      </c>
      <c r="DF24" s="24">
        <f t="shared" si="40"/>
        <v>6936.4077753899255</v>
      </c>
      <c r="DG24" s="24">
        <f t="shared" si="40"/>
        <v>7005.771853143825</v>
      </c>
      <c r="DH24" s="24">
        <f t="shared" si="40"/>
        <v>7075.8295716752637</v>
      </c>
      <c r="DI24" s="24">
        <f t="shared" si="40"/>
        <v>7146.5878673920161</v>
      </c>
      <c r="DJ24" s="24">
        <f t="shared" si="40"/>
        <v>7218.0537460659361</v>
      </c>
      <c r="DK24" s="24">
        <f t="shared" si="40"/>
        <v>7290.2342835265954</v>
      </c>
      <c r="DL24" s="24">
        <f t="shared" si="40"/>
        <v>7363.1366263618611</v>
      </c>
      <c r="DM24" s="24">
        <f t="shared" si="40"/>
        <v>7436.7679926254796</v>
      </c>
      <c r="DN24" s="24">
        <f t="shared" ref="DN24" si="41">DM24*($F$2+1)</f>
        <v>7511.1356725517344</v>
      </c>
      <c r="DO24" s="24">
        <f t="shared" ref="DO24" si="42">DN24*($F$2+1)</f>
        <v>7586.2470292772514</v>
      </c>
      <c r="DP24" s="24">
        <f t="shared" ref="DP24" si="43">DO24*($F$2+1)</f>
        <v>7662.1094995700241</v>
      </c>
      <c r="DQ24" s="24">
        <f t="shared" ref="DQ24" si="44">DP24*($F$2+1)</f>
        <v>7738.7305945657245</v>
      </c>
      <c r="DR24" s="24">
        <f t="shared" ref="DR24" si="45">DQ24*($F$2+1)</f>
        <v>7816.1179005113818</v>
      </c>
      <c r="DS24" s="24">
        <f t="shared" ref="DS24" si="46">DR24*($F$2+1)</f>
        <v>7894.2790795164956</v>
      </c>
      <c r="DT24" s="24">
        <f t="shared" ref="DT24" si="47">DS24*($F$2+1)</f>
        <v>7973.2218703116605</v>
      </c>
      <c r="DU24" s="24">
        <f t="shared" ref="DU24" si="48">DT24*($F$2+1)</f>
        <v>8052.9540890147773</v>
      </c>
      <c r="DV24" s="24">
        <f t="shared" ref="DV24" si="49">DU24*($F$2+1)</f>
        <v>8133.4836299049248</v>
      </c>
      <c r="DW24" s="24">
        <f t="shared" ref="DW24" si="50">DV24*($F$2+1)</f>
        <v>8214.8184662039748</v>
      </c>
      <c r="DX24" s="24">
        <f t="shared" ref="DX24" si="51">DW24*($F$2+1)</f>
        <v>8296.9666508660139</v>
      </c>
      <c r="DY24" s="24">
        <f t="shared" ref="DY24" si="52">DX24*($F$2+1)</f>
        <v>8379.9363173746733</v>
      </c>
      <c r="DZ24" s="24">
        <f t="shared" ref="DZ24" si="53">DY24*($F$2+1)</f>
        <v>8463.7356805484196</v>
      </c>
      <c r="EA24" s="24">
        <f t="shared" ref="EA24" si="54">DZ24*($F$2+1)</f>
        <v>8548.3730373539038</v>
      </c>
      <c r="EB24" s="24">
        <f t="shared" ref="EB24" si="55">EA24*($F$2+1)</f>
        <v>8633.8567677274423</v>
      </c>
      <c r="EC24" s="24">
        <f t="shared" ref="EC24" si="56">EB24*($F$2+1)</f>
        <v>8720.1953354047164</v>
      </c>
      <c r="ED24" s="24">
        <f t="shared" ref="ED24" si="57">EC24*($F$2+1)</f>
        <v>8807.3972887587643</v>
      </c>
      <c r="EE24" s="24">
        <f t="shared" ref="EE24" si="58">ED24*($F$2+1)</f>
        <v>8895.4712616463512</v>
      </c>
      <c r="EF24" s="24">
        <f t="shared" ref="EF24" si="59">EE24*($F$2+1)</f>
        <v>8984.4259742628146</v>
      </c>
      <c r="EG24" s="24">
        <f t="shared" ref="EG24" si="60">EF24*($F$2+1)</f>
        <v>9074.270234005442</v>
      </c>
      <c r="EH24" s="24">
        <f t="shared" ref="EH24" si="61">EG24*($F$2+1)</f>
        <v>9165.0129363454962</v>
      </c>
      <c r="EI24" s="24">
        <f t="shared" ref="EI24" si="62">EH24*($F$2+1)</f>
        <v>9256.6630657089518</v>
      </c>
      <c r="EJ24" s="24">
        <f t="shared" ref="EJ24" si="63">EI24*($F$2+1)</f>
        <v>9349.229696366041</v>
      </c>
      <c r="EK24" s="24">
        <f t="shared" ref="EK24" si="64">EJ24*($F$2+1)</f>
        <v>9442.7219933297019</v>
      </c>
      <c r="EL24" s="24">
        <f t="shared" ref="EL24" si="65">EK24*($F$2+1)</f>
        <v>9537.1492132629992</v>
      </c>
      <c r="EM24" s="24">
        <f t="shared" ref="EM24" si="66">EL24*($F$2+1)</f>
        <v>9632.5207053956292</v>
      </c>
      <c r="EN24" s="24">
        <f t="shared" ref="EN24" si="67">EM24*($F$2+1)</f>
        <v>9728.8459124495857</v>
      </c>
      <c r="EO24" s="24">
        <f t="shared" ref="EO24" si="68">EN24*($F$2+1)</f>
        <v>9826.1343715740823</v>
      </c>
      <c r="EP24" s="24">
        <f t="shared" ref="EP24" si="69">EO24*($F$2+1)</f>
        <v>9924.3957152898238</v>
      </c>
      <c r="EQ24" s="24">
        <f t="shared" ref="EQ24" si="70">EP24*($F$2+1)</f>
        <v>10023.639672442721</v>
      </c>
      <c r="ER24" s="24">
        <f t="shared" ref="ER24" si="71">EQ24*($F$2+1)</f>
        <v>10123.876069167149</v>
      </c>
      <c r="ES24" s="24">
        <f t="shared" ref="ES24" si="72">ER24*($F$2+1)</f>
        <v>10225.11482985882</v>
      </c>
      <c r="ET24" s="24">
        <f t="shared" ref="ET24" si="73">ES24*($F$2+1)</f>
        <v>10327.365978157408</v>
      </c>
      <c r="EU24" s="24">
        <f t="shared" ref="EU24" si="74">ET24*($F$2+1)</f>
        <v>10430.639637938983</v>
      </c>
      <c r="EV24" s="24">
        <f t="shared" ref="EV24" si="75">EU24*($F$2+1)</f>
        <v>10534.946034318373</v>
      </c>
      <c r="EW24" s="24">
        <f t="shared" ref="EW24" si="76">EV24*($F$2+1)</f>
        <v>10640.295494661557</v>
      </c>
      <c r="EX24" s="24">
        <f t="shared" ref="EX24" si="77">EW24*($F$2+1)</f>
        <v>10746.698449608173</v>
      </c>
      <c r="EY24" s="24">
        <f t="shared" ref="EY24" si="78">EX24*($F$2+1)</f>
        <v>10854.165434104256</v>
      </c>
      <c r="EZ24" s="24">
        <f t="shared" ref="EZ24" si="79">EY24*($F$2+1)</f>
        <v>10962.707088445299</v>
      </c>
      <c r="FA24" s="24">
        <f t="shared" ref="FA24" si="80">EZ24*($F$2+1)</f>
        <v>11072.334159329752</v>
      </c>
      <c r="FB24" s="24">
        <f t="shared" ref="FB24" si="81">FA24*($F$2+1)</f>
        <v>11183.057500923049</v>
      </c>
      <c r="FC24" s="24">
        <f t="shared" ref="FC24" si="82">FB24*($F$2+1)</f>
        <v>11294.88807593228</v>
      </c>
      <c r="FD24" s="24">
        <f t="shared" ref="FD24" si="83">FC24*($F$2+1)</f>
        <v>11407.836956691603</v>
      </c>
      <c r="FE24" s="24">
        <f t="shared" ref="FE24" si="84">FD24*($F$2+1)</f>
        <v>11521.915326258519</v>
      </c>
      <c r="FF24" s="24">
        <f t="shared" ref="FF24" si="85">FE24*($F$2+1)</f>
        <v>11637.134479521104</v>
      </c>
      <c r="FG24" s="24">
        <f t="shared" ref="FG24" si="86">FF24*($F$2+1)</f>
        <v>11753.505824316315</v>
      </c>
      <c r="FH24" s="24">
        <f t="shared" ref="FH24" si="87">FG24*($F$2+1)</f>
        <v>11871.040882559479</v>
      </c>
      <c r="FI24" s="24">
        <f t="shared" ref="FI24" si="88">FH24*($F$2+1)</f>
        <v>11989.751291385073</v>
      </c>
      <c r="FJ24" s="24">
        <f t="shared" ref="FJ24" si="89">FI24*($F$2+1)</f>
        <v>12109.648804298924</v>
      </c>
      <c r="FK24" s="24">
        <f t="shared" ref="FK24" si="90">FJ24*($F$2+1)</f>
        <v>12230.745292341913</v>
      </c>
      <c r="FL24" s="24">
        <f t="shared" ref="FL24" si="91">FK24*($F$2+1)</f>
        <v>12353.052745265333</v>
      </c>
      <c r="FM24" s="24">
        <f t="shared" ref="FM24" si="92">FL24*($F$2+1)</f>
        <v>12476.583272717986</v>
      </c>
      <c r="FN24" s="24">
        <f t="shared" ref="FN24" si="93">FM24*($F$2+1)</f>
        <v>12601.349105445166</v>
      </c>
      <c r="FO24" s="24">
        <f t="shared" ref="FO24" si="94">FN24*($F$2+1)</f>
        <v>12727.362596499617</v>
      </c>
      <c r="FP24" s="24">
        <f t="shared" ref="FP24" si="95">FO24*($F$2+1)</f>
        <v>12854.636222464613</v>
      </c>
      <c r="FQ24" s="24">
        <f t="shared" ref="FQ24" si="96">FP24*($F$2+1)</f>
        <v>12983.182584689259</v>
      </c>
      <c r="FR24" s="24">
        <f t="shared" ref="FR24" si="97">FQ24*($F$2+1)</f>
        <v>13113.014410536152</v>
      </c>
      <c r="FS24" s="24">
        <f t="shared" ref="FS24" si="98">FR24*($F$2+1)</f>
        <v>13244.144554641514</v>
      </c>
      <c r="FT24" s="24">
        <f t="shared" ref="FT24" si="99">FS24*($F$2+1)</f>
        <v>13376.58600018793</v>
      </c>
      <c r="FU24" s="24">
        <f t="shared" ref="FU24" si="100">FT24*($F$2+1)</f>
        <v>13510.351860189809</v>
      </c>
      <c r="FV24" s="24">
        <f t="shared" ref="FV24" si="101">FU24*($F$2+1)</f>
        <v>13645.455378791707</v>
      </c>
      <c r="FW24" s="24">
        <f t="shared" ref="FW24" si="102">FV24*($F$2+1)</f>
        <v>13781.909932579623</v>
      </c>
      <c r="FX24" s="24">
        <f t="shared" ref="FX24" si="103">FW24*($F$2+1)</f>
        <v>13919.729031905419</v>
      </c>
      <c r="FY24" s="24">
        <f t="shared" ref="FY24" si="104">FX24*($F$2+1)</f>
        <v>14058.926322224474</v>
      </c>
      <c r="FZ24" s="24">
        <f t="shared" ref="FZ24" si="105">FY24*($F$2+1)</f>
        <v>14199.515585446718</v>
      </c>
      <c r="GA24" s="24">
        <f t="shared" ref="GA24" si="106">FZ24*($F$2+1)</f>
        <v>14341.510741301185</v>
      </c>
      <c r="GB24" s="24">
        <f t="shared" ref="GB24" si="107">GA24*($F$2+1)</f>
        <v>14484.925848714196</v>
      </c>
      <c r="GC24" s="24">
        <f t="shared" ref="GC24" si="108">GB24*($F$2+1)</f>
        <v>14629.775107201338</v>
      </c>
      <c r="GD24" s="24">
        <f t="shared" ref="GD24" si="109">GC24*($F$2+1)</f>
        <v>14776.072858273352</v>
      </c>
      <c r="GE24" s="24">
        <f t="shared" ref="GE24" si="110">GD24*($F$2+1)</f>
        <v>14923.833586856086</v>
      </c>
      <c r="GF24" s="24">
        <f t="shared" ref="GF24" si="111">GE24*($F$2+1)</f>
        <v>15073.071922724646</v>
      </c>
      <c r="GG24" s="24">
        <f t="shared" ref="GG24" si="112">GF24*($F$2+1)</f>
        <v>15223.802641951894</v>
      </c>
      <c r="GH24" s="24">
        <f t="shared" ref="GH24" si="113">GG24*($F$2+1)</f>
        <v>15376.040668371414</v>
      </c>
      <c r="GI24" s="24">
        <f t="shared" ref="GI24" si="114">GH24*($F$2+1)</f>
        <v>15529.801075055128</v>
      </c>
      <c r="GJ24" s="24">
        <f t="shared" ref="GJ24" si="115">GI24*($F$2+1)</f>
        <v>15685.099085805679</v>
      </c>
      <c r="GK24" s="24">
        <f t="shared" ref="GK24" si="116">GJ24*($F$2+1)</f>
        <v>15841.950076663736</v>
      </c>
      <c r="GL24" s="24">
        <f t="shared" ref="GL24" si="117">GK24*($F$2+1)</f>
        <v>16000.369577430372</v>
      </c>
      <c r="GM24" s="24">
        <f t="shared" ref="GM24" si="118">GL24*($F$2+1)</f>
        <v>16160.373273204676</v>
      </c>
      <c r="GN24" s="24">
        <f t="shared" ref="GN24" si="119">GM24*($F$2+1)</f>
        <v>16321.977005936722</v>
      </c>
      <c r="GO24" s="24">
        <f t="shared" ref="GO24" si="120">GN24*($F$2+1)</f>
        <v>16485.19677599609</v>
      </c>
      <c r="GP24" s="24">
        <f t="shared" ref="GP24" si="121">GO24*($F$2+1)</f>
        <v>16650.048743756051</v>
      </c>
      <c r="GQ24" s="24">
        <f t="shared" ref="GQ24" si="122">GP24*($F$2+1)</f>
        <v>16816.54923119361</v>
      </c>
      <c r="GR24" s="24">
        <f t="shared" ref="GR24" si="123">GQ24*($F$2+1)</f>
        <v>16984.714723505545</v>
      </c>
    </row>
    <row r="25" spans="1:200" x14ac:dyDescent="0.15">
      <c r="A25" s="3" t="s">
        <v>16</v>
      </c>
      <c r="B25" s="29">
        <f t="shared" ref="B25:G25" si="124">B24/B26</f>
        <v>-8.2329272823569379</v>
      </c>
      <c r="C25" s="29">
        <f t="shared" si="124"/>
        <v>-9.3493064312736447</v>
      </c>
      <c r="D25" s="29">
        <f t="shared" si="124"/>
        <v>-11.213756349238091</v>
      </c>
      <c r="E25" s="29">
        <f t="shared" si="124"/>
        <v>-4.6750415096309359</v>
      </c>
      <c r="F25" s="29">
        <f t="shared" si="124"/>
        <v>-7.7776788250264088</v>
      </c>
      <c r="G25" s="49">
        <f t="shared" si="124"/>
        <v>-8.6722328552114316</v>
      </c>
      <c r="H25" s="49">
        <f t="shared" ref="H25" si="125">H24/H26</f>
        <v>-11.886346587539499</v>
      </c>
      <c r="I25" s="49">
        <f t="shared" ref="I25:P25" si="126">I24/I26</f>
        <v>-16.206680281754952</v>
      </c>
      <c r="J25" s="49">
        <f t="shared" si="126"/>
        <v>-18.698874737853615</v>
      </c>
      <c r="K25" s="49">
        <f t="shared" si="126"/>
        <v>-25.219680297218172</v>
      </c>
      <c r="L25" s="49">
        <f t="shared" si="126"/>
        <v>-23.878602700342338</v>
      </c>
      <c r="M25" s="49">
        <f t="shared" si="126"/>
        <v>-21.282720723593247</v>
      </c>
      <c r="N25" s="49">
        <f t="shared" si="126"/>
        <v>-17.017302344141658</v>
      </c>
      <c r="O25" s="49">
        <f t="shared" si="126"/>
        <v>-10.552396256504748</v>
      </c>
      <c r="P25" s="49">
        <f t="shared" si="126"/>
        <v>-1.2126416129704243</v>
      </c>
      <c r="Q25" s="49">
        <f t="shared" ref="Q25:U25" si="127">Q24/Q26</f>
        <v>9.7567319343125796</v>
      </c>
      <c r="R25" s="49">
        <f t="shared" si="127"/>
        <v>21.625177912979293</v>
      </c>
      <c r="S25" s="49">
        <f t="shared" si="127"/>
        <v>34.504400281100459</v>
      </c>
      <c r="T25" s="49">
        <f t="shared" si="127"/>
        <v>48.516718104347824</v>
      </c>
      <c r="U25" s="49">
        <f t="shared" si="127"/>
        <v>63.79617972426022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</row>
    <row r="26" spans="1:200" s="16" customFormat="1" x14ac:dyDescent="0.15">
      <c r="A26" s="16" t="s">
        <v>17</v>
      </c>
      <c r="B26" s="23">
        <f>Reports!E20</f>
        <v>506.012</v>
      </c>
      <c r="C26" s="23">
        <f>Reports!I20</f>
        <v>501.17599999999999</v>
      </c>
      <c r="D26" s="23">
        <f>Reports!M20</f>
        <v>500.06</v>
      </c>
      <c r="E26" s="23">
        <v>38.162227999999999</v>
      </c>
      <c r="F26" s="23">
        <v>44.847442000000001</v>
      </c>
      <c r="G26" s="23">
        <f t="shared" ref="G26" si="128">F26</f>
        <v>44.847442000000001</v>
      </c>
      <c r="H26" s="23">
        <f t="shared" ref="H26" si="129">G26</f>
        <v>44.847442000000001</v>
      </c>
      <c r="I26" s="23">
        <f t="shared" ref="I26" si="130">H26</f>
        <v>44.847442000000001</v>
      </c>
      <c r="J26" s="23">
        <f t="shared" ref="J26" si="131">I26</f>
        <v>44.847442000000001</v>
      </c>
      <c r="K26" s="23">
        <f t="shared" ref="K26" si="132">J26</f>
        <v>44.847442000000001</v>
      </c>
      <c r="L26" s="23">
        <f t="shared" ref="L26" si="133">K26</f>
        <v>44.847442000000001</v>
      </c>
      <c r="M26" s="23">
        <f t="shared" ref="M26" si="134">L26</f>
        <v>44.847442000000001</v>
      </c>
      <c r="N26" s="23">
        <f t="shared" ref="N26" si="135">M26</f>
        <v>44.847442000000001</v>
      </c>
      <c r="O26" s="23">
        <f t="shared" ref="O26" si="136">N26</f>
        <v>44.847442000000001</v>
      </c>
      <c r="P26" s="23">
        <f t="shared" ref="P26:U26" si="137">O26</f>
        <v>44.847442000000001</v>
      </c>
      <c r="Q26" s="23">
        <f t="shared" si="137"/>
        <v>44.847442000000001</v>
      </c>
      <c r="R26" s="23">
        <f t="shared" si="137"/>
        <v>44.847442000000001</v>
      </c>
      <c r="S26" s="23">
        <f t="shared" si="137"/>
        <v>44.847442000000001</v>
      </c>
      <c r="T26" s="23">
        <f t="shared" si="137"/>
        <v>44.847442000000001</v>
      </c>
      <c r="U26" s="23">
        <f t="shared" si="137"/>
        <v>44.847442000000001</v>
      </c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</row>
    <row r="27" spans="1:200" x14ac:dyDescent="0.1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</row>
    <row r="28" spans="1:200" x14ac:dyDescent="0.15">
      <c r="A28" s="3" t="s">
        <v>19</v>
      </c>
      <c r="B28" s="34">
        <f t="shared" ref="B28:P28" si="138">IFERROR(B15/B13,0)</f>
        <v>0</v>
      </c>
      <c r="C28" s="34">
        <f t="shared" si="138"/>
        <v>0</v>
      </c>
      <c r="D28" s="34">
        <f t="shared" si="138"/>
        <v>0</v>
      </c>
      <c r="E28" s="34">
        <f>IFERROR(E15/E13,0)</f>
        <v>0.46462044565824601</v>
      </c>
      <c r="F28" s="34">
        <f t="shared" si="138"/>
        <v>0.55974360523969957</v>
      </c>
      <c r="G28" s="34">
        <f t="shared" si="138"/>
        <v>0.55974360523969957</v>
      </c>
      <c r="H28" s="34">
        <f>IFERROR(H15/H13,0)</f>
        <v>0.55974360523969957</v>
      </c>
      <c r="I28" s="34">
        <f t="shared" si="138"/>
        <v>0.55974360523969957</v>
      </c>
      <c r="J28" s="34">
        <f t="shared" si="138"/>
        <v>0.55974360523969957</v>
      </c>
      <c r="K28" s="34">
        <f t="shared" si="138"/>
        <v>0.55974360523969957</v>
      </c>
      <c r="L28" s="34">
        <f t="shared" si="138"/>
        <v>0.55974360523969957</v>
      </c>
      <c r="M28" s="34">
        <f t="shared" si="138"/>
        <v>0.55974360523969957</v>
      </c>
      <c r="N28" s="34">
        <f t="shared" si="138"/>
        <v>0.55974360523969957</v>
      </c>
      <c r="O28" s="34">
        <f t="shared" si="138"/>
        <v>0.55974360523969957</v>
      </c>
      <c r="P28" s="34">
        <f t="shared" si="138"/>
        <v>0.55974360523969957</v>
      </c>
      <c r="Q28" s="34">
        <f t="shared" ref="Q28:U28" si="139">IFERROR(Q15/Q13,0)</f>
        <v>0.55974360523969957</v>
      </c>
      <c r="R28" s="34">
        <f t="shared" si="139"/>
        <v>0.55974360523969957</v>
      </c>
      <c r="S28" s="34">
        <f t="shared" si="139"/>
        <v>0.55974360523969957</v>
      </c>
      <c r="T28" s="34">
        <f t="shared" si="139"/>
        <v>0.55974360523969957</v>
      </c>
      <c r="U28" s="34">
        <f t="shared" si="139"/>
        <v>0.55974360523969957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</row>
    <row r="29" spans="1:200" x14ac:dyDescent="0.15">
      <c r="A29" s="3" t="s">
        <v>20</v>
      </c>
      <c r="B29" s="36">
        <f t="shared" ref="B29:P29" si="140">IFERROR(B20/B13,0)</f>
        <v>0</v>
      </c>
      <c r="C29" s="36">
        <f t="shared" si="140"/>
        <v>0</v>
      </c>
      <c r="D29" s="36">
        <f t="shared" si="140"/>
        <v>0</v>
      </c>
      <c r="E29" s="36">
        <f>IFERROR(E20/E13,0)</f>
        <v>-1.9180477106738663</v>
      </c>
      <c r="F29" s="36">
        <f t="shared" si="140"/>
        <v>-1.3552850257603459</v>
      </c>
      <c r="G29" s="36">
        <f>IFERROR(G20/G13,0)</f>
        <v>-0.70634982537578994</v>
      </c>
      <c r="H29" s="36">
        <f t="shared" si="140"/>
        <v>-0.6322082599658424</v>
      </c>
      <c r="I29" s="36">
        <f t="shared" si="140"/>
        <v>-0.56586115524557568</v>
      </c>
      <c r="J29" s="36">
        <f t="shared" si="140"/>
        <v>-0.50616151666266485</v>
      </c>
      <c r="K29" s="36">
        <f t="shared" si="140"/>
        <v>-0.45214844601586268</v>
      </c>
      <c r="L29" s="36">
        <f t="shared" si="140"/>
        <v>-0.33553618990470946</v>
      </c>
      <c r="M29" s="36">
        <f t="shared" si="140"/>
        <v>-0.2329018793220681</v>
      </c>
      <c r="N29" s="36">
        <f t="shared" si="140"/>
        <v>-0.14251025754116967</v>
      </c>
      <c r="O29" s="36">
        <f t="shared" si="140"/>
        <v>-6.2848394148282666E-2</v>
      </c>
      <c r="P29" s="36">
        <f t="shared" si="140"/>
        <v>7.4036358744783868E-3</v>
      </c>
      <c r="Q29" s="36">
        <f t="shared" ref="Q29:U29" si="141">IFERROR(Q20/Q13,0)</f>
        <v>6.7271571875758746E-2</v>
      </c>
      <c r="R29" s="36">
        <f t="shared" si="141"/>
        <v>0.11976186909548667</v>
      </c>
      <c r="S29" s="36">
        <f t="shared" si="141"/>
        <v>0.16583568735800588</v>
      </c>
      <c r="T29" s="36">
        <f t="shared" si="141"/>
        <v>0.20632615715437216</v>
      </c>
      <c r="U29" s="36">
        <f t="shared" si="141"/>
        <v>0.24195559124628924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</row>
    <row r="30" spans="1:200" x14ac:dyDescent="0.15">
      <c r="A30" s="3" t="s">
        <v>21</v>
      </c>
      <c r="B30" s="36">
        <f t="shared" ref="B30:P30" si="142">IFERROR(B23/B22,0)</f>
        <v>-6.2276087339006012E-2</v>
      </c>
      <c r="C30" s="36">
        <f t="shared" si="142"/>
        <v>-6.0271192761193415E-2</v>
      </c>
      <c r="D30" s="36">
        <f t="shared" si="142"/>
        <v>-8.5921511488296368E-2</v>
      </c>
      <c r="E30" s="36">
        <f>IFERROR(E23/E22,0)</f>
        <v>-5.6366608421171312E-3</v>
      </c>
      <c r="F30" s="36">
        <f t="shared" si="142"/>
        <v>-2.8751412413134795E-3</v>
      </c>
      <c r="G30" s="36">
        <f t="shared" si="142"/>
        <v>0</v>
      </c>
      <c r="H30" s="36">
        <f t="shared" si="142"/>
        <v>0</v>
      </c>
      <c r="I30" s="36">
        <f t="shared" si="142"/>
        <v>0</v>
      </c>
      <c r="J30" s="36">
        <f t="shared" si="142"/>
        <v>0.15</v>
      </c>
      <c r="K30" s="36">
        <f t="shared" si="142"/>
        <v>0.15</v>
      </c>
      <c r="L30" s="36">
        <f t="shared" si="142"/>
        <v>0.15</v>
      </c>
      <c r="M30" s="36">
        <f t="shared" si="142"/>
        <v>0.15</v>
      </c>
      <c r="N30" s="36">
        <f t="shared" si="142"/>
        <v>0.15</v>
      </c>
      <c r="O30" s="36">
        <f t="shared" si="142"/>
        <v>0.15</v>
      </c>
      <c r="P30" s="36">
        <f t="shared" si="142"/>
        <v>0.15</v>
      </c>
      <c r="Q30" s="36">
        <f t="shared" ref="Q30:U30" si="143">IFERROR(Q23/Q22,0)</f>
        <v>0.15</v>
      </c>
      <c r="R30" s="36">
        <f t="shared" si="143"/>
        <v>0.15</v>
      </c>
      <c r="S30" s="36">
        <f t="shared" si="143"/>
        <v>0.15</v>
      </c>
      <c r="T30" s="36">
        <f t="shared" si="143"/>
        <v>0.15</v>
      </c>
      <c r="U30" s="36">
        <f t="shared" si="143"/>
        <v>0.15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A32" s="2" t="s">
        <v>18</v>
      </c>
      <c r="B32" s="26"/>
      <c r="C32" s="50" t="e">
        <f t="shared" ref="C32:U32" si="144">C13/B13-1</f>
        <v>#DIV/0!</v>
      </c>
      <c r="D32" s="50" t="e">
        <f t="shared" si="144"/>
        <v>#DIV/0!</v>
      </c>
      <c r="E32" s="50" t="e">
        <f t="shared" si="144"/>
        <v>#DIV/0!</v>
      </c>
      <c r="F32" s="50">
        <f>F13/E13-1</f>
        <v>1.7387913020089791</v>
      </c>
      <c r="G32" s="50">
        <f t="shared" si="144"/>
        <v>1.1287564023146537</v>
      </c>
      <c r="H32" s="50">
        <f t="shared" si="144"/>
        <v>0.5</v>
      </c>
      <c r="I32" s="50">
        <f t="shared" si="144"/>
        <v>0.5</v>
      </c>
      <c r="J32" s="50">
        <f t="shared" si="144"/>
        <v>0.50000000000000022</v>
      </c>
      <c r="K32" s="50">
        <f t="shared" si="144"/>
        <v>0.49999999999999978</v>
      </c>
      <c r="L32" s="50">
        <f t="shared" si="144"/>
        <v>0.25</v>
      </c>
      <c r="M32" s="50">
        <f t="shared" si="144"/>
        <v>0.25</v>
      </c>
      <c r="N32" s="50">
        <f t="shared" si="144"/>
        <v>0.25</v>
      </c>
      <c r="O32" s="50">
        <f t="shared" si="144"/>
        <v>0.25</v>
      </c>
      <c r="P32" s="50">
        <f t="shared" si="144"/>
        <v>0.25</v>
      </c>
      <c r="Q32" s="50">
        <f t="shared" si="144"/>
        <v>0.10000000000000009</v>
      </c>
      <c r="R32" s="50">
        <f t="shared" si="144"/>
        <v>0.10000000000000009</v>
      </c>
      <c r="S32" s="50">
        <f t="shared" si="144"/>
        <v>0.10000000000000009</v>
      </c>
      <c r="T32" s="50">
        <f t="shared" si="144"/>
        <v>0.10000000000000009</v>
      </c>
      <c r="U32" s="50">
        <f t="shared" si="144"/>
        <v>0.10000000000000009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A33" s="3" t="s">
        <v>38</v>
      </c>
      <c r="B33" s="20"/>
      <c r="C33" s="36">
        <f t="shared" ref="C33:U33" si="145">C16/B16-1</f>
        <v>0.13127745644639677</v>
      </c>
      <c r="D33" s="36">
        <f t="shared" si="145"/>
        <v>0.25417551668208738</v>
      </c>
      <c r="E33" s="36">
        <f t="shared" si="145"/>
        <v>-0.94389077650668796</v>
      </c>
      <c r="F33" s="36">
        <f t="shared" si="145"/>
        <v>0.52880709366491474</v>
      </c>
      <c r="G33" s="36">
        <f t="shared" si="145"/>
        <v>0.44999999999999996</v>
      </c>
      <c r="H33" s="36">
        <f t="shared" si="145"/>
        <v>0.44999999999999996</v>
      </c>
      <c r="I33" s="36">
        <f t="shared" si="145"/>
        <v>0.44999999999999996</v>
      </c>
      <c r="J33" s="36">
        <f t="shared" si="145"/>
        <v>0.44999999999999996</v>
      </c>
      <c r="K33" s="36">
        <f t="shared" si="145"/>
        <v>0.44999999999999996</v>
      </c>
      <c r="L33" s="36">
        <f t="shared" si="145"/>
        <v>0.14999999999999991</v>
      </c>
      <c r="M33" s="36">
        <f t="shared" si="145"/>
        <v>0.14999999999999991</v>
      </c>
      <c r="N33" s="36">
        <f t="shared" si="145"/>
        <v>0.14999999999999991</v>
      </c>
      <c r="O33" s="36">
        <f t="shared" si="145"/>
        <v>0.14999999999999991</v>
      </c>
      <c r="P33" s="36">
        <f t="shared" si="145"/>
        <v>0.14999999999999991</v>
      </c>
      <c r="Q33" s="36">
        <f t="shared" si="145"/>
        <v>5.0000000000000044E-2</v>
      </c>
      <c r="R33" s="36">
        <f t="shared" si="145"/>
        <v>5.0000000000000044E-2</v>
      </c>
      <c r="S33" s="36">
        <f t="shared" si="145"/>
        <v>5.0000000000000044E-2</v>
      </c>
      <c r="T33" s="36">
        <f t="shared" si="145"/>
        <v>5.0000000000000044E-2</v>
      </c>
      <c r="U33" s="36">
        <f t="shared" si="145"/>
        <v>5.0000000000000044E-2</v>
      </c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A34" s="3" t="s">
        <v>39</v>
      </c>
      <c r="B34" s="20"/>
      <c r="C34" s="36">
        <f t="shared" ref="C34:U34" si="146">C17/B17-1</f>
        <v>0.13483206811617121</v>
      </c>
      <c r="D34" s="36">
        <f t="shared" si="146"/>
        <v>0.15045306845314887</v>
      </c>
      <c r="E34" s="36">
        <f t="shared" si="146"/>
        <v>-0.94282742201464143</v>
      </c>
      <c r="F34" s="36">
        <f t="shared" si="146"/>
        <v>1.3399818532019547</v>
      </c>
      <c r="G34" s="36">
        <f t="shared" si="146"/>
        <v>0.44999999999999996</v>
      </c>
      <c r="H34" s="36">
        <f t="shared" si="146"/>
        <v>0.44999999999999996</v>
      </c>
      <c r="I34" s="36">
        <f t="shared" si="146"/>
        <v>0.44999999999999996</v>
      </c>
      <c r="J34" s="36">
        <f t="shared" si="146"/>
        <v>0.44999999999999996</v>
      </c>
      <c r="K34" s="36">
        <f t="shared" si="146"/>
        <v>0.44999999999999996</v>
      </c>
      <c r="L34" s="36">
        <f t="shared" si="146"/>
        <v>9.9999999999999867E-2</v>
      </c>
      <c r="M34" s="36">
        <f t="shared" si="146"/>
        <v>0.10000000000000009</v>
      </c>
      <c r="N34" s="36">
        <f t="shared" si="146"/>
        <v>0.10000000000000009</v>
      </c>
      <c r="O34" s="36">
        <f t="shared" si="146"/>
        <v>0.10000000000000009</v>
      </c>
      <c r="P34" s="36">
        <f t="shared" si="146"/>
        <v>0.10000000000000009</v>
      </c>
      <c r="Q34" s="36">
        <f t="shared" si="146"/>
        <v>-5.0000000000000044E-2</v>
      </c>
      <c r="R34" s="36">
        <f t="shared" si="146"/>
        <v>-5.0000000000000044E-2</v>
      </c>
      <c r="S34" s="36">
        <f t="shared" si="146"/>
        <v>-5.0000000000000155E-2</v>
      </c>
      <c r="T34" s="36">
        <f t="shared" si="146"/>
        <v>-5.0000000000000044E-2</v>
      </c>
      <c r="U34" s="36">
        <f t="shared" si="146"/>
        <v>-5.0000000000000044E-2</v>
      </c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3" t="s">
        <v>40</v>
      </c>
      <c r="B35" s="20"/>
      <c r="C35" s="36">
        <f t="shared" ref="C35:U35" si="147">C18/B18-1</f>
        <v>8.7371933163602034E-2</v>
      </c>
      <c r="D35" s="36">
        <f>D18/C18-1</f>
        <v>7.1069866327801989E-2</v>
      </c>
      <c r="E35" s="36">
        <f t="shared" si="147"/>
        <v>-0.94866441930902312</v>
      </c>
      <c r="F35" s="36">
        <f t="shared" si="147"/>
        <v>2</v>
      </c>
      <c r="G35" s="36">
        <f t="shared" si="147"/>
        <v>0.25</v>
      </c>
      <c r="H35" s="36">
        <f t="shared" si="147"/>
        <v>0.25</v>
      </c>
      <c r="I35" s="36">
        <f t="shared" si="147"/>
        <v>0.25</v>
      </c>
      <c r="J35" s="36">
        <f t="shared" si="147"/>
        <v>0.25</v>
      </c>
      <c r="K35" s="36">
        <f t="shared" si="147"/>
        <v>0.25</v>
      </c>
      <c r="L35" s="36">
        <f t="shared" si="147"/>
        <v>5.0000000000000044E-2</v>
      </c>
      <c r="M35" s="36">
        <f t="shared" si="147"/>
        <v>5.0000000000000044E-2</v>
      </c>
      <c r="N35" s="36">
        <f t="shared" si="147"/>
        <v>5.0000000000000044E-2</v>
      </c>
      <c r="O35" s="36">
        <f t="shared" si="147"/>
        <v>5.0000000000000044E-2</v>
      </c>
      <c r="P35" s="36">
        <f t="shared" si="147"/>
        <v>5.0000000000000044E-2</v>
      </c>
      <c r="Q35" s="36">
        <f t="shared" si="147"/>
        <v>-2.0000000000000018E-2</v>
      </c>
      <c r="R35" s="36">
        <f t="shared" si="147"/>
        <v>-2.0000000000000018E-2</v>
      </c>
      <c r="S35" s="36">
        <f t="shared" si="147"/>
        <v>-2.0000000000000018E-2</v>
      </c>
      <c r="T35" s="36">
        <f t="shared" si="147"/>
        <v>-1.9999999999999907E-2</v>
      </c>
      <c r="U35" s="36">
        <f t="shared" si="147"/>
        <v>-2.0000000000000018E-2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6" t="s">
        <v>67</v>
      </c>
      <c r="B36" s="20"/>
      <c r="C36" s="45">
        <f>C19/B19-1</f>
        <v>0.12478038333610231</v>
      </c>
      <c r="D36" s="45">
        <f>D19/C19-1</f>
        <v>0.16436378116421713</v>
      </c>
      <c r="E36" s="45">
        <f>E19/D19-1</f>
        <v>-0.94413593863959011</v>
      </c>
      <c r="F36" s="45">
        <f t="shared" ref="F36:U36" si="148">F19/E19-1</f>
        <v>1.2012564963117014</v>
      </c>
      <c r="G36" s="45">
        <f t="shared" si="148"/>
        <v>0.40739644970414202</v>
      </c>
      <c r="H36" s="45">
        <f t="shared" si="148"/>
        <v>0.41216102585663239</v>
      </c>
      <c r="I36" s="45">
        <f t="shared" si="148"/>
        <v>0.41650614426175814</v>
      </c>
      <c r="J36" s="45">
        <f t="shared" si="148"/>
        <v>0.42044324880452799</v>
      </c>
      <c r="K36" s="45">
        <f t="shared" si="148"/>
        <v>0.42398985209339801</v>
      </c>
      <c r="L36" s="45">
        <f>L19/K19-1</f>
        <v>0.10594775652395438</v>
      </c>
      <c r="M36" s="45">
        <f t="shared" si="148"/>
        <v>0.10670078904482816</v>
      </c>
      <c r="N36" s="45">
        <f t="shared" si="148"/>
        <v>0.10745263244817194</v>
      </c>
      <c r="O36" s="45">
        <f t="shared" si="148"/>
        <v>0.10820323031504531</v>
      </c>
      <c r="P36" s="45">
        <f t="shared" si="148"/>
        <v>0.10895251205480494</v>
      </c>
      <c r="Q36" s="45">
        <f t="shared" si="148"/>
        <v>-1.9228615081201217E-2</v>
      </c>
      <c r="R36" s="45">
        <f t="shared" si="148"/>
        <v>-1.7243869763119979E-2</v>
      </c>
      <c r="S36" s="45">
        <f t="shared" si="148"/>
        <v>-1.5189327022790855E-2</v>
      </c>
      <c r="T36" s="45">
        <f t="shared" si="148"/>
        <v>-1.307088472737894E-2</v>
      </c>
      <c r="U36" s="45">
        <f t="shared" si="148"/>
        <v>-1.0895423283251104E-2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B37" s="20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A38" s="2" t="s">
        <v>26</v>
      </c>
      <c r="B38" s="24">
        <f>B39-B40</f>
        <v>0</v>
      </c>
      <c r="C38" s="24">
        <f>C39-C40</f>
        <v>0</v>
      </c>
      <c r="D38" s="24">
        <f>D39-D40</f>
        <v>0</v>
      </c>
      <c r="E38" s="24">
        <f>E39-E40</f>
        <v>609</v>
      </c>
      <c r="F38" s="24">
        <f>F39-F40</f>
        <v>458</v>
      </c>
      <c r="G38" s="51">
        <f>F38+G24</f>
        <v>69.07254001541088</v>
      </c>
      <c r="H38" s="51">
        <f>G38+H24</f>
        <v>-463.99969916116476</v>
      </c>
      <c r="I38" s="51">
        <f t="shared" ref="I38:U38" si="149">H38+I24</f>
        <v>-1190.8278531097137</v>
      </c>
      <c r="J38" s="51">
        <f t="shared" si="149"/>
        <v>-2029.4245533808689</v>
      </c>
      <c r="K38" s="51">
        <f t="shared" si="149"/>
        <v>-3160.4627027689039</v>
      </c>
      <c r="L38" s="51">
        <f t="shared" si="149"/>
        <v>-4231.3569524135501</v>
      </c>
      <c r="M38" s="51">
        <f t="shared" si="149"/>
        <v>-5185.8325356670966</v>
      </c>
      <c r="N38" s="51">
        <f t="shared" si="149"/>
        <v>-5949.0150155424535</v>
      </c>
      <c r="O38" s="51">
        <f t="shared" si="149"/>
        <v>-6422.2629946170673</v>
      </c>
      <c r="P38" s="51">
        <f t="shared" si="149"/>
        <v>-6476.6468690215452</v>
      </c>
      <c r="Q38" s="51">
        <f t="shared" si="149"/>
        <v>-6039.0823994879138</v>
      </c>
      <c r="R38" s="51">
        <f t="shared" si="149"/>
        <v>-5069.2484872958939</v>
      </c>
      <c r="S38" s="51">
        <f t="shared" si="149"/>
        <v>-3521.8143969444573</v>
      </c>
      <c r="T38" s="51">
        <f t="shared" si="149"/>
        <v>-1345.9636957293683</v>
      </c>
      <c r="U38" s="51">
        <f t="shared" si="149"/>
        <v>1515.1317742759679</v>
      </c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A39" s="3" t="s">
        <v>27</v>
      </c>
      <c r="B39" s="52"/>
      <c r="C39" s="52"/>
      <c r="D39" s="52"/>
      <c r="E39" s="52">
        <f>Reports!Q33</f>
        <v>609</v>
      </c>
      <c r="F39" s="52">
        <f>Reports!U33</f>
        <v>458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23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A40" s="3" t="s">
        <v>28</v>
      </c>
      <c r="B40" s="52"/>
      <c r="C40" s="52"/>
      <c r="D40" s="52"/>
      <c r="E40" s="52">
        <f>Reports!Q34</f>
        <v>0</v>
      </c>
      <c r="F40" s="52">
        <f>Reports!U34</f>
        <v>0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23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4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A42" s="3" t="s">
        <v>52</v>
      </c>
      <c r="B42" s="55"/>
      <c r="C42" s="55"/>
      <c r="D42" s="55"/>
      <c r="E42" s="52">
        <f>Reports!Q36</f>
        <v>0</v>
      </c>
      <c r="F42" s="52">
        <f>Reports!U36</f>
        <v>77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A43" s="3" t="s">
        <v>53</v>
      </c>
      <c r="B43" s="55"/>
      <c r="C43" s="55"/>
      <c r="D43" s="55"/>
      <c r="E43" s="52">
        <f>Reports!Q37</f>
        <v>764</v>
      </c>
      <c r="F43" s="52">
        <f>Reports!U37</f>
        <v>1013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54</v>
      </c>
      <c r="B44" s="55"/>
      <c r="C44" s="55"/>
      <c r="D44" s="55"/>
      <c r="E44" s="52">
        <f>Reports!Q38</f>
        <v>1077</v>
      </c>
      <c r="F44" s="52">
        <f>Reports!U38</f>
        <v>1556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</row>
    <row r="46" spans="1:117" x14ac:dyDescent="0.15">
      <c r="A46" s="3" t="s">
        <v>55</v>
      </c>
      <c r="B46" s="56">
        <f>B43-B42-B39</f>
        <v>0</v>
      </c>
      <c r="C46" s="56">
        <f>C43-C42-C39</f>
        <v>0</v>
      </c>
      <c r="D46" s="56">
        <f>D43-D42-D39</f>
        <v>0</v>
      </c>
      <c r="E46" s="56">
        <f>E43-E42-E39</f>
        <v>155</v>
      </c>
      <c r="F46" s="56">
        <f>F43-F42-F39</f>
        <v>478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A47" s="3" t="s">
        <v>56</v>
      </c>
      <c r="B47" s="56">
        <f>B43-B44</f>
        <v>0</v>
      </c>
      <c r="C47" s="56">
        <f>C43-C44</f>
        <v>0</v>
      </c>
      <c r="D47" s="56">
        <f>D43-D44</f>
        <v>0</v>
      </c>
      <c r="E47" s="56">
        <f>E43-E44</f>
        <v>-313</v>
      </c>
      <c r="F47" s="56">
        <f>F43-F44</f>
        <v>-543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</row>
    <row r="49" spans="1:117" x14ac:dyDescent="0.15">
      <c r="A49" s="18" t="s">
        <v>58</v>
      </c>
      <c r="B49" s="57" t="e">
        <f>B24/B47</f>
        <v>#DIV/0!</v>
      </c>
      <c r="C49" s="57" t="e">
        <f>C24/C47</f>
        <v>#DIV/0!</v>
      </c>
      <c r="D49" s="57" t="e">
        <f>D24/D47</f>
        <v>#DIV/0!</v>
      </c>
      <c r="E49" s="57">
        <f>E24/E47</f>
        <v>0.56999999999999995</v>
      </c>
      <c r="F49" s="57">
        <f>F24/F47</f>
        <v>0.6423738489871087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</row>
    <row r="50" spans="1:117" x14ac:dyDescent="0.15">
      <c r="A50" s="18" t="s">
        <v>59</v>
      </c>
      <c r="B50" s="57" t="e">
        <f>B24/B43</f>
        <v>#DIV/0!</v>
      </c>
      <c r="C50" s="57" t="e">
        <f>C24/C43</f>
        <v>#DIV/0!</v>
      </c>
      <c r="D50" s="57" t="e">
        <f>D24/D43</f>
        <v>#DIV/0!</v>
      </c>
      <c r="E50" s="57">
        <f>E24/E43</f>
        <v>-0.23352094240837692</v>
      </c>
      <c r="F50" s="57">
        <f>F24/F43</f>
        <v>-0.34433267522211258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</row>
    <row r="51" spans="1:117" x14ac:dyDescent="0.15">
      <c r="A51" s="18" t="s">
        <v>60</v>
      </c>
      <c r="B51" s="57" t="e">
        <f>B24/(B47-B42)</f>
        <v>#DIV/0!</v>
      </c>
      <c r="C51" s="57" t="e">
        <f>C24/(C47-C42)</f>
        <v>#DIV/0!</v>
      </c>
      <c r="D51" s="57" t="e">
        <f>D24/(D47-D42)</f>
        <v>#DIV/0!</v>
      </c>
      <c r="E51" s="57">
        <f>E24/(E47-E42)</f>
        <v>0.56999999999999995</v>
      </c>
      <c r="F51" s="57">
        <f>F24/(F47-F42)</f>
        <v>0.56259516129032261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8" t="s">
        <v>61</v>
      </c>
      <c r="B52" s="57" t="e">
        <f>B24/B46</f>
        <v>#DIV/0!</v>
      </c>
      <c r="C52" s="57" t="e">
        <f>C24/C46</f>
        <v>#DIV/0!</v>
      </c>
      <c r="D52" s="57" t="e">
        <f>D24/D46</f>
        <v>#DIV/0!</v>
      </c>
      <c r="E52" s="57">
        <f>E24/E46</f>
        <v>-1.151032258064516</v>
      </c>
      <c r="F52" s="57">
        <f>F24/F46</f>
        <v>-0.72972594142259417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A54" s="6" t="s">
        <v>66</v>
      </c>
      <c r="B54" s="39"/>
      <c r="C54" s="57" t="e">
        <f>C10/B10-1</f>
        <v>#DIV/0!</v>
      </c>
      <c r="D54" s="57" t="e">
        <f>D10/C10-1</f>
        <v>#DIV/0!</v>
      </c>
      <c r="E54" s="57" t="e">
        <f>E10/D10-1</f>
        <v>#DIV/0!</v>
      </c>
      <c r="F54" s="57">
        <f>F10/E10-1</f>
        <v>1.6360900055391241</v>
      </c>
      <c r="G54" s="57">
        <f>G10/F10-1</f>
        <v>1.0860646476019804</v>
      </c>
      <c r="H54" s="57">
        <f>H10/G10-1</f>
        <v>0.5</v>
      </c>
      <c r="I54" s="57">
        <f>I10/H10-1</f>
        <v>0.5</v>
      </c>
      <c r="J54" s="57">
        <f>J10/I10-1</f>
        <v>0.5</v>
      </c>
      <c r="K54" s="57">
        <f>K10/J10-1</f>
        <v>0.49999999999999978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A55" s="6" t="s">
        <v>85</v>
      </c>
      <c r="B55" s="39"/>
      <c r="C55" s="57" t="e">
        <f>C11/B11-1</f>
        <v>#DIV/0!</v>
      </c>
      <c r="D55" s="57" t="e">
        <f>D11/C11-1</f>
        <v>#DIV/0!</v>
      </c>
      <c r="E55" s="57" t="e">
        <f>E11/D11-1</f>
        <v>#DIV/0!</v>
      </c>
      <c r="F55" s="57">
        <f>F11/E11-1</f>
        <v>11.735503560528993</v>
      </c>
      <c r="G55" s="57">
        <f>G11/F11-1</f>
        <v>1.9888968767473441</v>
      </c>
      <c r="H55" s="57">
        <f>H11/G11-1</f>
        <v>0.5</v>
      </c>
      <c r="I55" s="57">
        <f>I11/H11-1</f>
        <v>0.49999999999999978</v>
      </c>
      <c r="J55" s="57">
        <f>J11/I11-1</f>
        <v>0.5</v>
      </c>
      <c r="K55" s="57">
        <f>K11/J11-1</f>
        <v>0.49999999999999978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</sheetData>
  <hyperlinks>
    <hyperlink ref="A1" r:id="rId1" xr:uid="{00000000-0004-0000-0000-000000000000}"/>
    <hyperlink ref="L4" r:id="rId2" xr:uid="{CBCA994A-BC74-CB48-8009-AD2DE8254A02}"/>
    <hyperlink ref="A4" r:id="rId3" xr:uid="{068696B4-DB28-A146-987F-F8C2A9C1DBAE}"/>
    <hyperlink ref="A7" r:id="rId4" xr:uid="{E5DCEBF5-A971-884B-8680-84A123AB0378}"/>
    <hyperlink ref="A8" r:id="rId5" xr:uid="{97F64F0F-088C-174C-AC43-0385F521411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zoomScale="125" zoomScaleNormal="125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Y20" sqref="Y20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7" x14ac:dyDescent="0.15">
      <c r="A1" s="68" t="s">
        <v>41</v>
      </c>
      <c r="B1" s="21" t="s">
        <v>22</v>
      </c>
      <c r="C1" s="20" t="s">
        <v>23</v>
      </c>
      <c r="D1" s="20" t="s">
        <v>24</v>
      </c>
      <c r="E1" s="20" t="s">
        <v>25</v>
      </c>
      <c r="F1" s="22" t="s">
        <v>0</v>
      </c>
      <c r="G1" s="23" t="s">
        <v>1</v>
      </c>
      <c r="H1" s="23" t="s">
        <v>2</v>
      </c>
      <c r="I1" s="23" t="s">
        <v>3</v>
      </c>
      <c r="J1" s="22" t="s">
        <v>34</v>
      </c>
      <c r="K1" s="23" t="s">
        <v>35</v>
      </c>
      <c r="L1" s="23" t="s">
        <v>36</v>
      </c>
      <c r="M1" s="23" t="s">
        <v>37</v>
      </c>
      <c r="N1" s="22" t="s">
        <v>48</v>
      </c>
      <c r="O1" s="23" t="s">
        <v>49</v>
      </c>
      <c r="P1" s="23" t="s">
        <v>50</v>
      </c>
      <c r="Q1" s="23" t="s">
        <v>51</v>
      </c>
      <c r="R1" s="22" t="s">
        <v>68</v>
      </c>
      <c r="S1" s="23" t="s">
        <v>73</v>
      </c>
      <c r="T1" s="23" t="s">
        <v>74</v>
      </c>
      <c r="U1" s="23" t="s">
        <v>69</v>
      </c>
      <c r="V1" s="21" t="s">
        <v>79</v>
      </c>
      <c r="W1" s="20" t="s">
        <v>80</v>
      </c>
      <c r="X1" s="20" t="s">
        <v>81</v>
      </c>
      <c r="Y1" s="20" t="s">
        <v>82</v>
      </c>
    </row>
    <row r="2" spans="1:27" s="20" customFormat="1" x14ac:dyDescent="0.15">
      <c r="A2" s="1"/>
      <c r="F2" s="21"/>
      <c r="J2" s="21"/>
      <c r="N2" s="21"/>
      <c r="Q2" s="59">
        <v>43496</v>
      </c>
      <c r="R2" s="21"/>
      <c r="T2" s="59">
        <v>43769</v>
      </c>
      <c r="U2" s="59">
        <v>43861</v>
      </c>
      <c r="V2" s="60">
        <v>43951</v>
      </c>
      <c r="W2" s="59">
        <v>44043</v>
      </c>
      <c r="X2" s="59">
        <v>44135</v>
      </c>
    </row>
    <row r="3" spans="1:27" s="8" customFormat="1" x14ac:dyDescent="0.15">
      <c r="A3" s="8" t="s">
        <v>65</v>
      </c>
      <c r="B3" s="23"/>
      <c r="C3" s="23"/>
      <c r="D3" s="23"/>
      <c r="E3" s="23"/>
      <c r="F3" s="22"/>
      <c r="G3" s="23"/>
      <c r="H3" s="23"/>
      <c r="I3" s="23"/>
      <c r="J3" s="22"/>
      <c r="K3" s="23"/>
      <c r="L3" s="23"/>
      <c r="M3" s="23"/>
      <c r="N3" s="22"/>
      <c r="O3" s="23"/>
      <c r="P3" s="23"/>
      <c r="Q3" s="23"/>
      <c r="R3" s="22"/>
      <c r="S3" s="23"/>
      <c r="T3" s="23">
        <v>69.212999999999994</v>
      </c>
      <c r="U3" s="23">
        <v>82.432000000000002</v>
      </c>
      <c r="V3" s="22">
        <v>101.81699999999999</v>
      </c>
      <c r="W3" s="23">
        <v>125.21599999999999</v>
      </c>
      <c r="X3" s="23">
        <v>148.47300000000001</v>
      </c>
      <c r="Y3" s="23">
        <f>Y6-Y4</f>
        <v>150.66</v>
      </c>
    </row>
    <row r="4" spans="1:27" s="8" customFormat="1" x14ac:dyDescent="0.15">
      <c r="A4" s="8" t="s">
        <v>84</v>
      </c>
      <c r="B4" s="23"/>
      <c r="C4" s="23"/>
      <c r="D4" s="23"/>
      <c r="E4" s="23"/>
      <c r="F4" s="22"/>
      <c r="G4" s="23"/>
      <c r="H4" s="23"/>
      <c r="I4" s="23"/>
      <c r="J4" s="22"/>
      <c r="K4" s="23"/>
      <c r="L4" s="23"/>
      <c r="M4" s="23"/>
      <c r="N4" s="22"/>
      <c r="O4" s="23"/>
      <c r="P4" s="23"/>
      <c r="Q4" s="23"/>
      <c r="R4" s="22"/>
      <c r="S4" s="23"/>
      <c r="T4" s="23">
        <v>3.7989999999999999</v>
      </c>
      <c r="U4" s="23">
        <v>5.26</v>
      </c>
      <c r="V4" s="22">
        <v>6.9980000000000002</v>
      </c>
      <c r="W4" s="23">
        <v>7.9290000000000003</v>
      </c>
      <c r="X4" s="23">
        <v>11.151</v>
      </c>
      <c r="Y4" s="23">
        <f>Y6*0.07</f>
        <v>11.340000000000002</v>
      </c>
      <c r="Z4" s="4"/>
      <c r="AA4" s="4"/>
    </row>
    <row r="5" spans="1:27" s="23" customFormat="1" x14ac:dyDescent="0.15">
      <c r="F5" s="22"/>
      <c r="J5" s="22"/>
      <c r="N5" s="22"/>
      <c r="R5" s="22"/>
      <c r="V5" s="22"/>
      <c r="Y5" s="23">
        <v>162</v>
      </c>
    </row>
    <row r="6" spans="1:27" s="17" customFormat="1" x14ac:dyDescent="0.15">
      <c r="A6" s="17" t="s">
        <v>4</v>
      </c>
      <c r="B6" s="24">
        <f>SUM(B3:B4)</f>
        <v>0</v>
      </c>
      <c r="C6" s="24">
        <f>SUM(C3:C4)</f>
        <v>0</v>
      </c>
      <c r="D6" s="24">
        <f>SUM(D3:D4)</f>
        <v>0</v>
      </c>
      <c r="E6" s="24">
        <f>SUM(E3:E4)</f>
        <v>0</v>
      </c>
      <c r="F6" s="25">
        <f>SUM(F3:F4)</f>
        <v>0</v>
      </c>
      <c r="G6" s="24">
        <f>SUM(G3:G4)</f>
        <v>0</v>
      </c>
      <c r="H6" s="24">
        <f>SUM(H3:H4)</f>
        <v>0</v>
      </c>
      <c r="I6" s="24">
        <f>SUM(I3:I4)</f>
        <v>0</v>
      </c>
      <c r="J6" s="25">
        <f>SUM(J3:J4)</f>
        <v>0</v>
      </c>
      <c r="K6" s="24">
        <f>SUM(K3:K4)</f>
        <v>0</v>
      </c>
      <c r="L6" s="24">
        <f>SUM(L3:L4)</f>
        <v>0</v>
      </c>
      <c r="M6" s="24">
        <f>SUM(M3:M4)</f>
        <v>0</v>
      </c>
      <c r="N6" s="25">
        <f>SUM(N3:N4)</f>
        <v>0</v>
      </c>
      <c r="O6" s="24">
        <f>SUM(O3:O4)</f>
        <v>0</v>
      </c>
      <c r="P6" s="24">
        <f>SUM(P3:P4)</f>
        <v>0</v>
      </c>
      <c r="Q6" s="24">
        <f>SUM(Q3:Q4)</f>
        <v>0</v>
      </c>
      <c r="R6" s="25">
        <f>SUM(R3:R4)</f>
        <v>0</v>
      </c>
      <c r="S6" s="24">
        <f>SUM(S3:S4)</f>
        <v>0</v>
      </c>
      <c r="T6" s="24">
        <f>SUM(T3:T4)</f>
        <v>73.012</v>
      </c>
      <c r="U6" s="24">
        <f>SUM(U3:U4)</f>
        <v>87.692000000000007</v>
      </c>
      <c r="V6" s="25">
        <f>SUM(V3:V4)</f>
        <v>108.815</v>
      </c>
      <c r="W6" s="24">
        <f>SUM(W3:W4)</f>
        <v>133.14499999999998</v>
      </c>
      <c r="X6" s="24">
        <f>SUM(X3:X4)</f>
        <v>159.62400000000002</v>
      </c>
      <c r="Y6" s="51">
        <v>162</v>
      </c>
    </row>
    <row r="7" spans="1:27" s="8" customFormat="1" x14ac:dyDescent="0.15">
      <c r="A7" s="8" t="s">
        <v>5</v>
      </c>
      <c r="B7" s="23">
        <v>166.798</v>
      </c>
      <c r="C7" s="23">
        <v>185.173</v>
      </c>
      <c r="D7" s="23">
        <v>190.98500000000001</v>
      </c>
      <c r="E7" s="23">
        <v>201.36099999999999</v>
      </c>
      <c r="F7" s="22">
        <v>198.572</v>
      </c>
      <c r="G7" s="23">
        <v>202.07900000000001</v>
      </c>
      <c r="H7" s="23">
        <v>202.70099999999999</v>
      </c>
      <c r="I7" s="23">
        <v>216.55600000000001</v>
      </c>
      <c r="J7" s="22">
        <v>237.33699999999999</v>
      </c>
      <c r="K7" s="23">
        <v>239.36</v>
      </c>
      <c r="L7" s="23">
        <v>262.92200000000003</v>
      </c>
      <c r="M7" s="23">
        <v>270.87200000000001</v>
      </c>
      <c r="N7" s="22">
        <v>258.90199999999999</v>
      </c>
      <c r="O7" s="23">
        <v>281.34399999999999</v>
      </c>
      <c r="P7" s="23">
        <v>295.49200000000002</v>
      </c>
      <c r="Q7" s="23">
        <v>359.26100000000002</v>
      </c>
      <c r="R7" s="22">
        <v>397.286</v>
      </c>
      <c r="S7" s="23">
        <v>407.488</v>
      </c>
      <c r="T7" s="52">
        <v>29.489000000000001</v>
      </c>
      <c r="U7" s="52">
        <f>-53.655+U6</f>
        <v>34.037000000000006</v>
      </c>
      <c r="V7" s="22">
        <f>-66.284+V6</f>
        <v>42.530999999999992</v>
      </c>
      <c r="W7" s="52">
        <f>-82.5+W6</f>
        <v>50.644999999999982</v>
      </c>
      <c r="X7" s="52">
        <v>66.680999999999997</v>
      </c>
      <c r="Y7" s="52"/>
    </row>
    <row r="8" spans="1:27" s="8" customFormat="1" x14ac:dyDescent="0.15">
      <c r="A8" s="8" t="s">
        <v>6</v>
      </c>
      <c r="B8" s="27">
        <f>B6-B7</f>
        <v>-166.798</v>
      </c>
      <c r="C8" s="27">
        <f>C6-C7</f>
        <v>-185.173</v>
      </c>
      <c r="D8" s="27">
        <f>D6-D7</f>
        <v>-190.98500000000001</v>
      </c>
      <c r="E8" s="27">
        <f>E6-E7</f>
        <v>-201.36099999999999</v>
      </c>
      <c r="F8" s="28">
        <f>F6-F7</f>
        <v>-198.572</v>
      </c>
      <c r="G8" s="27">
        <f t="shared" ref="G8:L8" si="0">G6-G7</f>
        <v>-202.07900000000001</v>
      </c>
      <c r="H8" s="27">
        <f t="shared" si="0"/>
        <v>-202.70099999999999</v>
      </c>
      <c r="I8" s="27">
        <f t="shared" si="0"/>
        <v>-216.55600000000001</v>
      </c>
      <c r="J8" s="28">
        <f t="shared" si="0"/>
        <v>-237.33699999999999</v>
      </c>
      <c r="K8" s="27">
        <f t="shared" si="0"/>
        <v>-239.36</v>
      </c>
      <c r="L8" s="27">
        <f t="shared" si="0"/>
        <v>-262.92200000000003</v>
      </c>
      <c r="M8" s="27">
        <f t="shared" ref="M8" si="1">M6-M7</f>
        <v>-270.87200000000001</v>
      </c>
      <c r="N8" s="28">
        <f>N6-N7</f>
        <v>-258.90199999999999</v>
      </c>
      <c r="O8" s="27">
        <f>O6-O7</f>
        <v>-281.34399999999999</v>
      </c>
      <c r="P8" s="27">
        <f t="shared" ref="P8:R8" si="2">P6-P7</f>
        <v>-295.49200000000002</v>
      </c>
      <c r="Q8" s="27">
        <f t="shared" si="2"/>
        <v>-359.26100000000002</v>
      </c>
      <c r="R8" s="28">
        <f t="shared" si="2"/>
        <v>-397.286</v>
      </c>
      <c r="S8" s="27">
        <f t="shared" ref="S8:X8" si="3">S6-S7</f>
        <v>-407.488</v>
      </c>
      <c r="T8" s="27">
        <f t="shared" si="3"/>
        <v>43.522999999999996</v>
      </c>
      <c r="U8" s="27">
        <f t="shared" si="3"/>
        <v>53.655000000000001</v>
      </c>
      <c r="V8" s="28">
        <f t="shared" ref="V8" si="4">V6-V7</f>
        <v>66.284000000000006</v>
      </c>
      <c r="W8" s="27">
        <f t="shared" si="3"/>
        <v>82.5</v>
      </c>
      <c r="X8" s="27">
        <f t="shared" si="3"/>
        <v>92.943000000000026</v>
      </c>
      <c r="Y8" s="52"/>
    </row>
    <row r="9" spans="1:27" s="8" customFormat="1" x14ac:dyDescent="0.15">
      <c r="A9" s="8" t="s">
        <v>7</v>
      </c>
      <c r="B9" s="23">
        <v>215.50899999999999</v>
      </c>
      <c r="C9" s="23">
        <v>208.047</v>
      </c>
      <c r="D9" s="23">
        <v>218.66</v>
      </c>
      <c r="E9" s="23">
        <v>220.51400000000001</v>
      </c>
      <c r="F9" s="22">
        <v>237.20400000000001</v>
      </c>
      <c r="G9" s="23">
        <v>232.48400000000001</v>
      </c>
      <c r="H9" s="23">
        <v>248.45</v>
      </c>
      <c r="I9" s="23">
        <v>257.84899999999999</v>
      </c>
      <c r="J9" s="22">
        <v>285.077</v>
      </c>
      <c r="K9" s="23">
        <v>299.40100000000001</v>
      </c>
      <c r="L9" s="23">
        <v>315.55500000000001</v>
      </c>
      <c r="M9" s="23">
        <v>324.02600000000001</v>
      </c>
      <c r="N9" s="22">
        <v>348.76900000000001</v>
      </c>
      <c r="O9" s="23">
        <v>374.12799999999999</v>
      </c>
      <c r="P9" s="23">
        <v>398.95699999999999</v>
      </c>
      <c r="Q9" s="23">
        <v>415.95800000000003</v>
      </c>
      <c r="R9" s="22">
        <v>464.637</v>
      </c>
      <c r="S9" s="23">
        <v>475.95800000000003</v>
      </c>
      <c r="T9" s="52">
        <v>27.669</v>
      </c>
      <c r="U9" s="52">
        <v>29.709</v>
      </c>
      <c r="V9" s="22">
        <v>33.277999999999999</v>
      </c>
      <c r="W9" s="52">
        <v>36.533000000000001</v>
      </c>
      <c r="X9" s="52">
        <v>74.138000000000005</v>
      </c>
      <c r="Y9" s="52"/>
    </row>
    <row r="10" spans="1:27" s="8" customFormat="1" x14ac:dyDescent="0.15">
      <c r="A10" s="8" t="s">
        <v>8</v>
      </c>
      <c r="B10" s="23">
        <v>392.74099999999999</v>
      </c>
      <c r="C10" s="23">
        <v>426.99799999999999</v>
      </c>
      <c r="D10" s="23">
        <v>422.03100000000001</v>
      </c>
      <c r="E10" s="23">
        <v>441.47199999999998</v>
      </c>
      <c r="F10" s="22">
        <v>474.89100000000002</v>
      </c>
      <c r="G10" s="23">
        <v>462.78899999999999</v>
      </c>
      <c r="H10" s="23">
        <v>477.47500000000002</v>
      </c>
      <c r="I10" s="23">
        <v>495.04199999999997</v>
      </c>
      <c r="J10" s="22">
        <v>520.29700000000003</v>
      </c>
      <c r="K10" s="23">
        <v>553.09799999999996</v>
      </c>
      <c r="L10" s="23">
        <v>550.09299999999996</v>
      </c>
      <c r="M10" s="23">
        <v>574.10400000000004</v>
      </c>
      <c r="N10" s="22">
        <v>580.95699999999999</v>
      </c>
      <c r="O10" s="23">
        <v>646.21500000000003</v>
      </c>
      <c r="P10" s="23">
        <v>670.08399999999995</v>
      </c>
      <c r="Q10" s="23">
        <v>723.57299999999998</v>
      </c>
      <c r="R10" s="22">
        <v>781.51800000000003</v>
      </c>
      <c r="S10" s="23">
        <v>848.92700000000002</v>
      </c>
      <c r="T10" s="52">
        <v>75.668000000000006</v>
      </c>
      <c r="U10" s="52">
        <v>80.444000000000003</v>
      </c>
      <c r="V10" s="22">
        <v>97.876999999999995</v>
      </c>
      <c r="W10" s="52">
        <v>92.662999999999997</v>
      </c>
      <c r="X10" s="52">
        <v>134.727</v>
      </c>
      <c r="Y10" s="52"/>
    </row>
    <row r="11" spans="1:27" s="8" customFormat="1" x14ac:dyDescent="0.15">
      <c r="A11" s="8" t="s">
        <v>9</v>
      </c>
      <c r="B11" s="23">
        <f>145.081+1.755+14.272</f>
        <v>161.10799999999998</v>
      </c>
      <c r="C11" s="23">
        <f>130.208+0.034+18.081</f>
        <v>148.32299999999998</v>
      </c>
      <c r="D11" s="23">
        <f>122.578-0.751+18.246</f>
        <v>140.07300000000001</v>
      </c>
      <c r="E11" s="23">
        <f>134.052+0.521+18.05</f>
        <v>152.62299999999999</v>
      </c>
      <c r="F11" s="22">
        <f>146.935-0.419+18.394</f>
        <v>164.91</v>
      </c>
      <c r="G11" s="23">
        <f>138.596-0.466+18.988</f>
        <v>157.11799999999999</v>
      </c>
      <c r="H11" s="23">
        <f>143.702-0.338+22.652</f>
        <v>166.01600000000002</v>
      </c>
      <c r="I11" s="23">
        <f>148.477-0.285+18.5</f>
        <v>166.69200000000001</v>
      </c>
      <c r="J11" s="22">
        <f>150.808+19.128</f>
        <v>169.93599999999998</v>
      </c>
      <c r="K11" s="23">
        <f>156.929+19.32</f>
        <v>176.249</v>
      </c>
      <c r="L11" s="23">
        <f>147.402+19.428</f>
        <v>166.82999999999998</v>
      </c>
      <c r="M11" s="23">
        <f>169.567+18.686</f>
        <v>188.25300000000001</v>
      </c>
      <c r="N11" s="22">
        <f>170.44+17.146</f>
        <v>187.58600000000001</v>
      </c>
      <c r="O11" s="23">
        <f>178.04+17.149</f>
        <v>195.18899999999999</v>
      </c>
      <c r="P11" s="23">
        <f>184.063+23.874</f>
        <v>207.93699999999998</v>
      </c>
      <c r="Q11" s="23">
        <f>212.355+32.932</f>
        <v>245.28699999999998</v>
      </c>
      <c r="R11" s="22">
        <f>216.109+46.566</f>
        <v>262.67500000000001</v>
      </c>
      <c r="S11" s="23">
        <f>219.334+43.026</f>
        <v>262.36</v>
      </c>
      <c r="T11" s="52">
        <v>30.318000000000001</v>
      </c>
      <c r="U11" s="52">
        <v>28.129000000000001</v>
      </c>
      <c r="V11" s="22">
        <v>31.506</v>
      </c>
      <c r="W11" s="52">
        <v>31.186</v>
      </c>
      <c r="X11" s="52">
        <v>53.531999999999996</v>
      </c>
      <c r="Y11" s="52"/>
    </row>
    <row r="12" spans="1:27" s="8" customFormat="1" x14ac:dyDescent="0.15">
      <c r="A12" s="8" t="s">
        <v>10</v>
      </c>
      <c r="B12" s="27">
        <f>SUM(B9:B11)</f>
        <v>769.35799999999995</v>
      </c>
      <c r="C12" s="27">
        <f>SUM(C9:C11)</f>
        <v>783.36799999999994</v>
      </c>
      <c r="D12" s="27">
        <f>SUM(D9:D11)</f>
        <v>780.76400000000001</v>
      </c>
      <c r="E12" s="27">
        <f>SUM(E9:E11)</f>
        <v>814.60899999999992</v>
      </c>
      <c r="F12" s="28">
        <f>SUM(F9:F11)</f>
        <v>877.005</v>
      </c>
      <c r="G12" s="27">
        <f t="shared" ref="G12:L12" si="5">SUM(G9:G11)</f>
        <v>852.39100000000008</v>
      </c>
      <c r="H12" s="27">
        <f t="shared" si="5"/>
        <v>891.94100000000003</v>
      </c>
      <c r="I12" s="27">
        <f t="shared" si="5"/>
        <v>919.58299999999997</v>
      </c>
      <c r="J12" s="28">
        <f t="shared" si="5"/>
        <v>975.31</v>
      </c>
      <c r="K12" s="27">
        <f t="shared" si="5"/>
        <v>1028.748</v>
      </c>
      <c r="L12" s="27">
        <f t="shared" si="5"/>
        <v>1032.4779999999998</v>
      </c>
      <c r="M12" s="27">
        <f t="shared" ref="M12:N12" si="6">SUM(M9:M11)</f>
        <v>1086.383</v>
      </c>
      <c r="N12" s="28">
        <f t="shared" si="6"/>
        <v>1117.3119999999999</v>
      </c>
      <c r="O12" s="27">
        <f t="shared" ref="O12:P12" si="7">SUM(O9:O11)</f>
        <v>1215.5320000000002</v>
      </c>
      <c r="P12" s="27">
        <f t="shared" si="7"/>
        <v>1276.9779999999998</v>
      </c>
      <c r="Q12" s="27">
        <f t="shared" ref="Q12:S12" si="8">SUM(Q9:Q11)</f>
        <v>1384.818</v>
      </c>
      <c r="R12" s="28">
        <f t="shared" si="8"/>
        <v>1508.83</v>
      </c>
      <c r="S12" s="27">
        <f t="shared" si="8"/>
        <v>1587.2449999999999</v>
      </c>
      <c r="T12" s="27">
        <f>SUM(T9:T11)</f>
        <v>133.655</v>
      </c>
      <c r="U12" s="27">
        <f>SUM(U9:U11)</f>
        <v>138.28200000000001</v>
      </c>
      <c r="V12" s="28">
        <f>SUM(V9:V11)</f>
        <v>162.661</v>
      </c>
      <c r="W12" s="27">
        <f>SUM(W9:W11)</f>
        <v>160.38200000000001</v>
      </c>
      <c r="X12" s="27">
        <f t="shared" ref="X12" si="9">SUM(X9:X11)</f>
        <v>262.39699999999999</v>
      </c>
      <c r="Y12" s="52"/>
    </row>
    <row r="13" spans="1:27" s="8" customFormat="1" x14ac:dyDescent="0.15">
      <c r="A13" s="8" t="s">
        <v>11</v>
      </c>
      <c r="B13" s="27">
        <f>B8-B12</f>
        <v>-936.15599999999995</v>
      </c>
      <c r="C13" s="27">
        <f>C8-C12</f>
        <v>-968.54099999999994</v>
      </c>
      <c r="D13" s="27">
        <f>D8-D12</f>
        <v>-971.74900000000002</v>
      </c>
      <c r="E13" s="27">
        <f>E8-E12</f>
        <v>-1015.9699999999999</v>
      </c>
      <c r="F13" s="28">
        <f>F8-F12</f>
        <v>-1075.577</v>
      </c>
      <c r="G13" s="27">
        <f t="shared" ref="G13:H13" si="10">G8-G12</f>
        <v>-1054.47</v>
      </c>
      <c r="H13" s="27">
        <f t="shared" si="10"/>
        <v>-1094.6420000000001</v>
      </c>
      <c r="I13" s="27">
        <f t="shared" ref="I13:P13" si="11">I8-I12</f>
        <v>-1136.1389999999999</v>
      </c>
      <c r="J13" s="28">
        <f t="shared" si="11"/>
        <v>-1212.6469999999999</v>
      </c>
      <c r="K13" s="27">
        <f t="shared" si="11"/>
        <v>-1268.1080000000002</v>
      </c>
      <c r="L13" s="27">
        <f t="shared" si="11"/>
        <v>-1295.3999999999999</v>
      </c>
      <c r="M13" s="27">
        <f t="shared" si="11"/>
        <v>-1357.2550000000001</v>
      </c>
      <c r="N13" s="28">
        <f t="shared" si="11"/>
        <v>-1376.2139999999999</v>
      </c>
      <c r="O13" s="27">
        <f t="shared" si="11"/>
        <v>-1496.8760000000002</v>
      </c>
      <c r="P13" s="27">
        <f t="shared" si="11"/>
        <v>-1572.4699999999998</v>
      </c>
      <c r="Q13" s="27">
        <f t="shared" ref="Q13:S13" si="12">Q8-Q12</f>
        <v>-1744.079</v>
      </c>
      <c r="R13" s="28">
        <f t="shared" si="12"/>
        <v>-1906.116</v>
      </c>
      <c r="S13" s="27">
        <f t="shared" si="12"/>
        <v>-1994.7329999999999</v>
      </c>
      <c r="T13" s="27">
        <f t="shared" ref="T13:U13" si="13">T8-T12</f>
        <v>-90.132000000000005</v>
      </c>
      <c r="U13" s="27">
        <f t="shared" si="13"/>
        <v>-84.62700000000001</v>
      </c>
      <c r="V13" s="28">
        <f t="shared" ref="V13:X13" si="14">V8-V12</f>
        <v>-96.376999999999995</v>
      </c>
      <c r="W13" s="27">
        <f t="shared" si="14"/>
        <v>-77.882000000000005</v>
      </c>
      <c r="X13" s="27">
        <f t="shared" si="14"/>
        <v>-169.45399999999995</v>
      </c>
      <c r="Y13" s="52"/>
    </row>
    <row r="14" spans="1:27" s="8" customFormat="1" x14ac:dyDescent="0.15">
      <c r="A14" s="8" t="s">
        <v>12</v>
      </c>
      <c r="B14" s="23">
        <v>-9.7769999999999992</v>
      </c>
      <c r="C14" s="23">
        <v>-12.643000000000001</v>
      </c>
      <c r="D14" s="23">
        <v>-13.4</v>
      </c>
      <c r="E14" s="23">
        <v>6.5060000000000002</v>
      </c>
      <c r="F14" s="22">
        <v>-15.451000000000001</v>
      </c>
      <c r="G14" s="23">
        <v>-14.409000000000001</v>
      </c>
      <c r="H14" s="23">
        <v>-13.023999999999999</v>
      </c>
      <c r="I14" s="23">
        <v>-15.58</v>
      </c>
      <c r="J14" s="22">
        <v>-8.3670000000000009</v>
      </c>
      <c r="K14" s="23">
        <v>-11.464</v>
      </c>
      <c r="L14" s="23">
        <v>-4.2949999999999999</v>
      </c>
      <c r="M14" s="23">
        <v>-6.3280000000000003</v>
      </c>
      <c r="N14" s="22">
        <v>-0.23100000000000001</v>
      </c>
      <c r="O14" s="23">
        <v>-7.6849999999999996</v>
      </c>
      <c r="P14" s="23">
        <v>-17.248000000000001</v>
      </c>
      <c r="Q14" s="23">
        <v>-21.329000000000001</v>
      </c>
      <c r="R14" s="22">
        <v>7.5039999999999996</v>
      </c>
      <c r="S14" s="23">
        <v>-38.774999999999999</v>
      </c>
      <c r="T14" s="52"/>
      <c r="U14" s="52"/>
      <c r="V14" s="22"/>
      <c r="W14" s="52"/>
      <c r="X14" s="52">
        <f>2-1</f>
        <v>1</v>
      </c>
      <c r="Y14" s="52"/>
    </row>
    <row r="15" spans="1:27" s="8" customFormat="1" x14ac:dyDescent="0.15">
      <c r="A15" s="8" t="s">
        <v>13</v>
      </c>
      <c r="B15" s="27">
        <f>B13+B14</f>
        <v>-945.93299999999999</v>
      </c>
      <c r="C15" s="27">
        <f>C13+C14</f>
        <v>-981.18399999999997</v>
      </c>
      <c r="D15" s="27">
        <f>D13+D14</f>
        <v>-985.149</v>
      </c>
      <c r="E15" s="27">
        <f>E13+E14</f>
        <v>-1009.4639999999999</v>
      </c>
      <c r="F15" s="28">
        <f>F13+F14</f>
        <v>-1091.028</v>
      </c>
      <c r="G15" s="27">
        <f t="shared" ref="G15:I15" si="15">G13+G14</f>
        <v>-1068.8790000000001</v>
      </c>
      <c r="H15" s="27">
        <f t="shared" si="15"/>
        <v>-1107.6659999999999</v>
      </c>
      <c r="I15" s="27">
        <f t="shared" si="15"/>
        <v>-1151.7189999999998</v>
      </c>
      <c r="J15" s="28">
        <f t="shared" ref="J15:K15" si="16">J13+J14</f>
        <v>-1221.0139999999999</v>
      </c>
      <c r="K15" s="27">
        <f t="shared" si="16"/>
        <v>-1279.5720000000001</v>
      </c>
      <c r="L15" s="27">
        <f t="shared" ref="L15:N15" si="17">L13+L14</f>
        <v>-1299.6949999999999</v>
      </c>
      <c r="M15" s="27">
        <f>M13+M14</f>
        <v>-1363.5830000000001</v>
      </c>
      <c r="N15" s="28">
        <f t="shared" si="17"/>
        <v>-1376.4449999999999</v>
      </c>
      <c r="O15" s="27">
        <f t="shared" ref="O15" si="18">O13+O14</f>
        <v>-1504.5610000000001</v>
      </c>
      <c r="P15" s="27">
        <f t="shared" ref="P15:T15" si="19">P13+P14</f>
        <v>-1589.7179999999998</v>
      </c>
      <c r="Q15" s="27">
        <f t="shared" si="19"/>
        <v>-1765.4079999999999</v>
      </c>
      <c r="R15" s="28">
        <f t="shared" si="19"/>
        <v>-1898.6120000000001</v>
      </c>
      <c r="S15" s="27">
        <f t="shared" si="19"/>
        <v>-2033.508</v>
      </c>
      <c r="T15" s="27">
        <f t="shared" si="19"/>
        <v>-90.132000000000005</v>
      </c>
      <c r="U15" s="27">
        <f t="shared" ref="U15" si="20">U13+U14</f>
        <v>-84.62700000000001</v>
      </c>
      <c r="V15" s="28">
        <f t="shared" ref="V15:X15" si="21">V13+V14</f>
        <v>-96.376999999999995</v>
      </c>
      <c r="W15" s="27">
        <f t="shared" si="21"/>
        <v>-77.882000000000005</v>
      </c>
      <c r="X15" s="27">
        <f t="shared" si="21"/>
        <v>-168.45399999999995</v>
      </c>
      <c r="Y15" s="52"/>
    </row>
    <row r="16" spans="1:27" s="8" customFormat="1" x14ac:dyDescent="0.15">
      <c r="A16" s="8" t="s">
        <v>14</v>
      </c>
      <c r="B16" s="23">
        <v>78.36</v>
      </c>
      <c r="C16" s="23">
        <v>33.481000000000002</v>
      </c>
      <c r="D16" s="23">
        <v>58.154000000000003</v>
      </c>
      <c r="E16" s="23">
        <v>74.234999999999999</v>
      </c>
      <c r="F16" s="22">
        <v>38</v>
      </c>
      <c r="G16" s="23">
        <v>85.756</v>
      </c>
      <c r="H16" s="23">
        <v>85.513000000000005</v>
      </c>
      <c r="I16" s="23">
        <v>57.087000000000003</v>
      </c>
      <c r="J16" s="22">
        <v>62.186</v>
      </c>
      <c r="K16" s="23">
        <v>118.22799999999999</v>
      </c>
      <c r="L16" s="23">
        <v>121.81</v>
      </c>
      <c r="M16" s="23">
        <v>141.46299999999999</v>
      </c>
      <c r="N16" s="22">
        <v>119.426</v>
      </c>
      <c r="O16" s="23">
        <v>27.632000000000001</v>
      </c>
      <c r="P16" s="23">
        <v>35.067</v>
      </c>
      <c r="Q16" s="23">
        <v>20.977</v>
      </c>
      <c r="R16" s="22">
        <v>28.093</v>
      </c>
      <c r="S16" s="23">
        <v>78.179000000000002</v>
      </c>
      <c r="T16" s="23">
        <v>0</v>
      </c>
      <c r="U16" s="23"/>
      <c r="V16" s="22"/>
      <c r="W16" s="23"/>
      <c r="X16" s="23">
        <v>0</v>
      </c>
      <c r="Y16" s="23"/>
    </row>
    <row r="17" spans="1:25" s="48" customFormat="1" x14ac:dyDescent="0.15">
      <c r="A17" s="48" t="s">
        <v>64</v>
      </c>
      <c r="B17" s="40"/>
      <c r="C17" s="40"/>
      <c r="D17" s="40"/>
      <c r="E17" s="40"/>
      <c r="F17" s="41"/>
      <c r="G17" s="40"/>
      <c r="H17" s="40"/>
      <c r="I17" s="40"/>
      <c r="J17" s="41"/>
      <c r="K17" s="40"/>
      <c r="L17" s="40"/>
      <c r="M17" s="40"/>
      <c r="N17" s="41"/>
      <c r="O17" s="40"/>
      <c r="P17" s="40"/>
      <c r="Q17" s="40"/>
      <c r="R17" s="41"/>
      <c r="S17" s="40"/>
      <c r="T17" s="40"/>
      <c r="U17" s="40"/>
      <c r="V17" s="41"/>
      <c r="W17" s="40"/>
      <c r="X17" s="40"/>
      <c r="Y17" s="40"/>
    </row>
    <row r="18" spans="1:25" s="17" customFormat="1" x14ac:dyDescent="0.15">
      <c r="A18" s="17" t="s">
        <v>15</v>
      </c>
      <c r="B18" s="24">
        <f>B15-B16</f>
        <v>-1024.2929999999999</v>
      </c>
      <c r="C18" s="24">
        <f>C15-C16</f>
        <v>-1014.665</v>
      </c>
      <c r="D18" s="24">
        <f>D15-D16</f>
        <v>-1043.3030000000001</v>
      </c>
      <c r="E18" s="24">
        <f>E15-E16</f>
        <v>-1083.6989999999998</v>
      </c>
      <c r="F18" s="25">
        <f>F15-F16</f>
        <v>-1129.028</v>
      </c>
      <c r="G18" s="24">
        <f t="shared" ref="G18:H18" si="22">G15-G16</f>
        <v>-1154.6350000000002</v>
      </c>
      <c r="H18" s="24">
        <f t="shared" si="22"/>
        <v>-1193.1789999999999</v>
      </c>
      <c r="I18" s="24">
        <f t="shared" ref="I18:O18" si="23">I15-I16</f>
        <v>-1208.8059999999998</v>
      </c>
      <c r="J18" s="25">
        <f t="shared" si="23"/>
        <v>-1283.1999999999998</v>
      </c>
      <c r="K18" s="24">
        <f t="shared" si="23"/>
        <v>-1397.8000000000002</v>
      </c>
      <c r="L18" s="24">
        <f t="shared" si="23"/>
        <v>-1421.5049999999999</v>
      </c>
      <c r="M18" s="24">
        <f t="shared" si="23"/>
        <v>-1505.046</v>
      </c>
      <c r="N18" s="25">
        <f t="shared" si="23"/>
        <v>-1495.8709999999999</v>
      </c>
      <c r="O18" s="24">
        <f t="shared" si="23"/>
        <v>-1532.1930000000002</v>
      </c>
      <c r="P18" s="24">
        <f t="shared" ref="P18:S18" si="24">P15-P16</f>
        <v>-1624.7849999999999</v>
      </c>
      <c r="Q18" s="24">
        <f t="shared" si="24"/>
        <v>-1786.385</v>
      </c>
      <c r="R18" s="25">
        <f t="shared" si="24"/>
        <v>-1926.7050000000002</v>
      </c>
      <c r="S18" s="24">
        <f t="shared" si="24"/>
        <v>-2111.6869999999999</v>
      </c>
      <c r="T18" s="24">
        <f t="shared" ref="T18:U18" si="25">T15-T16</f>
        <v>-90.132000000000005</v>
      </c>
      <c r="U18" s="24">
        <f t="shared" si="25"/>
        <v>-84.62700000000001</v>
      </c>
      <c r="V18" s="25">
        <f t="shared" ref="V18:X18" si="26">V15-V16</f>
        <v>-96.376999999999995</v>
      </c>
      <c r="W18" s="24">
        <f t="shared" si="26"/>
        <v>-77.882000000000005</v>
      </c>
      <c r="X18" s="24">
        <f t="shared" si="26"/>
        <v>-168.45399999999995</v>
      </c>
      <c r="Y18" s="51"/>
    </row>
    <row r="19" spans="1:25" s="4" customFormat="1" x14ac:dyDescent="0.15">
      <c r="A19" s="4" t="s">
        <v>16</v>
      </c>
      <c r="B19" s="61">
        <f t="shared" ref="B19:H19" si="27">IFERROR(B18/B20,0)</f>
        <v>-2.0182079341748005</v>
      </c>
      <c r="C19" s="61">
        <f t="shared" si="27"/>
        <v>-2.0069246927303581</v>
      </c>
      <c r="D19" s="61">
        <f t="shared" si="27"/>
        <v>-2.062642222657169</v>
      </c>
      <c r="E19" s="61">
        <f>IFERROR(E18/E20,0)</f>
        <v>-2.141646838414899</v>
      </c>
      <c r="F19" s="62">
        <f t="shared" si="27"/>
        <v>-2.2327102729811186</v>
      </c>
      <c r="G19" s="61">
        <f t="shared" si="27"/>
        <v>-2.2876516915151819</v>
      </c>
      <c r="H19" s="61">
        <f t="shared" si="27"/>
        <v>-2.3689744653730922</v>
      </c>
      <c r="I19" s="61">
        <f t="shared" ref="I19:L19" si="28">IFERROR(I18/I20,0)</f>
        <v>-2.4119391191916608</v>
      </c>
      <c r="J19" s="62">
        <f t="shared" si="28"/>
        <v>-2.5619882562227843</v>
      </c>
      <c r="K19" s="61">
        <f t="shared" si="28"/>
        <v>-2.7936388655164079</v>
      </c>
      <c r="L19" s="61">
        <f t="shared" si="28"/>
        <v>-2.8407487639838687</v>
      </c>
      <c r="M19" s="61">
        <f t="shared" ref="M19" si="29">IFERROR(M18/M20,0)</f>
        <v>-3.0097308323001242</v>
      </c>
      <c r="N19" s="62">
        <f t="shared" ref="N19:S19" si="30">IFERROR(N18/N20,0)</f>
        <v>-2.9951384870443079</v>
      </c>
      <c r="O19" s="61">
        <f t="shared" si="30"/>
        <v>-3.0751366778256788</v>
      </c>
      <c r="P19" s="61">
        <f t="shared" si="30"/>
        <v>-3.2700667785680646</v>
      </c>
      <c r="Q19" s="61">
        <f t="shared" si="30"/>
        <v>-3.6074884690259053</v>
      </c>
      <c r="R19" s="62">
        <f t="shared" si="30"/>
        <v>-3.8987288238484146</v>
      </c>
      <c r="S19" s="61">
        <f t="shared" si="30"/>
        <v>-4.2901981260107434</v>
      </c>
      <c r="T19" s="61">
        <f t="shared" ref="T19:U19" si="31">IFERROR(T18/T20,0)</f>
        <v>-1.963170450141968</v>
      </c>
      <c r="U19" s="61">
        <f t="shared" si="31"/>
        <v>0</v>
      </c>
      <c r="V19" s="62">
        <f t="shared" ref="V19:X19" si="32">IFERROR(V18/V20,0)</f>
        <v>0</v>
      </c>
      <c r="W19" s="61">
        <f t="shared" si="32"/>
        <v>0</v>
      </c>
      <c r="X19" s="61">
        <f t="shared" si="32"/>
        <v>-1.0095033085992415</v>
      </c>
      <c r="Y19" s="63"/>
    </row>
    <row r="20" spans="1:25" s="8" customFormat="1" x14ac:dyDescent="0.15">
      <c r="A20" s="8" t="s">
        <v>17</v>
      </c>
      <c r="B20" s="23">
        <v>507.52600000000001</v>
      </c>
      <c r="C20" s="23">
        <v>505.58199999999999</v>
      </c>
      <c r="D20" s="23">
        <v>505.80900000000003</v>
      </c>
      <c r="E20" s="23">
        <v>506.012</v>
      </c>
      <c r="F20" s="22">
        <v>505.67599999999999</v>
      </c>
      <c r="G20" s="23">
        <v>504.72500000000002</v>
      </c>
      <c r="H20" s="23">
        <v>503.66899999999998</v>
      </c>
      <c r="I20" s="23">
        <v>501.17599999999999</v>
      </c>
      <c r="J20" s="22">
        <v>500.86099999999999</v>
      </c>
      <c r="K20" s="23">
        <v>500.351</v>
      </c>
      <c r="L20" s="23">
        <v>500.39800000000002</v>
      </c>
      <c r="M20" s="23">
        <v>500.06</v>
      </c>
      <c r="N20" s="22">
        <v>499.43299999999999</v>
      </c>
      <c r="O20" s="23">
        <v>498.25200000000001</v>
      </c>
      <c r="P20" s="23">
        <v>496.86599999999999</v>
      </c>
      <c r="Q20" s="23">
        <v>495.18799999999999</v>
      </c>
      <c r="R20" s="22">
        <v>494.18799999999999</v>
      </c>
      <c r="S20" s="23">
        <v>492.21199999999999</v>
      </c>
      <c r="T20" s="52">
        <v>45.911448999999998</v>
      </c>
      <c r="U20" s="52"/>
      <c r="V20" s="22"/>
      <c r="W20" s="52"/>
      <c r="X20" s="52">
        <v>166.8682</v>
      </c>
      <c r="Y20" s="52">
        <v>283</v>
      </c>
    </row>
    <row r="21" spans="1:25" s="42" customFormat="1" x14ac:dyDescent="0.15">
      <c r="B21" s="40"/>
      <c r="C21" s="40"/>
      <c r="D21" s="40"/>
      <c r="E21" s="40"/>
      <c r="F21" s="41"/>
      <c r="G21" s="40"/>
      <c r="H21" s="40"/>
      <c r="I21" s="40"/>
      <c r="J21" s="41"/>
      <c r="K21" s="40"/>
      <c r="L21" s="40"/>
      <c r="M21" s="40"/>
      <c r="N21" s="58"/>
      <c r="Q21" s="40"/>
      <c r="R21" s="58"/>
      <c r="V21" s="58"/>
    </row>
    <row r="22" spans="1:25" x14ac:dyDescent="0.15">
      <c r="A22" s="6" t="s">
        <v>19</v>
      </c>
      <c r="B22" s="34">
        <f t="shared" ref="B22:Q22" si="33">IFERROR(B8/B6,0)</f>
        <v>0</v>
      </c>
      <c r="C22" s="34">
        <f t="shared" si="33"/>
        <v>0</v>
      </c>
      <c r="D22" s="34">
        <f t="shared" si="33"/>
        <v>0</v>
      </c>
      <c r="E22" s="34">
        <f t="shared" si="33"/>
        <v>0</v>
      </c>
      <c r="F22" s="35">
        <f t="shared" si="33"/>
        <v>0</v>
      </c>
      <c r="G22" s="34">
        <f t="shared" si="33"/>
        <v>0</v>
      </c>
      <c r="H22" s="34">
        <f t="shared" si="33"/>
        <v>0</v>
      </c>
      <c r="I22" s="34">
        <f t="shared" si="33"/>
        <v>0</v>
      </c>
      <c r="J22" s="35">
        <f t="shared" si="33"/>
        <v>0</v>
      </c>
      <c r="K22" s="34">
        <f t="shared" si="33"/>
        <v>0</v>
      </c>
      <c r="L22" s="34">
        <f t="shared" si="33"/>
        <v>0</v>
      </c>
      <c r="M22" s="34">
        <f t="shared" si="33"/>
        <v>0</v>
      </c>
      <c r="N22" s="35">
        <f t="shared" si="33"/>
        <v>0</v>
      </c>
      <c r="O22" s="34">
        <f t="shared" si="33"/>
        <v>0</v>
      </c>
      <c r="P22" s="34">
        <f t="shared" si="33"/>
        <v>0</v>
      </c>
      <c r="Q22" s="34">
        <f t="shared" si="33"/>
        <v>0</v>
      </c>
      <c r="R22" s="35">
        <f t="shared" ref="R22:S22" si="34">IFERROR(R8/R6,0)</f>
        <v>0</v>
      </c>
      <c r="S22" s="34">
        <f t="shared" si="34"/>
        <v>0</v>
      </c>
      <c r="T22" s="34">
        <f t="shared" ref="T22:V22" si="35">IFERROR(T8/T6,0)</f>
        <v>0.59610748917986078</v>
      </c>
      <c r="U22" s="34">
        <f t="shared" ref="U22" si="36">IFERROR(U8/U6,0)</f>
        <v>0.61185741002600003</v>
      </c>
      <c r="V22" s="35">
        <f t="shared" si="35"/>
        <v>0.60914395993199477</v>
      </c>
      <c r="W22" s="34">
        <f t="shared" ref="W22:X22" si="37">IFERROR(W8/W6,0)</f>
        <v>0.61962522062413172</v>
      </c>
      <c r="X22" s="34">
        <f t="shared" si="37"/>
        <v>0.58226206585475881</v>
      </c>
      <c r="Y22" s="34"/>
    </row>
    <row r="23" spans="1:25" x14ac:dyDescent="0.15">
      <c r="A23" s="6" t="s">
        <v>20</v>
      </c>
      <c r="B23" s="36">
        <f t="shared" ref="B23:Q23" si="38">IFERROR(B13/B6,0)</f>
        <v>0</v>
      </c>
      <c r="C23" s="36">
        <f t="shared" si="38"/>
        <v>0</v>
      </c>
      <c r="D23" s="36">
        <f t="shared" si="38"/>
        <v>0</v>
      </c>
      <c r="E23" s="36">
        <f t="shared" si="38"/>
        <v>0</v>
      </c>
      <c r="F23" s="37">
        <f t="shared" si="38"/>
        <v>0</v>
      </c>
      <c r="G23" s="36">
        <f t="shared" si="38"/>
        <v>0</v>
      </c>
      <c r="H23" s="36">
        <f t="shared" si="38"/>
        <v>0</v>
      </c>
      <c r="I23" s="36">
        <f t="shared" si="38"/>
        <v>0</v>
      </c>
      <c r="J23" s="37">
        <f t="shared" si="38"/>
        <v>0</v>
      </c>
      <c r="K23" s="36">
        <f t="shared" si="38"/>
        <v>0</v>
      </c>
      <c r="L23" s="36">
        <f t="shared" si="38"/>
        <v>0</v>
      </c>
      <c r="M23" s="36">
        <f t="shared" si="38"/>
        <v>0</v>
      </c>
      <c r="N23" s="37">
        <f t="shared" si="38"/>
        <v>0</v>
      </c>
      <c r="O23" s="36">
        <f t="shared" si="38"/>
        <v>0</v>
      </c>
      <c r="P23" s="36">
        <f t="shared" si="38"/>
        <v>0</v>
      </c>
      <c r="Q23" s="36">
        <f t="shared" si="38"/>
        <v>0</v>
      </c>
      <c r="R23" s="37">
        <f t="shared" ref="R23:S23" si="39">IFERROR(R13/R6,0)</f>
        <v>0</v>
      </c>
      <c r="S23" s="36">
        <f t="shared" si="39"/>
        <v>0</v>
      </c>
      <c r="T23" s="36">
        <f t="shared" ref="T23:V23" si="40">IFERROR(T13/T6,0)</f>
        <v>-1.2344820029584178</v>
      </c>
      <c r="U23" s="36">
        <f t="shared" ref="U23" si="41">IFERROR(U13/U6,0)</f>
        <v>-0.96504812297587017</v>
      </c>
      <c r="V23" s="37">
        <f t="shared" si="40"/>
        <v>-0.88569590589532687</v>
      </c>
      <c r="W23" s="36">
        <f t="shared" ref="W23:X23" si="42">IFERROR(W13/W6,0)</f>
        <v>-0.58494122948665006</v>
      </c>
      <c r="X23" s="36">
        <f t="shared" si="42"/>
        <v>-1.0615822182127996</v>
      </c>
      <c r="Y23" s="36"/>
    </row>
    <row r="24" spans="1:25" x14ac:dyDescent="0.15">
      <c r="A24" s="6" t="s">
        <v>21</v>
      </c>
      <c r="B24" s="36">
        <f t="shared" ref="B24:Q24" si="43">IFERROR(B16/B15,0)</f>
        <v>-8.2838847994519696E-2</v>
      </c>
      <c r="C24" s="36">
        <f t="shared" si="43"/>
        <v>-3.4123059487313291E-2</v>
      </c>
      <c r="D24" s="36">
        <f t="shared" si="43"/>
        <v>-5.9030664396959247E-2</v>
      </c>
      <c r="E24" s="36">
        <f t="shared" si="43"/>
        <v>-7.3539026651767675E-2</v>
      </c>
      <c r="F24" s="37">
        <f t="shared" si="43"/>
        <v>-3.482953691380973E-2</v>
      </c>
      <c r="G24" s="36">
        <f t="shared" si="43"/>
        <v>-8.0229848280301122E-2</v>
      </c>
      <c r="H24" s="36">
        <f t="shared" si="43"/>
        <v>-7.7201069636514991E-2</v>
      </c>
      <c r="I24" s="36">
        <f t="shared" si="43"/>
        <v>-4.9566778007482735E-2</v>
      </c>
      <c r="J24" s="37">
        <f t="shared" si="43"/>
        <v>-5.0929800968703066E-2</v>
      </c>
      <c r="K24" s="36">
        <f t="shared" si="43"/>
        <v>-9.239652008640388E-2</v>
      </c>
      <c r="L24" s="36">
        <f t="shared" si="43"/>
        <v>-9.3721988620407107E-2</v>
      </c>
      <c r="M24" s="36">
        <f t="shared" si="43"/>
        <v>-0.10374359316594588</v>
      </c>
      <c r="N24" s="37">
        <f t="shared" si="43"/>
        <v>-8.6764091554693432E-2</v>
      </c>
      <c r="O24" s="36">
        <f t="shared" si="43"/>
        <v>-1.836549000007311E-2</v>
      </c>
      <c r="P24" s="36">
        <f t="shared" si="43"/>
        <v>-2.205862926632271E-2</v>
      </c>
      <c r="Q24" s="36">
        <f t="shared" si="43"/>
        <v>-1.1882239119795537E-2</v>
      </c>
      <c r="R24" s="37">
        <f t="shared" ref="R24:S24" si="44">IFERROR(R16/R15,0)</f>
        <v>-1.4796598778476064E-2</v>
      </c>
      <c r="S24" s="36">
        <f t="shared" si="44"/>
        <v>-3.8445386002907291E-2</v>
      </c>
      <c r="T24" s="36">
        <f t="shared" ref="T24:V24" si="45">IFERROR(T16/T15,0)</f>
        <v>0</v>
      </c>
      <c r="U24" s="36">
        <f t="shared" ref="U24" si="46">IFERROR(U16/U15,0)</f>
        <v>0</v>
      </c>
      <c r="V24" s="37">
        <f t="shared" si="45"/>
        <v>0</v>
      </c>
      <c r="W24" s="36">
        <f t="shared" ref="W24:X24" si="47">IFERROR(W16/W15,0)</f>
        <v>0</v>
      </c>
      <c r="X24" s="36">
        <f t="shared" si="47"/>
        <v>0</v>
      </c>
      <c r="Y24" s="36"/>
    </row>
    <row r="25" spans="1:25" s="42" customFormat="1" x14ac:dyDescent="0.15">
      <c r="B25" s="40"/>
      <c r="C25" s="40"/>
      <c r="D25" s="40"/>
      <c r="E25" s="40"/>
      <c r="F25" s="41"/>
      <c r="G25" s="40"/>
      <c r="H25" s="40"/>
      <c r="I25" s="40"/>
      <c r="J25" s="41"/>
      <c r="K25" s="40"/>
      <c r="L25" s="40"/>
      <c r="M25" s="40"/>
      <c r="N25" s="58"/>
      <c r="Q25" s="40"/>
      <c r="R25" s="58"/>
      <c r="V25" s="58"/>
    </row>
    <row r="26" spans="1:25" s="12" customFormat="1" x14ac:dyDescent="0.15">
      <c r="A26" s="12" t="s">
        <v>18</v>
      </c>
      <c r="B26" s="30"/>
      <c r="C26" s="30"/>
      <c r="D26" s="30"/>
      <c r="E26" s="30"/>
      <c r="F26" s="31">
        <f t="shared" ref="F26:Y26" si="48">IFERROR((F6/B6)-1,0)</f>
        <v>0</v>
      </c>
      <c r="G26" s="30">
        <f t="shared" si="48"/>
        <v>0</v>
      </c>
      <c r="H26" s="30">
        <f t="shared" si="48"/>
        <v>0</v>
      </c>
      <c r="I26" s="30">
        <f t="shared" si="48"/>
        <v>0</v>
      </c>
      <c r="J26" s="31">
        <f t="shared" si="48"/>
        <v>0</v>
      </c>
      <c r="K26" s="30">
        <f t="shared" si="48"/>
        <v>0</v>
      </c>
      <c r="L26" s="30">
        <f t="shared" si="48"/>
        <v>0</v>
      </c>
      <c r="M26" s="30">
        <f t="shared" si="48"/>
        <v>0</v>
      </c>
      <c r="N26" s="31">
        <f t="shared" si="48"/>
        <v>0</v>
      </c>
      <c r="O26" s="30">
        <f t="shared" si="48"/>
        <v>0</v>
      </c>
      <c r="P26" s="30">
        <f t="shared" si="48"/>
        <v>0</v>
      </c>
      <c r="Q26" s="30">
        <f t="shared" si="48"/>
        <v>0</v>
      </c>
      <c r="R26" s="31">
        <f t="shared" si="48"/>
        <v>0</v>
      </c>
      <c r="S26" s="30">
        <f t="shared" si="48"/>
        <v>0</v>
      </c>
      <c r="T26" s="30">
        <f t="shared" si="48"/>
        <v>0</v>
      </c>
      <c r="U26" s="30">
        <f t="shared" si="48"/>
        <v>0</v>
      </c>
      <c r="V26" s="31">
        <f t="shared" ref="V26" si="49">IFERROR((V6/R6)-1,0)</f>
        <v>0</v>
      </c>
      <c r="W26" s="30">
        <f t="shared" si="48"/>
        <v>0</v>
      </c>
      <c r="X26" s="30">
        <f t="shared" si="48"/>
        <v>1.1862707500136969</v>
      </c>
      <c r="Y26" s="30">
        <f t="shared" si="48"/>
        <v>0.84737490306983521</v>
      </c>
    </row>
    <row r="27" spans="1:25" s="12" customFormat="1" x14ac:dyDescent="0.15">
      <c r="A27" s="6" t="s">
        <v>38</v>
      </c>
      <c r="B27" s="32"/>
      <c r="C27" s="32"/>
      <c r="D27" s="32"/>
      <c r="E27" s="32"/>
      <c r="F27" s="33">
        <f t="shared" ref="F27:X30" si="50">F9/B9-1</f>
        <v>0.10066864956915955</v>
      </c>
      <c r="G27" s="32">
        <f t="shared" si="50"/>
        <v>0.11745903569866423</v>
      </c>
      <c r="H27" s="32">
        <f t="shared" si="50"/>
        <v>0.13623890972285735</v>
      </c>
      <c r="I27" s="32">
        <f t="shared" si="50"/>
        <v>0.16930897811476808</v>
      </c>
      <c r="J27" s="33">
        <f t="shared" si="50"/>
        <v>0.20182206033625061</v>
      </c>
      <c r="K27" s="32">
        <f t="shared" si="50"/>
        <v>0.28783486175392725</v>
      </c>
      <c r="L27" s="32">
        <f t="shared" si="50"/>
        <v>0.27009458643590278</v>
      </c>
      <c r="M27" s="32">
        <f t="shared" si="50"/>
        <v>0.25665021000663191</v>
      </c>
      <c r="N27" s="33">
        <f t="shared" si="50"/>
        <v>0.22342033906628744</v>
      </c>
      <c r="O27" s="32">
        <f t="shared" si="50"/>
        <v>0.24958834472830738</v>
      </c>
      <c r="P27" s="32">
        <f t="shared" si="50"/>
        <v>0.26430257799749635</v>
      </c>
      <c r="Q27" s="32">
        <f t="shared" si="50"/>
        <v>0.28371797324906023</v>
      </c>
      <c r="R27" s="33">
        <f t="shared" si="50"/>
        <v>0.33221989339648883</v>
      </c>
      <c r="S27" s="32">
        <f t="shared" si="50"/>
        <v>0.27217957490484546</v>
      </c>
      <c r="T27" s="32">
        <f>T9/P9-1</f>
        <v>-0.93064666116899819</v>
      </c>
      <c r="U27" s="32">
        <f>U9/Q9-1</f>
        <v>-0.92857692363171285</v>
      </c>
      <c r="V27" s="33">
        <f>V9/R9-1</f>
        <v>-0.9283784976228755</v>
      </c>
      <c r="W27" s="32">
        <f>W9/S9-1</f>
        <v>-0.9232432273435891</v>
      </c>
      <c r="X27" s="32">
        <f>X9/T9-1</f>
        <v>1.6794607683689331</v>
      </c>
      <c r="Y27" s="32"/>
    </row>
    <row r="28" spans="1:25" s="12" customFormat="1" x14ac:dyDescent="0.15">
      <c r="A28" s="6" t="s">
        <v>39</v>
      </c>
      <c r="B28" s="32"/>
      <c r="C28" s="32"/>
      <c r="D28" s="32"/>
      <c r="E28" s="32"/>
      <c r="F28" s="33">
        <f t="shared" si="50"/>
        <v>0.20917092944204962</v>
      </c>
      <c r="G28" s="32">
        <f t="shared" si="50"/>
        <v>8.3820064730982358E-2</v>
      </c>
      <c r="H28" s="32">
        <f t="shared" si="50"/>
        <v>0.13137423554193894</v>
      </c>
      <c r="I28" s="32">
        <f t="shared" si="50"/>
        <v>0.12134404899970996</v>
      </c>
      <c r="J28" s="33">
        <f t="shared" si="50"/>
        <v>9.5613519734002228E-2</v>
      </c>
      <c r="K28" s="32">
        <f t="shared" si="50"/>
        <v>0.19514076609426745</v>
      </c>
      <c r="L28" s="32">
        <f t="shared" si="50"/>
        <v>0.15208754385046319</v>
      </c>
      <c r="M28" s="32">
        <f t="shared" si="50"/>
        <v>0.15970766116814339</v>
      </c>
      <c r="N28" s="33">
        <f t="shared" si="50"/>
        <v>0.11658725689365879</v>
      </c>
      <c r="O28" s="32">
        <f t="shared" si="50"/>
        <v>0.16835533666728164</v>
      </c>
      <c r="P28" s="32">
        <f t="shared" si="50"/>
        <v>0.21812857098708771</v>
      </c>
      <c r="Q28" s="32">
        <f t="shared" si="50"/>
        <v>0.2603517829522175</v>
      </c>
      <c r="R28" s="33">
        <f t="shared" si="50"/>
        <v>0.34522520599631301</v>
      </c>
      <c r="S28" s="32">
        <f t="shared" si="50"/>
        <v>0.31369126374349099</v>
      </c>
      <c r="T28" s="32">
        <f>T10/P10-1</f>
        <v>-0.88707684409715792</v>
      </c>
      <c r="U28" s="32">
        <f>U10/Q10-1</f>
        <v>-0.88882393345246435</v>
      </c>
      <c r="V28" s="33">
        <f>V10/R10-1</f>
        <v>-0.8747604021916322</v>
      </c>
      <c r="W28" s="32">
        <f>W10/S10-1</f>
        <v>-0.89084691616593648</v>
      </c>
      <c r="X28" s="32">
        <f>X10/T10-1</f>
        <v>0.78050166516889563</v>
      </c>
      <c r="Y28" s="32"/>
    </row>
    <row r="29" spans="1:25" s="12" customFormat="1" x14ac:dyDescent="0.15">
      <c r="A29" s="6" t="s">
        <v>40</v>
      </c>
      <c r="B29" s="32"/>
      <c r="C29" s="32"/>
      <c r="D29" s="32"/>
      <c r="E29" s="32"/>
      <c r="F29" s="33">
        <f t="shared" si="50"/>
        <v>2.3599076395958152E-2</v>
      </c>
      <c r="G29" s="32">
        <f t="shared" si="50"/>
        <v>5.9296265582546415E-2</v>
      </c>
      <c r="H29" s="32">
        <f t="shared" si="50"/>
        <v>0.18521056877485309</v>
      </c>
      <c r="I29" s="32">
        <f t="shared" si="50"/>
        <v>9.218138812629828E-2</v>
      </c>
      <c r="J29" s="33">
        <f t="shared" si="50"/>
        <v>3.0477230004244626E-2</v>
      </c>
      <c r="K29" s="32">
        <f t="shared" si="50"/>
        <v>0.12176198780534375</v>
      </c>
      <c r="L29" s="32">
        <f t="shared" si="50"/>
        <v>4.9031418658440629E-3</v>
      </c>
      <c r="M29" s="32">
        <f t="shared" si="50"/>
        <v>0.12934633935641782</v>
      </c>
      <c r="N29" s="33">
        <f t="shared" si="50"/>
        <v>0.10386263063741663</v>
      </c>
      <c r="O29" s="32">
        <f t="shared" si="50"/>
        <v>0.10746160261902205</v>
      </c>
      <c r="P29" s="32">
        <f t="shared" si="50"/>
        <v>0.24640052748306651</v>
      </c>
      <c r="Q29" s="32">
        <f t="shared" si="50"/>
        <v>0.30296462738973595</v>
      </c>
      <c r="R29" s="33">
        <f t="shared" si="50"/>
        <v>0.40029106649749968</v>
      </c>
      <c r="S29" s="32">
        <f t="shared" si="50"/>
        <v>0.34413312225586501</v>
      </c>
      <c r="T29" s="32">
        <f t="shared" si="50"/>
        <v>-0.85419622289443442</v>
      </c>
      <c r="U29" s="32">
        <f t="shared" si="50"/>
        <v>-0.8853220920798901</v>
      </c>
      <c r="V29" s="33">
        <f t="shared" ref="V29" si="51">V11/R11-1</f>
        <v>-0.88005710478728472</v>
      </c>
      <c r="W29" s="32">
        <f t="shared" si="50"/>
        <v>-0.88113279463332828</v>
      </c>
      <c r="X29" s="32">
        <f t="shared" si="50"/>
        <v>0.76568375222639995</v>
      </c>
      <c r="Y29" s="32"/>
    </row>
    <row r="30" spans="1:25" x14ac:dyDescent="0.15">
      <c r="A30" s="6" t="s">
        <v>67</v>
      </c>
      <c r="J30" s="35">
        <f t="shared" ref="J30:P30" si="52">J12/F12-1</f>
        <v>0.11209172125586497</v>
      </c>
      <c r="K30" s="34">
        <f t="shared" si="52"/>
        <v>0.20689683490323096</v>
      </c>
      <c r="L30" s="34">
        <f t="shared" si="52"/>
        <v>0.15756311235832832</v>
      </c>
      <c r="M30" s="34">
        <f t="shared" si="52"/>
        <v>0.18138656325747649</v>
      </c>
      <c r="N30" s="35">
        <f t="shared" si="52"/>
        <v>0.14559678461207204</v>
      </c>
      <c r="O30" s="34">
        <f t="shared" si="52"/>
        <v>0.18156438700245348</v>
      </c>
      <c r="P30" s="34">
        <f t="shared" si="52"/>
        <v>0.23680891989950403</v>
      </c>
      <c r="Q30" s="34">
        <f>Q12/M12-1</f>
        <v>0.27470514542293079</v>
      </c>
      <c r="R30" s="35">
        <f>R12/N12-1</f>
        <v>0.35041062836521952</v>
      </c>
      <c r="S30" s="34">
        <f t="shared" si="50"/>
        <v>0.30580272670731801</v>
      </c>
      <c r="T30" s="34">
        <f t="shared" si="50"/>
        <v>-0.89533492354605948</v>
      </c>
      <c r="U30" s="34">
        <f t="shared" si="50"/>
        <v>-0.90014427888718951</v>
      </c>
      <c r="V30" s="35">
        <f>V12/R12-1</f>
        <v>-0.8921939516048859</v>
      </c>
      <c r="W30" s="34">
        <f t="shared" si="50"/>
        <v>-0.89895573777205162</v>
      </c>
      <c r="X30" s="34">
        <f t="shared" si="50"/>
        <v>0.96324118065167785</v>
      </c>
      <c r="Y30" s="34"/>
    </row>
    <row r="31" spans="1:25" x14ac:dyDescent="0.15">
      <c r="J31" s="46"/>
      <c r="K31" s="45"/>
      <c r="L31" s="45"/>
      <c r="M31" s="45"/>
      <c r="N31" s="46"/>
      <c r="O31" s="45"/>
      <c r="P31" s="45"/>
      <c r="Q31" s="45"/>
      <c r="S31" s="45"/>
    </row>
    <row r="32" spans="1:25" s="17" customFormat="1" x14ac:dyDescent="0.15">
      <c r="A32" s="17" t="s">
        <v>26</v>
      </c>
      <c r="B32" s="23"/>
      <c r="C32" s="23"/>
      <c r="D32" s="23"/>
      <c r="E32" s="24">
        <f>E33-E34</f>
        <v>0</v>
      </c>
      <c r="F32" s="22"/>
      <c r="G32" s="23"/>
      <c r="H32" s="23"/>
      <c r="I32" s="24">
        <f t="shared" ref="I32" si="53">I33-I34</f>
        <v>0</v>
      </c>
      <c r="J32" s="22"/>
      <c r="K32" s="23"/>
      <c r="L32" s="23"/>
      <c r="M32" s="24">
        <f t="shared" ref="M32:P32" si="54">M33-M34</f>
        <v>0</v>
      </c>
      <c r="N32" s="25">
        <f t="shared" si="54"/>
        <v>0</v>
      </c>
      <c r="O32" s="24">
        <f t="shared" si="54"/>
        <v>0</v>
      </c>
      <c r="P32" s="24">
        <f t="shared" si="54"/>
        <v>0</v>
      </c>
      <c r="Q32" s="24">
        <f t="shared" ref="Q32:S32" si="55">Q33-Q34</f>
        <v>609</v>
      </c>
      <c r="R32" s="25">
        <f t="shared" si="55"/>
        <v>0</v>
      </c>
      <c r="S32" s="24">
        <f t="shared" si="55"/>
        <v>0</v>
      </c>
      <c r="T32" s="24">
        <f t="shared" ref="T32" si="56">T33-T34</f>
        <v>0</v>
      </c>
      <c r="U32" s="24">
        <f t="shared" ref="U32" si="57">U33-U34</f>
        <v>458</v>
      </c>
      <c r="V32" s="25">
        <f t="shared" ref="V32:X32" si="58">V33-V34</f>
        <v>0</v>
      </c>
      <c r="W32" s="24">
        <f t="shared" si="58"/>
        <v>887</v>
      </c>
      <c r="X32" s="24">
        <f t="shared" si="58"/>
        <v>4808</v>
      </c>
      <c r="Y32" s="47"/>
    </row>
    <row r="33" spans="1:25" s="8" customFormat="1" x14ac:dyDescent="0.15">
      <c r="A33" s="8" t="s">
        <v>27</v>
      </c>
      <c r="B33" s="23"/>
      <c r="C33" s="23"/>
      <c r="D33" s="23"/>
      <c r="E33" s="23"/>
      <c r="F33" s="22"/>
      <c r="G33" s="23"/>
      <c r="H33" s="23"/>
      <c r="I33" s="23"/>
      <c r="J33" s="22"/>
      <c r="K33" s="23"/>
      <c r="L33" s="23"/>
      <c r="M33" s="23"/>
      <c r="N33" s="22"/>
      <c r="O33" s="23"/>
      <c r="P33" s="23"/>
      <c r="Q33" s="23">
        <f>117+492+0</f>
        <v>609</v>
      </c>
      <c r="R33" s="22"/>
      <c r="S33" s="23"/>
      <c r="T33" s="23"/>
      <c r="U33" s="23">
        <f>127+307+24</f>
        <v>458</v>
      </c>
      <c r="V33" s="22"/>
      <c r="W33" s="23">
        <f>139+452+296</f>
        <v>887</v>
      </c>
      <c r="X33" s="23">
        <f>3940+814+54</f>
        <v>4808</v>
      </c>
      <c r="Y33" s="23"/>
    </row>
    <row r="34" spans="1:25" s="8" customFormat="1" x14ac:dyDescent="0.15">
      <c r="A34" s="8" t="s">
        <v>28</v>
      </c>
      <c r="B34" s="23"/>
      <c r="C34" s="23"/>
      <c r="D34" s="23"/>
      <c r="E34" s="23"/>
      <c r="F34" s="22"/>
      <c r="G34" s="23"/>
      <c r="H34" s="23"/>
      <c r="I34" s="23"/>
      <c r="J34" s="22"/>
      <c r="K34" s="23"/>
      <c r="L34" s="23"/>
      <c r="M34" s="23"/>
      <c r="N34" s="22"/>
      <c r="O34" s="23"/>
      <c r="P34" s="23"/>
      <c r="Q34" s="23">
        <v>0</v>
      </c>
      <c r="R34" s="22"/>
      <c r="S34" s="23"/>
      <c r="T34" s="23"/>
      <c r="U34" s="23">
        <v>0</v>
      </c>
      <c r="V34" s="22"/>
      <c r="W34" s="23">
        <v>0</v>
      </c>
      <c r="X34" s="23">
        <v>0</v>
      </c>
      <c r="Y34" s="23"/>
    </row>
    <row r="35" spans="1:25" s="8" customFormat="1" x14ac:dyDescent="0.15">
      <c r="B35" s="23"/>
      <c r="C35" s="23"/>
      <c r="D35" s="23"/>
      <c r="E35" s="23"/>
      <c r="F35" s="22"/>
      <c r="G35" s="23"/>
      <c r="H35" s="23"/>
      <c r="I35" s="23"/>
      <c r="J35" s="22"/>
      <c r="K35" s="23"/>
      <c r="L35" s="23"/>
      <c r="M35" s="23"/>
      <c r="N35" s="22"/>
      <c r="O35" s="23"/>
      <c r="P35" s="23"/>
      <c r="Q35" s="23"/>
      <c r="R35" s="22"/>
      <c r="S35" s="23"/>
      <c r="T35" s="23"/>
      <c r="U35" s="23"/>
      <c r="V35" s="22"/>
      <c r="W35" s="23"/>
      <c r="X35" s="23"/>
      <c r="Y35" s="23"/>
    </row>
    <row r="36" spans="1:25" s="8" customFormat="1" x14ac:dyDescent="0.15">
      <c r="A36" s="64" t="s">
        <v>52</v>
      </c>
      <c r="B36" s="23"/>
      <c r="C36" s="23"/>
      <c r="D36" s="23"/>
      <c r="E36" s="38"/>
      <c r="F36" s="22"/>
      <c r="G36" s="23"/>
      <c r="H36" s="23"/>
      <c r="I36" s="38"/>
      <c r="J36" s="22"/>
      <c r="K36" s="23"/>
      <c r="L36" s="23"/>
      <c r="M36" s="38"/>
      <c r="N36" s="22"/>
      <c r="O36" s="23"/>
      <c r="P36" s="23"/>
      <c r="Q36" s="23">
        <v>0</v>
      </c>
      <c r="R36" s="22"/>
      <c r="S36" s="23"/>
      <c r="T36" s="23"/>
      <c r="U36" s="23">
        <f>7+70</f>
        <v>77</v>
      </c>
      <c r="V36" s="22"/>
      <c r="W36" s="23">
        <f>8+16</f>
        <v>24</v>
      </c>
      <c r="X36" s="23">
        <f>8+15</f>
        <v>23</v>
      </c>
      <c r="Y36" s="23"/>
    </row>
    <row r="37" spans="1:25" s="8" customFormat="1" x14ac:dyDescent="0.15">
      <c r="A37" s="64" t="s">
        <v>53</v>
      </c>
      <c r="B37" s="23"/>
      <c r="C37" s="23"/>
      <c r="D37" s="23"/>
      <c r="E37" s="38"/>
      <c r="F37" s="22"/>
      <c r="G37" s="23"/>
      <c r="H37" s="23"/>
      <c r="I37" s="38"/>
      <c r="J37" s="22"/>
      <c r="K37" s="23"/>
      <c r="L37" s="23"/>
      <c r="M37" s="38"/>
      <c r="N37" s="22"/>
      <c r="O37" s="23"/>
      <c r="P37" s="23"/>
      <c r="Q37" s="23">
        <v>764</v>
      </c>
      <c r="R37" s="22"/>
      <c r="S37" s="23"/>
      <c r="T37" s="23"/>
      <c r="U37" s="23">
        <v>1013</v>
      </c>
      <c r="V37" s="22"/>
      <c r="W37" s="23">
        <v>1437</v>
      </c>
      <c r="X37" s="23">
        <v>5713</v>
      </c>
      <c r="Y37" s="23"/>
    </row>
    <row r="38" spans="1:25" s="8" customFormat="1" x14ac:dyDescent="0.15">
      <c r="A38" s="64" t="s">
        <v>54</v>
      </c>
      <c r="B38" s="23"/>
      <c r="C38" s="23"/>
      <c r="D38" s="23"/>
      <c r="E38" s="38"/>
      <c r="F38" s="22"/>
      <c r="G38" s="23"/>
      <c r="H38" s="23"/>
      <c r="I38" s="38"/>
      <c r="J38" s="22"/>
      <c r="K38" s="23"/>
      <c r="L38" s="23"/>
      <c r="M38" s="38"/>
      <c r="N38" s="22"/>
      <c r="O38" s="23"/>
      <c r="P38" s="23"/>
      <c r="Q38" s="23">
        <f>166+911</f>
        <v>1077</v>
      </c>
      <c r="R38" s="22"/>
      <c r="S38" s="23"/>
      <c r="T38" s="23"/>
      <c r="U38" s="23">
        <f>416+193+3+8+936</f>
        <v>1556</v>
      </c>
      <c r="V38" s="22"/>
      <c r="W38" s="23">
        <f>674+1415</f>
        <v>2089</v>
      </c>
      <c r="X38" s="23">
        <f>548+188+3+7</f>
        <v>746</v>
      </c>
      <c r="Y38" s="23"/>
    </row>
    <row r="39" spans="1:25" s="8" customFormat="1" x14ac:dyDescent="0.15">
      <c r="B39" s="23"/>
      <c r="C39" s="23"/>
      <c r="D39" s="23"/>
      <c r="E39" s="38"/>
      <c r="F39" s="22"/>
      <c r="G39" s="23"/>
      <c r="H39" s="23"/>
      <c r="I39" s="38"/>
      <c r="J39" s="22"/>
      <c r="K39" s="23"/>
      <c r="L39" s="23"/>
      <c r="M39" s="38"/>
      <c r="N39" s="22"/>
      <c r="O39" s="23"/>
      <c r="P39" s="23"/>
      <c r="Q39" s="23"/>
      <c r="R39" s="22"/>
      <c r="S39" s="23"/>
      <c r="T39" s="23"/>
      <c r="U39" s="23"/>
      <c r="V39" s="22"/>
      <c r="W39" s="23"/>
      <c r="X39" s="23"/>
      <c r="Y39" s="23"/>
    </row>
    <row r="40" spans="1:25" s="8" customFormat="1" x14ac:dyDescent="0.15">
      <c r="A40" s="64" t="s">
        <v>55</v>
      </c>
      <c r="B40" s="23"/>
      <c r="C40" s="23"/>
      <c r="D40" s="23"/>
      <c r="E40" s="27">
        <f>E37-E33-E36</f>
        <v>0</v>
      </c>
      <c r="F40" s="22"/>
      <c r="G40" s="23"/>
      <c r="H40" s="23"/>
      <c r="I40" s="27">
        <f t="shared" ref="I40:O40" si="59">I37-I33-I36</f>
        <v>0</v>
      </c>
      <c r="J40" s="22"/>
      <c r="K40" s="23"/>
      <c r="L40" s="23"/>
      <c r="M40" s="27">
        <f t="shared" si="59"/>
        <v>0</v>
      </c>
      <c r="N40" s="28">
        <f t="shared" si="59"/>
        <v>0</v>
      </c>
      <c r="O40" s="27">
        <f t="shared" si="59"/>
        <v>0</v>
      </c>
      <c r="P40" s="27">
        <f t="shared" ref="P40:V40" si="60">P37-P33-P36</f>
        <v>0</v>
      </c>
      <c r="Q40" s="27">
        <f t="shared" si="60"/>
        <v>155</v>
      </c>
      <c r="R40" s="28">
        <f t="shared" si="60"/>
        <v>0</v>
      </c>
      <c r="S40" s="27">
        <f t="shared" si="60"/>
        <v>0</v>
      </c>
      <c r="T40" s="27">
        <f t="shared" si="60"/>
        <v>0</v>
      </c>
      <c r="U40" s="27">
        <f t="shared" si="60"/>
        <v>478</v>
      </c>
      <c r="V40" s="28">
        <f t="shared" si="60"/>
        <v>0</v>
      </c>
      <c r="W40" s="27">
        <f t="shared" ref="W40:X40" si="61">W37-W33-W36</f>
        <v>526</v>
      </c>
      <c r="X40" s="27">
        <f t="shared" si="61"/>
        <v>882</v>
      </c>
      <c r="Y40" s="23"/>
    </row>
    <row r="41" spans="1:25" s="8" customFormat="1" x14ac:dyDescent="0.15">
      <c r="A41" s="64" t="s">
        <v>56</v>
      </c>
      <c r="B41" s="23"/>
      <c r="C41" s="23"/>
      <c r="D41" s="23"/>
      <c r="E41" s="27">
        <f>E37-E38</f>
        <v>0</v>
      </c>
      <c r="F41" s="22"/>
      <c r="G41" s="23"/>
      <c r="H41" s="23"/>
      <c r="I41" s="27">
        <f>I37-I38</f>
        <v>0</v>
      </c>
      <c r="J41" s="22"/>
      <c r="K41" s="23"/>
      <c r="L41" s="23"/>
      <c r="M41" s="27">
        <f t="shared" ref="M41:P41" si="62">M37-M38</f>
        <v>0</v>
      </c>
      <c r="N41" s="28">
        <f t="shared" si="62"/>
        <v>0</v>
      </c>
      <c r="O41" s="27">
        <f t="shared" si="62"/>
        <v>0</v>
      </c>
      <c r="P41" s="27">
        <f t="shared" si="62"/>
        <v>0</v>
      </c>
      <c r="Q41" s="27">
        <f t="shared" ref="Q41:S41" si="63">Q37-Q38</f>
        <v>-313</v>
      </c>
      <c r="R41" s="28">
        <f t="shared" si="63"/>
        <v>0</v>
      </c>
      <c r="S41" s="27">
        <f t="shared" si="63"/>
        <v>0</v>
      </c>
      <c r="T41" s="27">
        <f>T37-T38</f>
        <v>0</v>
      </c>
      <c r="U41" s="27">
        <f>U37-U38</f>
        <v>-543</v>
      </c>
      <c r="V41" s="28">
        <f t="shared" ref="V41" si="64">V37-V38</f>
        <v>0</v>
      </c>
      <c r="W41" s="27">
        <f>W37-W38</f>
        <v>-652</v>
      </c>
      <c r="X41" s="27">
        <f>X37-X38</f>
        <v>4967</v>
      </c>
      <c r="Y41" s="23"/>
    </row>
    <row r="42" spans="1:25" s="8" customFormat="1" x14ac:dyDescent="0.15">
      <c r="B42" s="23"/>
      <c r="C42" s="23"/>
      <c r="D42" s="23"/>
      <c r="E42" s="38"/>
      <c r="F42" s="22"/>
      <c r="G42" s="23"/>
      <c r="H42" s="23"/>
      <c r="I42" s="38"/>
      <c r="J42" s="22"/>
      <c r="K42" s="23"/>
      <c r="L42" s="23"/>
      <c r="M42" s="38"/>
      <c r="N42" s="22"/>
      <c r="O42" s="23"/>
      <c r="P42" s="23"/>
      <c r="Q42" s="23"/>
      <c r="R42" s="22"/>
      <c r="S42" s="23"/>
      <c r="T42" s="23"/>
      <c r="U42" s="23"/>
      <c r="V42" s="22"/>
      <c r="W42" s="23"/>
      <c r="X42" s="23"/>
      <c r="Y42" s="23"/>
    </row>
    <row r="43" spans="1:25" s="17" customFormat="1" x14ac:dyDescent="0.15">
      <c r="A43" s="65" t="s">
        <v>57</v>
      </c>
      <c r="B43" s="47"/>
      <c r="C43" s="47"/>
      <c r="D43" s="47"/>
      <c r="E43" s="24">
        <f>SUM(B18:E18)</f>
        <v>-4165.96</v>
      </c>
      <c r="F43" s="22"/>
      <c r="G43" s="23"/>
      <c r="H43" s="23"/>
      <c r="I43" s="24">
        <f>SUM(F18:I18)</f>
        <v>-4685.6480000000001</v>
      </c>
      <c r="J43" s="22"/>
      <c r="K43" s="23"/>
      <c r="L43" s="23"/>
      <c r="M43" s="24">
        <f t="shared" ref="M43:U43" si="65">SUM(J18:M18)</f>
        <v>-5607.5510000000004</v>
      </c>
      <c r="N43" s="25">
        <f t="shared" si="65"/>
        <v>-5820.2220000000007</v>
      </c>
      <c r="O43" s="24">
        <f t="shared" si="65"/>
        <v>-5954.6149999999998</v>
      </c>
      <c r="P43" s="24">
        <f t="shared" si="65"/>
        <v>-6157.8950000000004</v>
      </c>
      <c r="Q43" s="24">
        <f t="shared" si="65"/>
        <v>-6439.2340000000004</v>
      </c>
      <c r="R43" s="25">
        <f t="shared" si="65"/>
        <v>-6870.0680000000002</v>
      </c>
      <c r="S43" s="24">
        <f t="shared" si="65"/>
        <v>-7449.5619999999999</v>
      </c>
      <c r="T43" s="24">
        <f t="shared" si="65"/>
        <v>-5914.9089999999997</v>
      </c>
      <c r="U43" s="24">
        <f t="shared" si="65"/>
        <v>-4213.1509999999998</v>
      </c>
      <c r="V43" s="25">
        <f t="shared" ref="V43" si="66">SUM(S18:V18)</f>
        <v>-2382.8229999999999</v>
      </c>
      <c r="W43" s="24">
        <f>SUM(T18:W18)</f>
        <v>-349.01800000000003</v>
      </c>
      <c r="X43" s="24">
        <f>SUM(U18:X18)</f>
        <v>-427.34</v>
      </c>
      <c r="Y43" s="47"/>
    </row>
    <row r="44" spans="1:25" x14ac:dyDescent="0.15">
      <c r="A44" s="18" t="s">
        <v>58</v>
      </c>
      <c r="E44" s="34" t="e">
        <f>E18/E41</f>
        <v>#DIV/0!</v>
      </c>
      <c r="I44" s="34" t="e">
        <f t="shared" ref="I44:O44" si="67">I43/I41</f>
        <v>#DIV/0!</v>
      </c>
      <c r="J44" s="22"/>
      <c r="K44" s="23"/>
      <c r="L44" s="23"/>
      <c r="M44" s="34" t="e">
        <f t="shared" si="67"/>
        <v>#DIV/0!</v>
      </c>
      <c r="N44" s="35" t="e">
        <f t="shared" si="67"/>
        <v>#DIV/0!</v>
      </c>
      <c r="O44" s="34" t="e">
        <f t="shared" si="67"/>
        <v>#DIV/0!</v>
      </c>
      <c r="P44" s="34" t="e">
        <f t="shared" ref="P44:V44" si="68">P43/P41</f>
        <v>#DIV/0!</v>
      </c>
      <c r="Q44" s="34">
        <f t="shared" si="68"/>
        <v>20.572632587859427</v>
      </c>
      <c r="R44" s="35" t="e">
        <f t="shared" si="68"/>
        <v>#DIV/0!</v>
      </c>
      <c r="S44" s="34" t="e">
        <f t="shared" si="68"/>
        <v>#DIV/0!</v>
      </c>
      <c r="T44" s="34" t="e">
        <f t="shared" si="68"/>
        <v>#DIV/0!</v>
      </c>
      <c r="U44" s="34">
        <f t="shared" si="68"/>
        <v>7.7590257826887656</v>
      </c>
      <c r="V44" s="35" t="e">
        <f t="shared" si="68"/>
        <v>#DIV/0!</v>
      </c>
      <c r="W44" s="34">
        <f t="shared" ref="W44:X44" si="69">W43/W41</f>
        <v>0.53530368098159509</v>
      </c>
      <c r="X44" s="34">
        <f t="shared" si="69"/>
        <v>-8.6035836521038855E-2</v>
      </c>
    </row>
    <row r="45" spans="1:25" x14ac:dyDescent="0.15">
      <c r="A45" s="18" t="s">
        <v>59</v>
      </c>
      <c r="E45" s="34" t="e">
        <f>E18/E37</f>
        <v>#DIV/0!</v>
      </c>
      <c r="I45" s="34" t="e">
        <f t="shared" ref="I45:O45" si="70">I43/I37</f>
        <v>#DIV/0!</v>
      </c>
      <c r="J45" s="22"/>
      <c r="K45" s="23"/>
      <c r="L45" s="23"/>
      <c r="M45" s="34" t="e">
        <f t="shared" si="70"/>
        <v>#DIV/0!</v>
      </c>
      <c r="N45" s="35" t="e">
        <f t="shared" si="70"/>
        <v>#DIV/0!</v>
      </c>
      <c r="O45" s="34" t="e">
        <f t="shared" si="70"/>
        <v>#DIV/0!</v>
      </c>
      <c r="P45" s="34" t="e">
        <f t="shared" ref="P45:V45" si="71">P43/P37</f>
        <v>#DIV/0!</v>
      </c>
      <c r="Q45" s="34">
        <f t="shared" si="71"/>
        <v>-8.4283167539267012</v>
      </c>
      <c r="R45" s="35" t="e">
        <f t="shared" si="71"/>
        <v>#DIV/0!</v>
      </c>
      <c r="S45" s="34" t="e">
        <f t="shared" si="71"/>
        <v>#DIV/0!</v>
      </c>
      <c r="T45" s="34" t="e">
        <f t="shared" si="71"/>
        <v>#DIV/0!</v>
      </c>
      <c r="U45" s="34">
        <f t="shared" si="71"/>
        <v>-4.1590829220138206</v>
      </c>
      <c r="V45" s="35" t="e">
        <f t="shared" si="71"/>
        <v>#DIV/0!</v>
      </c>
      <c r="W45" s="34">
        <f t="shared" ref="W45:X45" si="72">W43/W37</f>
        <v>-0.24287961029923455</v>
      </c>
      <c r="X45" s="34">
        <f t="shared" si="72"/>
        <v>-7.4801330299317348E-2</v>
      </c>
    </row>
    <row r="46" spans="1:25" x14ac:dyDescent="0.15">
      <c r="A46" s="18" t="s">
        <v>60</v>
      </c>
      <c r="E46" s="34" t="e">
        <f>E18/(E41-E36)</f>
        <v>#DIV/0!</v>
      </c>
      <c r="I46" s="34" t="e">
        <f t="shared" ref="I46:O46" si="73">I43/(I41-I36)</f>
        <v>#DIV/0!</v>
      </c>
      <c r="J46" s="22"/>
      <c r="K46" s="23"/>
      <c r="L46" s="23"/>
      <c r="M46" s="34" t="e">
        <f t="shared" si="73"/>
        <v>#DIV/0!</v>
      </c>
      <c r="N46" s="35" t="e">
        <f t="shared" si="73"/>
        <v>#DIV/0!</v>
      </c>
      <c r="O46" s="34" t="e">
        <f t="shared" si="73"/>
        <v>#DIV/0!</v>
      </c>
      <c r="P46" s="34" t="e">
        <f t="shared" ref="P46:V46" si="74">P43/(P41-P36)</f>
        <v>#DIV/0!</v>
      </c>
      <c r="Q46" s="34">
        <f t="shared" si="74"/>
        <v>20.572632587859427</v>
      </c>
      <c r="R46" s="35" t="e">
        <f t="shared" si="74"/>
        <v>#DIV/0!</v>
      </c>
      <c r="S46" s="34" t="e">
        <f t="shared" si="74"/>
        <v>#DIV/0!</v>
      </c>
      <c r="T46" s="34" t="e">
        <f t="shared" si="74"/>
        <v>#DIV/0!</v>
      </c>
      <c r="U46" s="34">
        <f t="shared" si="74"/>
        <v>6.7954048387096773</v>
      </c>
      <c r="V46" s="35" t="e">
        <f t="shared" si="74"/>
        <v>#DIV/0!</v>
      </c>
      <c r="W46" s="34">
        <f t="shared" ref="W46:X46" si="75">W43/(W41-W36)</f>
        <v>0.51629881656804733</v>
      </c>
      <c r="X46" s="34">
        <f t="shared" si="75"/>
        <v>-8.6436084142394815E-2</v>
      </c>
    </row>
    <row r="47" spans="1:25" x14ac:dyDescent="0.15">
      <c r="A47" s="18" t="s">
        <v>61</v>
      </c>
      <c r="E47" s="34" t="e">
        <f>E18/E40</f>
        <v>#DIV/0!</v>
      </c>
      <c r="I47" s="34" t="e">
        <f t="shared" ref="I47:O47" si="76">I43/I40</f>
        <v>#DIV/0!</v>
      </c>
      <c r="J47" s="22"/>
      <c r="K47" s="23"/>
      <c r="L47" s="23"/>
      <c r="M47" s="34" t="e">
        <f t="shared" si="76"/>
        <v>#DIV/0!</v>
      </c>
      <c r="N47" s="35" t="e">
        <f t="shared" si="76"/>
        <v>#DIV/0!</v>
      </c>
      <c r="O47" s="34" t="e">
        <f t="shared" si="76"/>
        <v>#DIV/0!</v>
      </c>
      <c r="P47" s="34" t="e">
        <f t="shared" ref="P47:V47" si="77">P43/P40</f>
        <v>#DIV/0!</v>
      </c>
      <c r="Q47" s="34">
        <f t="shared" si="77"/>
        <v>-41.543445161290322</v>
      </c>
      <c r="R47" s="35" t="e">
        <f t="shared" si="77"/>
        <v>#DIV/0!</v>
      </c>
      <c r="S47" s="34" t="e">
        <f t="shared" si="77"/>
        <v>#DIV/0!</v>
      </c>
      <c r="T47" s="34" t="e">
        <f t="shared" si="77"/>
        <v>#DIV/0!</v>
      </c>
      <c r="U47" s="34">
        <f t="shared" si="77"/>
        <v>-8.8141234309623435</v>
      </c>
      <c r="V47" s="35" t="e">
        <f t="shared" si="77"/>
        <v>#DIV/0!</v>
      </c>
      <c r="W47" s="34">
        <f t="shared" ref="W47:X47" si="78">W43/W40</f>
        <v>-0.66353231939163504</v>
      </c>
      <c r="X47" s="34">
        <f t="shared" si="78"/>
        <v>-0.48451247165532879</v>
      </c>
    </row>
    <row r="49" spans="1:25" x14ac:dyDescent="0.15">
      <c r="A49" s="6" t="s">
        <v>66</v>
      </c>
      <c r="F49" s="35" t="e">
        <f>F3/B3-1</f>
        <v>#DIV/0!</v>
      </c>
      <c r="G49" s="34" t="e">
        <f>G3/C3-1</f>
        <v>#DIV/0!</v>
      </c>
      <c r="H49" s="34" t="e">
        <f>H3/D3-1</f>
        <v>#DIV/0!</v>
      </c>
      <c r="I49" s="34" t="e">
        <f>I3/E3-1</f>
        <v>#DIV/0!</v>
      </c>
      <c r="J49" s="35" t="e">
        <f>J3/F3-1</f>
        <v>#DIV/0!</v>
      </c>
      <c r="K49" s="34" t="e">
        <f>K3/G3-1</f>
        <v>#DIV/0!</v>
      </c>
      <c r="L49" s="34" t="e">
        <f>L3/H3-1</f>
        <v>#DIV/0!</v>
      </c>
      <c r="M49" s="34" t="e">
        <f>M3/I3-1</f>
        <v>#DIV/0!</v>
      </c>
      <c r="N49" s="35" t="e">
        <f>N3/J3-1</f>
        <v>#DIV/0!</v>
      </c>
      <c r="O49" s="34" t="e">
        <f>O3/K3-1</f>
        <v>#DIV/0!</v>
      </c>
      <c r="P49" s="34" t="e">
        <f>P3/L3-1</f>
        <v>#DIV/0!</v>
      </c>
      <c r="Q49" s="34" t="e">
        <f>Q3/M3-1</f>
        <v>#DIV/0!</v>
      </c>
      <c r="R49" s="35" t="e">
        <f>R3/N3-1</f>
        <v>#DIV/0!</v>
      </c>
      <c r="S49" s="34" t="e">
        <f>S3/O3-1</f>
        <v>#DIV/0!</v>
      </c>
      <c r="T49" s="34" t="e">
        <f>T3/P3-1</f>
        <v>#DIV/0!</v>
      </c>
      <c r="U49" s="34" t="e">
        <f>U3/Q3-1</f>
        <v>#DIV/0!</v>
      </c>
      <c r="V49" s="35" t="e">
        <f>V3/R3-1</f>
        <v>#DIV/0!</v>
      </c>
      <c r="W49" s="34" t="e">
        <f>W3/S3-1</f>
        <v>#DIV/0!</v>
      </c>
      <c r="X49" s="34">
        <f>X3/T3-1</f>
        <v>1.1451605912184131</v>
      </c>
      <c r="Y49" s="34"/>
    </row>
    <row r="50" spans="1:25" x14ac:dyDescent="0.15">
      <c r="A50" s="6" t="s">
        <v>85</v>
      </c>
      <c r="F50" s="35" t="e">
        <f>F4/B4-1</f>
        <v>#DIV/0!</v>
      </c>
      <c r="G50" s="34" t="e">
        <f>G4/C4-1</f>
        <v>#DIV/0!</v>
      </c>
      <c r="H50" s="34" t="e">
        <f>H4/D4-1</f>
        <v>#DIV/0!</v>
      </c>
      <c r="I50" s="34" t="e">
        <f>I4/E4-1</f>
        <v>#DIV/0!</v>
      </c>
      <c r="J50" s="35" t="e">
        <f>J4/F4-1</f>
        <v>#DIV/0!</v>
      </c>
      <c r="K50" s="34" t="e">
        <f>K4/G4-1</f>
        <v>#DIV/0!</v>
      </c>
      <c r="L50" s="34" t="e">
        <f>L4/H4-1</f>
        <v>#DIV/0!</v>
      </c>
      <c r="M50" s="34" t="e">
        <f>M4/I4-1</f>
        <v>#DIV/0!</v>
      </c>
      <c r="N50" s="35" t="e">
        <f>N4/J4-1</f>
        <v>#DIV/0!</v>
      </c>
      <c r="O50" s="34" t="e">
        <f>O4/K4-1</f>
        <v>#DIV/0!</v>
      </c>
      <c r="P50" s="34" t="e">
        <f>P4/L4-1</f>
        <v>#DIV/0!</v>
      </c>
      <c r="Q50" s="34" t="e">
        <f>Q4/M4-1</f>
        <v>#DIV/0!</v>
      </c>
      <c r="R50" s="35" t="e">
        <f>R4/N4-1</f>
        <v>#DIV/0!</v>
      </c>
      <c r="S50" s="34" t="e">
        <f>S4/O4-1</f>
        <v>#DIV/0!</v>
      </c>
      <c r="T50" s="34" t="e">
        <f>T4/P4-1</f>
        <v>#DIV/0!</v>
      </c>
      <c r="U50" s="34" t="e">
        <f>U4/Q4-1</f>
        <v>#DIV/0!</v>
      </c>
      <c r="V50" s="35" t="e">
        <f>V4/R4-1</f>
        <v>#DIV/0!</v>
      </c>
      <c r="W50" s="34" t="e">
        <f>W4/S4-1</f>
        <v>#DIV/0!</v>
      </c>
      <c r="X50" s="34">
        <f>X4/T4-1</f>
        <v>1.9352461173993154</v>
      </c>
      <c r="Y50" s="3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workbookViewId="0">
      <selection activeCell="B6" sqref="B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7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2021-01-07T16:59:30Z</dcterms:modified>
</cp:coreProperties>
</file>