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95A3C87-AA70-B444-95C7-6E5E0C58CEFE}" xr6:coauthVersionLast="45" xr6:coauthVersionMax="45" xr10:uidLastSave="{00000000-0000-0000-0000-000000000000}"/>
  <bookViews>
    <workbookView xWindow="20780" yWindow="460" windowWidth="1506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 s="1"/>
  <c r="M18" i="2"/>
  <c r="N18" i="2" s="1"/>
  <c r="O18" i="2" s="1"/>
  <c r="P18" i="2" s="1"/>
  <c r="L18" i="2"/>
  <c r="M19" i="2"/>
  <c r="N19" i="2" s="1"/>
  <c r="O19" i="2" s="1"/>
  <c r="P19" i="2" s="1"/>
  <c r="L19" i="2"/>
  <c r="M17" i="2"/>
  <c r="N17" i="2" s="1"/>
  <c r="O17" i="2" s="1"/>
  <c r="P17" i="2" s="1"/>
  <c r="L17" i="2"/>
  <c r="M14" i="2"/>
  <c r="N14" i="2" s="1"/>
  <c r="O14" i="2" s="1"/>
  <c r="P14" i="2" s="1"/>
  <c r="L14" i="2"/>
  <c r="C5" i="2" l="1"/>
  <c r="C3" i="2"/>
  <c r="G24" i="2"/>
  <c r="G22" i="2"/>
  <c r="Q14" i="2"/>
  <c r="R14" i="2" s="1"/>
  <c r="S14" i="2" s="1"/>
  <c r="T14" i="2" s="1"/>
  <c r="U14" i="2" s="1"/>
  <c r="H12" i="2"/>
  <c r="I12" i="2" s="1"/>
  <c r="J12" i="2" s="1"/>
  <c r="K12" i="2" s="1"/>
  <c r="G12" i="2"/>
  <c r="U27" i="2"/>
  <c r="U9" i="2"/>
  <c r="T27" i="2"/>
  <c r="T9" i="2"/>
  <c r="S27" i="2"/>
  <c r="S9" i="2"/>
  <c r="R27" i="2"/>
  <c r="R19" i="2"/>
  <c r="R36" i="2" s="1"/>
  <c r="R17" i="2"/>
  <c r="R9" i="2"/>
  <c r="Q27" i="2"/>
  <c r="Q19" i="2"/>
  <c r="Q36" i="2" s="1"/>
  <c r="Q18" i="2"/>
  <c r="Q35" i="2" s="1"/>
  <c r="Q17" i="2"/>
  <c r="Q34" i="2" s="1"/>
  <c r="Q9" i="2"/>
  <c r="H17" i="2"/>
  <c r="I17" i="2" s="1"/>
  <c r="J17" i="2" s="1"/>
  <c r="K17" i="2" s="1"/>
  <c r="G17" i="2"/>
  <c r="H10" i="2"/>
  <c r="I10" i="2" s="1"/>
  <c r="J10" i="2" s="1"/>
  <c r="K10" i="2" s="1"/>
  <c r="G10" i="2"/>
  <c r="X52" i="1"/>
  <c r="X51" i="1"/>
  <c r="X50" i="1"/>
  <c r="X42" i="1"/>
  <c r="X37" i="1"/>
  <c r="X34" i="1"/>
  <c r="X33" i="1" s="1"/>
  <c r="X29" i="1"/>
  <c r="X28" i="1"/>
  <c r="X12" i="1"/>
  <c r="X13" i="1" s="1"/>
  <c r="X7" i="1"/>
  <c r="X9" i="1" s="1"/>
  <c r="R18" i="2" l="1"/>
  <c r="R35" i="2" s="1"/>
  <c r="S19" i="2"/>
  <c r="S36" i="2" s="1"/>
  <c r="Q20" i="2"/>
  <c r="R34" i="2"/>
  <c r="S17" i="2"/>
  <c r="X14" i="1"/>
  <c r="X23" i="1"/>
  <c r="X41" i="1"/>
  <c r="W52" i="1"/>
  <c r="W51" i="1"/>
  <c r="W50" i="1"/>
  <c r="W42" i="1"/>
  <c r="W37" i="1"/>
  <c r="W34" i="1"/>
  <c r="W33" i="1"/>
  <c r="W29" i="1"/>
  <c r="W28" i="1"/>
  <c r="W15" i="1"/>
  <c r="W12" i="1"/>
  <c r="W7" i="1"/>
  <c r="W9" i="1" s="1"/>
  <c r="W23" i="1" s="1"/>
  <c r="S18" i="2" l="1"/>
  <c r="S35" i="2" s="1"/>
  <c r="R20" i="2"/>
  <c r="S34" i="2"/>
  <c r="T17" i="2"/>
  <c r="R37" i="2"/>
  <c r="T19" i="2"/>
  <c r="W41" i="1"/>
  <c r="W13" i="1"/>
  <c r="X16" i="1"/>
  <c r="X24" i="1"/>
  <c r="F45" i="2"/>
  <c r="F44" i="2"/>
  <c r="F48" i="2" s="1"/>
  <c r="F27" i="2"/>
  <c r="F24" i="2"/>
  <c r="F22" i="2"/>
  <c r="F18" i="2"/>
  <c r="G18" i="2" s="1"/>
  <c r="H18" i="2" s="1"/>
  <c r="I18" i="2" s="1"/>
  <c r="J18" i="2" s="1"/>
  <c r="K18" i="2" s="1"/>
  <c r="F17" i="2"/>
  <c r="F15" i="2"/>
  <c r="F12" i="2"/>
  <c r="F11" i="2"/>
  <c r="G11" i="2" s="1"/>
  <c r="G61" i="2" s="1"/>
  <c r="F10" i="2"/>
  <c r="V37" i="1"/>
  <c r="V34" i="1"/>
  <c r="V12" i="1"/>
  <c r="U37" i="1"/>
  <c r="U35" i="1"/>
  <c r="U34" i="1"/>
  <c r="F40" i="2" s="1"/>
  <c r="U12" i="1"/>
  <c r="U52" i="1"/>
  <c r="U51" i="1"/>
  <c r="U50" i="1"/>
  <c r="U42" i="1"/>
  <c r="U29" i="1"/>
  <c r="U28" i="1"/>
  <c r="U13" i="1"/>
  <c r="U7" i="1"/>
  <c r="Y27" i="1" s="1"/>
  <c r="S20" i="2" l="1"/>
  <c r="S37" i="2" s="1"/>
  <c r="T18" i="2"/>
  <c r="T35" i="2" s="1"/>
  <c r="T36" i="2"/>
  <c r="U19" i="2"/>
  <c r="U36" i="2" s="1"/>
  <c r="U18" i="2"/>
  <c r="U35" i="2" s="1"/>
  <c r="T34" i="2"/>
  <c r="U17" i="2"/>
  <c r="U33" i="1"/>
  <c r="V41" i="1"/>
  <c r="X19" i="1"/>
  <c r="X20" i="1" s="1"/>
  <c r="X25" i="1"/>
  <c r="U41" i="1"/>
  <c r="F41" i="2"/>
  <c r="W14" i="1"/>
  <c r="U9" i="1"/>
  <c r="U23" i="1" s="1"/>
  <c r="F43" i="2"/>
  <c r="F55" i="2" s="1"/>
  <c r="G34" i="2"/>
  <c r="F14" i="2"/>
  <c r="F39" i="2"/>
  <c r="H11" i="2"/>
  <c r="I11" i="2" s="1"/>
  <c r="J11" i="2" s="1"/>
  <c r="K11" i="2" s="1"/>
  <c r="T20" i="2" l="1"/>
  <c r="T37" i="2" s="1"/>
  <c r="U34" i="2"/>
  <c r="U20" i="2"/>
  <c r="U37" i="2" s="1"/>
  <c r="W24" i="1"/>
  <c r="W16" i="1"/>
  <c r="U14" i="1"/>
  <c r="F47" i="2"/>
  <c r="F16" i="2"/>
  <c r="U24" i="1" l="1"/>
  <c r="U16" i="1"/>
  <c r="W25" i="1"/>
  <c r="W19" i="1"/>
  <c r="W20" i="1" s="1"/>
  <c r="U19" i="1" l="1"/>
  <c r="U25" i="1"/>
  <c r="U20" i="1" l="1"/>
  <c r="T42" i="1"/>
  <c r="T37" i="1"/>
  <c r="T35" i="1"/>
  <c r="T34" i="1"/>
  <c r="T52" i="1"/>
  <c r="T51" i="1"/>
  <c r="T50" i="1"/>
  <c r="T12" i="1"/>
  <c r="X30" i="1" s="1"/>
  <c r="T7" i="1"/>
  <c r="X27" i="1" s="1"/>
  <c r="V52" i="1"/>
  <c r="V51" i="1"/>
  <c r="V50" i="1"/>
  <c r="V42" i="1"/>
  <c r="V29" i="1"/>
  <c r="V28" i="1"/>
  <c r="V13" i="1"/>
  <c r="V7" i="1"/>
  <c r="T9" i="1" l="1"/>
  <c r="T13" i="1"/>
  <c r="T33" i="1"/>
  <c r="T41" i="1"/>
  <c r="V9" i="1"/>
  <c r="V33" i="1"/>
  <c r="C4" i="2"/>
  <c r="T28" i="1"/>
  <c r="T29" i="1"/>
  <c r="S37" i="1"/>
  <c r="S35" i="1"/>
  <c r="S34" i="1"/>
  <c r="S12" i="1"/>
  <c r="W30" i="1" s="1"/>
  <c r="S52" i="1"/>
  <c r="S51" i="1"/>
  <c r="S50" i="1"/>
  <c r="S42" i="1"/>
  <c r="S29" i="1"/>
  <c r="S28" i="1"/>
  <c r="S7" i="1"/>
  <c r="E18" i="2"/>
  <c r="E17" i="2"/>
  <c r="E15" i="2"/>
  <c r="E12" i="2"/>
  <c r="F62" i="2" s="1"/>
  <c r="E11" i="2"/>
  <c r="F61" i="2" s="1"/>
  <c r="E10" i="2"/>
  <c r="F60" i="2" s="1"/>
  <c r="D24" i="2"/>
  <c r="D22" i="2"/>
  <c r="D17" i="2"/>
  <c r="D18" i="2"/>
  <c r="D15" i="2"/>
  <c r="D12" i="2"/>
  <c r="D11" i="2"/>
  <c r="D10" i="2"/>
  <c r="C18" i="2"/>
  <c r="C17" i="2"/>
  <c r="C15" i="2"/>
  <c r="C12" i="2"/>
  <c r="C11" i="2"/>
  <c r="C10" i="2"/>
  <c r="C14" i="2" s="1"/>
  <c r="B24" i="2"/>
  <c r="B22" i="2"/>
  <c r="B18" i="2"/>
  <c r="B17" i="2"/>
  <c r="B15" i="2"/>
  <c r="B12" i="2"/>
  <c r="B11" i="2"/>
  <c r="B10" i="2"/>
  <c r="B12" i="1"/>
  <c r="B13" i="1" s="1"/>
  <c r="F12" i="1"/>
  <c r="C12" i="1"/>
  <c r="C13" i="1" s="1"/>
  <c r="G12" i="1"/>
  <c r="G13" i="1" s="1"/>
  <c r="C7" i="1"/>
  <c r="C9" i="1" s="1"/>
  <c r="C14" i="1" s="1"/>
  <c r="F7" i="1"/>
  <c r="F9" i="1" s="1"/>
  <c r="G7" i="1"/>
  <c r="G27" i="1" s="1"/>
  <c r="F50" i="1"/>
  <c r="G50" i="1"/>
  <c r="H50" i="1"/>
  <c r="F51" i="1"/>
  <c r="G51" i="1"/>
  <c r="H51" i="1"/>
  <c r="F52" i="1"/>
  <c r="G52" i="1"/>
  <c r="H52" i="1"/>
  <c r="D12" i="1"/>
  <c r="D13" i="1" s="1"/>
  <c r="H12" i="1"/>
  <c r="H13" i="1" s="1"/>
  <c r="H7" i="1"/>
  <c r="E37" i="1"/>
  <c r="B43" i="2" s="1"/>
  <c r="E34" i="1"/>
  <c r="B40" i="2" s="1"/>
  <c r="I37" i="1"/>
  <c r="I34" i="1"/>
  <c r="C40" i="2" s="1"/>
  <c r="E12" i="1"/>
  <c r="E13" i="1" s="1"/>
  <c r="I12" i="1"/>
  <c r="I13" i="1" s="1"/>
  <c r="J12" i="1"/>
  <c r="N37" i="1"/>
  <c r="N34" i="1"/>
  <c r="N33" i="1" s="1"/>
  <c r="O37" i="1"/>
  <c r="O34" i="1"/>
  <c r="O33" i="1" s="1"/>
  <c r="K12" i="1"/>
  <c r="O12" i="1"/>
  <c r="O13" i="1" s="1"/>
  <c r="P37" i="1"/>
  <c r="P34" i="1"/>
  <c r="P33" i="1" s="1"/>
  <c r="L12" i="1"/>
  <c r="L13" i="1" s="1"/>
  <c r="L31" i="1" s="1"/>
  <c r="P12" i="1"/>
  <c r="P13" i="1" s="1"/>
  <c r="M37" i="1"/>
  <c r="D43" i="2" s="1"/>
  <c r="M34" i="1"/>
  <c r="D40" i="2" s="1"/>
  <c r="M12" i="1"/>
  <c r="M13" i="1" s="1"/>
  <c r="M31" i="1" s="1"/>
  <c r="Q12" i="1"/>
  <c r="U30" i="1" s="1"/>
  <c r="Q37" i="1"/>
  <c r="Q34" i="1"/>
  <c r="E40" i="2" s="1"/>
  <c r="R37" i="1"/>
  <c r="R35" i="1"/>
  <c r="R34" i="1"/>
  <c r="R41" i="1" s="1"/>
  <c r="R52" i="1"/>
  <c r="R51" i="1"/>
  <c r="R50" i="1"/>
  <c r="Q7" i="1"/>
  <c r="P7" i="1"/>
  <c r="P9" i="1" s="1"/>
  <c r="P23" i="1" s="1"/>
  <c r="O7" i="1"/>
  <c r="O9" i="1" s="1"/>
  <c r="R42" i="1"/>
  <c r="N12" i="1"/>
  <c r="N13" i="1" s="1"/>
  <c r="R29" i="1"/>
  <c r="R28" i="1"/>
  <c r="N7" i="1"/>
  <c r="N9" i="1" s="1"/>
  <c r="N23" i="1" s="1"/>
  <c r="R7" i="1"/>
  <c r="R9" i="1"/>
  <c r="R12" i="1"/>
  <c r="V30" i="1" s="1"/>
  <c r="J13" i="1"/>
  <c r="E44" i="2"/>
  <c r="E43" i="2"/>
  <c r="E22" i="2"/>
  <c r="E24" i="2"/>
  <c r="Q42" i="1"/>
  <c r="E41" i="2"/>
  <c r="E45" i="2"/>
  <c r="E27" i="2"/>
  <c r="M7" i="1"/>
  <c r="M9" i="1"/>
  <c r="I7" i="1"/>
  <c r="D41" i="2"/>
  <c r="Q52" i="1"/>
  <c r="P52" i="1"/>
  <c r="O52" i="1"/>
  <c r="N52" i="1"/>
  <c r="M52" i="1"/>
  <c r="L52" i="1"/>
  <c r="K52" i="1"/>
  <c r="J52" i="1"/>
  <c r="I52" i="1"/>
  <c r="Q51" i="1"/>
  <c r="P51" i="1"/>
  <c r="O51" i="1"/>
  <c r="N51" i="1"/>
  <c r="M51" i="1"/>
  <c r="L51" i="1"/>
  <c r="K51" i="1"/>
  <c r="J51" i="1"/>
  <c r="I51" i="1"/>
  <c r="Q50" i="1"/>
  <c r="P50" i="1"/>
  <c r="O50" i="1"/>
  <c r="N50" i="1"/>
  <c r="M50" i="1"/>
  <c r="L50" i="1"/>
  <c r="K50" i="1"/>
  <c r="J50" i="1"/>
  <c r="I50" i="1"/>
  <c r="E7" i="1"/>
  <c r="E9" i="1" s="1"/>
  <c r="E42" i="1"/>
  <c r="B44" i="2"/>
  <c r="B45" i="2"/>
  <c r="P42" i="1"/>
  <c r="C22" i="2"/>
  <c r="C24" i="2"/>
  <c r="C44" i="2"/>
  <c r="C45" i="2"/>
  <c r="B41" i="2"/>
  <c r="B27" i="2"/>
  <c r="C41" i="2"/>
  <c r="D44" i="2"/>
  <c r="D45" i="2"/>
  <c r="J7" i="1"/>
  <c r="J9" i="1"/>
  <c r="K7" i="1"/>
  <c r="L7" i="1"/>
  <c r="I42" i="1"/>
  <c r="M42" i="1"/>
  <c r="B7" i="1"/>
  <c r="B9" i="1"/>
  <c r="B23" i="1" s="1"/>
  <c r="D7" i="1"/>
  <c r="D9" i="1" s="1"/>
  <c r="O42" i="1"/>
  <c r="N41" i="1"/>
  <c r="N42" i="1"/>
  <c r="Q29" i="1"/>
  <c r="Q28" i="1"/>
  <c r="N29" i="1"/>
  <c r="N28" i="1"/>
  <c r="O29" i="1"/>
  <c r="O28" i="1"/>
  <c r="P29" i="1"/>
  <c r="P28" i="1"/>
  <c r="D27" i="2"/>
  <c r="C27" i="2"/>
  <c r="G27" i="2"/>
  <c r="H27" i="2" s="1"/>
  <c r="I27" i="2" s="1"/>
  <c r="J27" i="2" s="1"/>
  <c r="K27" i="2" s="1"/>
  <c r="L27" i="2" s="1"/>
  <c r="M27" i="2" s="1"/>
  <c r="N27" i="2" s="1"/>
  <c r="O27" i="2" s="1"/>
  <c r="P27" i="2" s="1"/>
  <c r="F28" i="1"/>
  <c r="I28" i="1"/>
  <c r="M28" i="1"/>
  <c r="K28" i="1"/>
  <c r="J28" i="1"/>
  <c r="H28" i="1"/>
  <c r="L28" i="1"/>
  <c r="H29" i="1"/>
  <c r="I29" i="1"/>
  <c r="J29" i="1"/>
  <c r="K29" i="1"/>
  <c r="L29" i="1"/>
  <c r="M29" i="1"/>
  <c r="L30" i="1"/>
  <c r="G29" i="1"/>
  <c r="G28" i="1"/>
  <c r="F29" i="1"/>
  <c r="M23" i="1"/>
  <c r="I27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B55" i="2" l="1"/>
  <c r="S41" i="1"/>
  <c r="S33" i="1"/>
  <c r="R27" i="1"/>
  <c r="L27" i="1"/>
  <c r="Q41" i="1"/>
  <c r="J30" i="1"/>
  <c r="B14" i="2"/>
  <c r="B16" i="2" s="1"/>
  <c r="B29" i="2" s="1"/>
  <c r="M30" i="1"/>
  <c r="I33" i="1"/>
  <c r="S9" i="1"/>
  <c r="S23" i="1" s="1"/>
  <c r="W27" i="1"/>
  <c r="D55" i="2"/>
  <c r="Q9" i="1"/>
  <c r="Q23" i="1" s="1"/>
  <c r="U27" i="1"/>
  <c r="P41" i="1"/>
  <c r="D14" i="2"/>
  <c r="D16" i="2" s="1"/>
  <c r="D29" i="2" s="1"/>
  <c r="D19" i="2"/>
  <c r="K27" i="1"/>
  <c r="R13" i="1"/>
  <c r="V31" i="1" s="1"/>
  <c r="F19" i="2"/>
  <c r="I30" i="1"/>
  <c r="P30" i="1"/>
  <c r="H9" i="1"/>
  <c r="H23" i="1" s="1"/>
  <c r="F27" i="1"/>
  <c r="N30" i="1"/>
  <c r="J27" i="1"/>
  <c r="Q13" i="1"/>
  <c r="J14" i="1"/>
  <c r="J24" i="1" s="1"/>
  <c r="C35" i="2"/>
  <c r="V27" i="1"/>
  <c r="P27" i="1"/>
  <c r="G30" i="1"/>
  <c r="Q30" i="1"/>
  <c r="T14" i="1"/>
  <c r="T16" i="1" s="1"/>
  <c r="T19" i="1" s="1"/>
  <c r="X31" i="1"/>
  <c r="H58" i="2"/>
  <c r="E58" i="2"/>
  <c r="D58" i="2"/>
  <c r="K58" i="2"/>
  <c r="B58" i="2"/>
  <c r="J58" i="2"/>
  <c r="I58" i="2"/>
  <c r="G58" i="2"/>
  <c r="F58" i="2"/>
  <c r="C58" i="2"/>
  <c r="E55" i="2"/>
  <c r="C48" i="2"/>
  <c r="E34" i="2"/>
  <c r="E39" i="2"/>
  <c r="E61" i="2"/>
  <c r="B39" i="2"/>
  <c r="E62" i="2"/>
  <c r="D48" i="2"/>
  <c r="C61" i="2"/>
  <c r="E35" i="2"/>
  <c r="V14" i="1"/>
  <c r="V23" i="1"/>
  <c r="O14" i="1"/>
  <c r="O16" i="1" s="1"/>
  <c r="O23" i="1"/>
  <c r="C39" i="2"/>
  <c r="E60" i="2"/>
  <c r="O30" i="1"/>
  <c r="K30" i="1"/>
  <c r="D62" i="2"/>
  <c r="M27" i="1"/>
  <c r="E48" i="2"/>
  <c r="E47" i="2"/>
  <c r="O41" i="1"/>
  <c r="M14" i="1"/>
  <c r="M24" i="1" s="1"/>
  <c r="D60" i="2"/>
  <c r="B19" i="2"/>
  <c r="B20" i="2" s="1"/>
  <c r="R33" i="1"/>
  <c r="D35" i="2"/>
  <c r="M41" i="1"/>
  <c r="D39" i="2"/>
  <c r="I41" i="1"/>
  <c r="D61" i="2"/>
  <c r="J23" i="1"/>
  <c r="B48" i="2"/>
  <c r="N27" i="1"/>
  <c r="C62" i="2"/>
  <c r="Q33" i="1"/>
  <c r="P31" i="1"/>
  <c r="E33" i="1"/>
  <c r="D34" i="2"/>
  <c r="E23" i="1"/>
  <c r="E14" i="1"/>
  <c r="D23" i="1"/>
  <c r="D14" i="1"/>
  <c r="N31" i="1"/>
  <c r="T30" i="1"/>
  <c r="F23" i="1"/>
  <c r="D20" i="2"/>
  <c r="D47" i="2"/>
  <c r="C16" i="1"/>
  <c r="C24" i="1"/>
  <c r="P14" i="1"/>
  <c r="F30" i="1"/>
  <c r="Q27" i="1"/>
  <c r="C60" i="2"/>
  <c r="B14" i="1"/>
  <c r="B47" i="2"/>
  <c r="C43" i="2"/>
  <c r="C55" i="2" s="1"/>
  <c r="E14" i="2"/>
  <c r="C23" i="1"/>
  <c r="L9" i="1"/>
  <c r="N14" i="1"/>
  <c r="K13" i="1"/>
  <c r="K31" i="1" s="1"/>
  <c r="G9" i="1"/>
  <c r="M33" i="1"/>
  <c r="S27" i="1"/>
  <c r="S13" i="1"/>
  <c r="E41" i="1"/>
  <c r="C19" i="2"/>
  <c r="E19" i="2"/>
  <c r="E36" i="2" s="1"/>
  <c r="H27" i="1"/>
  <c r="C16" i="2"/>
  <c r="R30" i="1"/>
  <c r="C6" i="2"/>
  <c r="C7" i="2" s="1"/>
  <c r="K9" i="1"/>
  <c r="R23" i="1"/>
  <c r="F13" i="1"/>
  <c r="J31" i="1" s="1"/>
  <c r="S30" i="1"/>
  <c r="I9" i="1"/>
  <c r="H30" i="1"/>
  <c r="O27" i="1"/>
  <c r="C34" i="2"/>
  <c r="T31" i="1"/>
  <c r="C33" i="2" l="1"/>
  <c r="J16" i="1"/>
  <c r="Q14" i="1"/>
  <c r="O24" i="1"/>
  <c r="G19" i="2"/>
  <c r="H19" i="2" s="1"/>
  <c r="I19" i="2" s="1"/>
  <c r="J19" i="2" s="1"/>
  <c r="K19" i="2" s="1"/>
  <c r="F20" i="2"/>
  <c r="F21" i="2" s="1"/>
  <c r="F23" i="2" s="1"/>
  <c r="T20" i="1"/>
  <c r="H14" i="1"/>
  <c r="R14" i="1"/>
  <c r="R16" i="1" s="1"/>
  <c r="U31" i="1"/>
  <c r="Q31" i="1"/>
  <c r="R31" i="1"/>
  <c r="B21" i="2"/>
  <c r="B30" i="2" s="1"/>
  <c r="S31" i="1"/>
  <c r="W31" i="1"/>
  <c r="D33" i="2"/>
  <c r="C47" i="2"/>
  <c r="C36" i="2"/>
  <c r="V24" i="1"/>
  <c r="V16" i="1"/>
  <c r="H61" i="2"/>
  <c r="F14" i="1"/>
  <c r="O31" i="1"/>
  <c r="M16" i="1"/>
  <c r="O19" i="1"/>
  <c r="O25" i="1"/>
  <c r="T27" i="1"/>
  <c r="I23" i="1"/>
  <c r="I14" i="1"/>
  <c r="H24" i="1"/>
  <c r="H16" i="1"/>
  <c r="F24" i="1"/>
  <c r="F16" i="1"/>
  <c r="K14" i="1"/>
  <c r="K23" i="1"/>
  <c r="J19" i="1"/>
  <c r="J25" i="1"/>
  <c r="D21" i="2"/>
  <c r="D16" i="1"/>
  <c r="D24" i="1"/>
  <c r="E24" i="1"/>
  <c r="E16" i="1"/>
  <c r="R25" i="1"/>
  <c r="R19" i="1"/>
  <c r="C19" i="1"/>
  <c r="C20" i="1" s="1"/>
  <c r="C25" i="1"/>
  <c r="N24" i="1"/>
  <c r="N16" i="1"/>
  <c r="L23" i="1"/>
  <c r="L14" i="1"/>
  <c r="C29" i="2"/>
  <c r="B24" i="1"/>
  <c r="B16" i="1"/>
  <c r="F35" i="2"/>
  <c r="G14" i="1"/>
  <c r="G23" i="1"/>
  <c r="Q24" i="1"/>
  <c r="Q16" i="1"/>
  <c r="M19" i="1"/>
  <c r="M25" i="1"/>
  <c r="P16" i="1"/>
  <c r="P24" i="1"/>
  <c r="E33" i="2"/>
  <c r="E16" i="2"/>
  <c r="D36" i="2"/>
  <c r="S14" i="1"/>
  <c r="E20" i="2"/>
  <c r="E37" i="2" s="1"/>
  <c r="C20" i="2"/>
  <c r="C37" i="2" s="1"/>
  <c r="G62" i="2"/>
  <c r="B23" i="2" l="1"/>
  <c r="R20" i="1"/>
  <c r="R24" i="1"/>
  <c r="I61" i="2"/>
  <c r="V19" i="1"/>
  <c r="V25" i="1"/>
  <c r="F34" i="2"/>
  <c r="B25" i="2"/>
  <c r="B57" i="2" s="1"/>
  <c r="B31" i="2"/>
  <c r="I24" i="1"/>
  <c r="I16" i="1"/>
  <c r="F25" i="1"/>
  <c r="F19" i="1"/>
  <c r="H19" i="1"/>
  <c r="H20" i="1" s="1"/>
  <c r="H25" i="1"/>
  <c r="S16" i="1"/>
  <c r="S24" i="1"/>
  <c r="D19" i="1"/>
  <c r="D20" i="1" s="1"/>
  <c r="D25" i="1"/>
  <c r="G24" i="1"/>
  <c r="G16" i="1"/>
  <c r="G35" i="2"/>
  <c r="C21" i="2"/>
  <c r="D30" i="2"/>
  <c r="D23" i="2"/>
  <c r="B25" i="1"/>
  <c r="B19" i="1"/>
  <c r="P19" i="1"/>
  <c r="P25" i="1"/>
  <c r="D37" i="2"/>
  <c r="T23" i="1"/>
  <c r="H62" i="2"/>
  <c r="L24" i="1"/>
  <c r="L16" i="1"/>
  <c r="M20" i="1"/>
  <c r="J20" i="1"/>
  <c r="F36" i="2"/>
  <c r="E21" i="2"/>
  <c r="E29" i="2"/>
  <c r="G14" i="2"/>
  <c r="N25" i="1"/>
  <c r="N19" i="1"/>
  <c r="Q25" i="1"/>
  <c r="Q19" i="1"/>
  <c r="E25" i="1"/>
  <c r="E19" i="1"/>
  <c r="K24" i="1"/>
  <c r="K16" i="1"/>
  <c r="O20" i="1"/>
  <c r="F37" i="2"/>
  <c r="Q20" i="1" l="1"/>
  <c r="X44" i="1"/>
  <c r="W44" i="1"/>
  <c r="J61" i="2"/>
  <c r="V20" i="1"/>
  <c r="T24" i="1"/>
  <c r="G36" i="2"/>
  <c r="H20" i="2"/>
  <c r="G60" i="2"/>
  <c r="S25" i="1"/>
  <c r="S19" i="1"/>
  <c r="E44" i="1"/>
  <c r="B20" i="1"/>
  <c r="E20" i="1"/>
  <c r="E48" i="1"/>
  <c r="E47" i="1"/>
  <c r="E46" i="1"/>
  <c r="E45" i="1"/>
  <c r="I19" i="1"/>
  <c r="I20" i="1" s="1"/>
  <c r="I25" i="1"/>
  <c r="D25" i="2"/>
  <c r="D57" i="2" s="1"/>
  <c r="D31" i="2"/>
  <c r="C30" i="2"/>
  <c r="C23" i="2"/>
  <c r="H35" i="2"/>
  <c r="F33" i="2"/>
  <c r="P20" i="1"/>
  <c r="K19" i="1"/>
  <c r="K25" i="1"/>
  <c r="L25" i="1"/>
  <c r="L19" i="1"/>
  <c r="N20" i="1"/>
  <c r="Q44" i="1"/>
  <c r="E30" i="2"/>
  <c r="E23" i="2"/>
  <c r="R44" i="1"/>
  <c r="P44" i="1"/>
  <c r="F20" i="1"/>
  <c r="G20" i="2"/>
  <c r="G37" i="2" s="1"/>
  <c r="I62" i="2"/>
  <c r="G19" i="1"/>
  <c r="G20" i="1" s="1"/>
  <c r="G25" i="1"/>
  <c r="B50" i="2"/>
  <c r="B26" i="2"/>
  <c r="B51" i="2"/>
  <c r="B53" i="2"/>
  <c r="B52" i="2"/>
  <c r="S20" i="1" l="1"/>
  <c r="U44" i="1"/>
  <c r="W48" i="1"/>
  <c r="W45" i="1"/>
  <c r="W47" i="1"/>
  <c r="W46" i="1"/>
  <c r="I44" i="1"/>
  <c r="I48" i="1" s="1"/>
  <c r="X48" i="1"/>
  <c r="X46" i="1"/>
  <c r="X47" i="1"/>
  <c r="X45" i="1"/>
  <c r="T44" i="1"/>
  <c r="J62" i="2"/>
  <c r="K62" i="2"/>
  <c r="K61" i="2"/>
  <c r="H37" i="2"/>
  <c r="H34" i="2"/>
  <c r="F29" i="2"/>
  <c r="D53" i="2"/>
  <c r="D50" i="2"/>
  <c r="D52" i="2"/>
  <c r="D26" i="2"/>
  <c r="D51" i="2"/>
  <c r="H60" i="2"/>
  <c r="H14" i="2"/>
  <c r="H36" i="2"/>
  <c r="P48" i="1"/>
  <c r="P45" i="1"/>
  <c r="P47" i="1"/>
  <c r="P46" i="1"/>
  <c r="I35" i="2"/>
  <c r="C31" i="2"/>
  <c r="C25" i="2"/>
  <c r="G33" i="2"/>
  <c r="R47" i="1"/>
  <c r="R46" i="1"/>
  <c r="R45" i="1"/>
  <c r="R48" i="1"/>
  <c r="E31" i="2"/>
  <c r="E25" i="2"/>
  <c r="E57" i="2" s="1"/>
  <c r="Q48" i="1"/>
  <c r="Q47" i="1"/>
  <c r="Q46" i="1"/>
  <c r="Q45" i="1"/>
  <c r="L20" i="1"/>
  <c r="O44" i="1"/>
  <c r="N44" i="1"/>
  <c r="K20" i="1"/>
  <c r="M44" i="1"/>
  <c r="S44" i="1"/>
  <c r="I47" i="1" l="1"/>
  <c r="I46" i="1"/>
  <c r="T47" i="1"/>
  <c r="T45" i="1"/>
  <c r="T48" i="1"/>
  <c r="T46" i="1"/>
  <c r="U48" i="1"/>
  <c r="U46" i="1"/>
  <c r="U47" i="1"/>
  <c r="U45" i="1"/>
  <c r="I45" i="1"/>
  <c r="C51" i="2"/>
  <c r="C50" i="2"/>
  <c r="C52" i="2"/>
  <c r="C57" i="2"/>
  <c r="G16" i="2"/>
  <c r="G15" i="2" s="1"/>
  <c r="I20" i="2"/>
  <c r="I37" i="2" s="1"/>
  <c r="E53" i="2"/>
  <c r="E52" i="2"/>
  <c r="E50" i="2"/>
  <c r="I34" i="2"/>
  <c r="M48" i="1"/>
  <c r="M47" i="1"/>
  <c r="M46" i="1"/>
  <c r="M45" i="1"/>
  <c r="H33" i="2"/>
  <c r="O48" i="1"/>
  <c r="O47" i="1"/>
  <c r="O46" i="1"/>
  <c r="O45" i="1"/>
  <c r="I60" i="2"/>
  <c r="I14" i="2"/>
  <c r="T25" i="1"/>
  <c r="E26" i="2"/>
  <c r="E51" i="2"/>
  <c r="J35" i="2"/>
  <c r="S47" i="1"/>
  <c r="S46" i="1"/>
  <c r="S45" i="1"/>
  <c r="S48" i="1"/>
  <c r="C53" i="2"/>
  <c r="C26" i="2"/>
  <c r="F30" i="2"/>
  <c r="I36" i="2"/>
  <c r="N48" i="1"/>
  <c r="N47" i="1"/>
  <c r="N46" i="1"/>
  <c r="N45" i="1"/>
  <c r="G21" i="2" l="1"/>
  <c r="G30" i="2" s="1"/>
  <c r="G29" i="2"/>
  <c r="H16" i="2" s="1"/>
  <c r="J20" i="2"/>
  <c r="J37" i="2" s="1"/>
  <c r="K60" i="2"/>
  <c r="K14" i="2"/>
  <c r="J34" i="2"/>
  <c r="H21" i="2"/>
  <c r="H29" i="2"/>
  <c r="I16" i="2" s="1"/>
  <c r="I15" i="2" s="1"/>
  <c r="H15" i="2"/>
  <c r="F31" i="2"/>
  <c r="I33" i="2"/>
  <c r="K35" i="2"/>
  <c r="J36" i="2"/>
  <c r="J14" i="2"/>
  <c r="J60" i="2"/>
  <c r="F25" i="2" l="1"/>
  <c r="F57" i="2" s="1"/>
  <c r="V44" i="1"/>
  <c r="K34" i="2"/>
  <c r="I21" i="2"/>
  <c r="I29" i="2"/>
  <c r="J16" i="2" s="1"/>
  <c r="J33" i="2"/>
  <c r="K36" i="2"/>
  <c r="K20" i="2"/>
  <c r="K37" i="2" s="1"/>
  <c r="L35" i="2"/>
  <c r="H30" i="2"/>
  <c r="V47" i="1" l="1"/>
  <c r="V48" i="1"/>
  <c r="F26" i="2"/>
  <c r="F50" i="2"/>
  <c r="F52" i="2"/>
  <c r="F51" i="2"/>
  <c r="F53" i="2"/>
  <c r="G23" i="2"/>
  <c r="V46" i="1"/>
  <c r="V45" i="1"/>
  <c r="L34" i="2"/>
  <c r="M20" i="2"/>
  <c r="L36" i="2"/>
  <c r="J21" i="2"/>
  <c r="J29" i="2"/>
  <c r="K16" i="2" s="1"/>
  <c r="K15" i="2" s="1"/>
  <c r="K33" i="2"/>
  <c r="J15" i="2"/>
  <c r="L20" i="2"/>
  <c r="L37" i="2" s="1"/>
  <c r="M35" i="2"/>
  <c r="I30" i="2"/>
  <c r="M34" i="2" l="1"/>
  <c r="J30" i="2"/>
  <c r="G31" i="2"/>
  <c r="K21" i="2"/>
  <c r="K29" i="2"/>
  <c r="L16" i="2" s="1"/>
  <c r="L33" i="2"/>
  <c r="M37" i="2"/>
  <c r="N35" i="2"/>
  <c r="M36" i="2"/>
  <c r="G25" i="2" l="1"/>
  <c r="N34" i="2"/>
  <c r="M33" i="2"/>
  <c r="O35" i="2"/>
  <c r="L21" i="2"/>
  <c r="L29" i="2"/>
  <c r="M16" i="2" s="1"/>
  <c r="K30" i="2"/>
  <c r="L15" i="2"/>
  <c r="N36" i="2"/>
  <c r="N20" i="2"/>
  <c r="N37" i="2" s="1"/>
  <c r="G57" i="2" l="1"/>
  <c r="G26" i="2"/>
  <c r="G39" i="2"/>
  <c r="O34" i="2"/>
  <c r="M21" i="2"/>
  <c r="M29" i="2"/>
  <c r="N16" i="2" s="1"/>
  <c r="M15" i="2"/>
  <c r="O36" i="2"/>
  <c r="L30" i="2"/>
  <c r="O20" i="2"/>
  <c r="O37" i="2" s="1"/>
  <c r="P35" i="2"/>
  <c r="P20" i="2"/>
  <c r="Q37" i="2" s="1"/>
  <c r="N33" i="2"/>
  <c r="P34" i="2" l="1"/>
  <c r="N29" i="2"/>
  <c r="O16" i="2" s="1"/>
  <c r="O15" i="2" s="1"/>
  <c r="N21" i="2"/>
  <c r="N15" i="2"/>
  <c r="O33" i="2"/>
  <c r="P37" i="2"/>
  <c r="H22" i="2"/>
  <c r="H23" i="2" s="1"/>
  <c r="P36" i="2"/>
  <c r="M30" i="2"/>
  <c r="Q33" i="2" l="1"/>
  <c r="H24" i="2"/>
  <c r="H31" i="2" s="1"/>
  <c r="N30" i="2"/>
  <c r="P33" i="2"/>
  <c r="O21" i="2"/>
  <c r="O29" i="2"/>
  <c r="P16" i="2" s="1"/>
  <c r="R33" i="2" l="1"/>
  <c r="H25" i="2"/>
  <c r="P21" i="2"/>
  <c r="P29" i="2"/>
  <c r="Q16" i="2" s="1"/>
  <c r="P15" i="2"/>
  <c r="O30" i="2"/>
  <c r="Q21" i="2" l="1"/>
  <c r="Q29" i="2"/>
  <c r="R16" i="2" s="1"/>
  <c r="Q15" i="2"/>
  <c r="S33" i="2"/>
  <c r="H57" i="2"/>
  <c r="H26" i="2"/>
  <c r="H39" i="2"/>
  <c r="I22" i="2" s="1"/>
  <c r="I23" i="2" s="1"/>
  <c r="P30" i="2"/>
  <c r="T33" i="2" l="1"/>
  <c r="R29" i="2"/>
  <c r="S16" i="2" s="1"/>
  <c r="R21" i="2"/>
  <c r="R15" i="2"/>
  <c r="Q30" i="2"/>
  <c r="I24" i="2"/>
  <c r="I31" i="2" s="1"/>
  <c r="R30" i="2" l="1"/>
  <c r="S29" i="2"/>
  <c r="T16" i="2" s="1"/>
  <c r="S21" i="2"/>
  <c r="S15" i="2"/>
  <c r="U33" i="2"/>
  <c r="I25" i="2"/>
  <c r="I39" i="2"/>
  <c r="S30" i="2" l="1"/>
  <c r="T15" i="2"/>
  <c r="T29" i="2"/>
  <c r="U16" i="2" s="1"/>
  <c r="T21" i="2"/>
  <c r="I57" i="2"/>
  <c r="I26" i="2"/>
  <c r="J22" i="2"/>
  <c r="J23" i="2" s="1"/>
  <c r="T30" i="2" l="1"/>
  <c r="U29" i="2"/>
  <c r="U21" i="2"/>
  <c r="U15" i="2"/>
  <c r="J24" i="2"/>
  <c r="J31" i="2" s="1"/>
  <c r="U30" i="2" l="1"/>
  <c r="J25" i="2"/>
  <c r="J26" i="2" l="1"/>
  <c r="J57" i="2"/>
  <c r="J39" i="2"/>
  <c r="K22" i="2" s="1"/>
  <c r="K23" i="2" s="1"/>
  <c r="K24" i="2" l="1"/>
  <c r="K31" i="2" s="1"/>
  <c r="K25" i="2"/>
  <c r="K57" i="2" s="1"/>
  <c r="K26" i="2" l="1"/>
  <c r="K39" i="2"/>
  <c r="L22" i="2" l="1"/>
  <c r="L23" i="2" s="1"/>
  <c r="L24" i="2" l="1"/>
  <c r="L31" i="2" s="1"/>
  <c r="L25" i="2" l="1"/>
  <c r="L26" i="2"/>
  <c r="L39" i="2"/>
  <c r="M22" i="2" l="1"/>
  <c r="M23" i="2" s="1"/>
  <c r="M24" i="2" l="1"/>
  <c r="M31" i="2" s="1"/>
  <c r="M25" i="2" l="1"/>
  <c r="M26" i="2" l="1"/>
  <c r="M39" i="2"/>
  <c r="N22" i="2" l="1"/>
  <c r="N23" i="2" s="1"/>
  <c r="N24" i="2" l="1"/>
  <c r="N31" i="2" s="1"/>
  <c r="N25" i="2" l="1"/>
  <c r="N26" i="2"/>
  <c r="N39" i="2"/>
  <c r="O22" i="2" l="1"/>
  <c r="O23" i="2" s="1"/>
  <c r="O24" i="2" l="1"/>
  <c r="O31" i="2" s="1"/>
  <c r="O25" i="2" l="1"/>
  <c r="O26" i="2"/>
  <c r="O39" i="2"/>
  <c r="P22" i="2" l="1"/>
  <c r="P23" i="2" s="1"/>
  <c r="P24" i="2" l="1"/>
  <c r="P31" i="2" s="1"/>
  <c r="P25" i="2" l="1"/>
  <c r="P26" i="2" l="1"/>
  <c r="P39" i="2"/>
  <c r="Q22" i="2" l="1"/>
  <c r="Q23" i="2" s="1"/>
  <c r="Q24" i="2" l="1"/>
  <c r="Q31" i="2" s="1"/>
  <c r="Q25" i="2"/>
  <c r="Q26" i="2" l="1"/>
  <c r="Q39" i="2"/>
  <c r="R22" i="2" l="1"/>
  <c r="R23" i="2" s="1"/>
  <c r="R24" i="2" l="1"/>
  <c r="R31" i="2" s="1"/>
  <c r="R25" i="2"/>
  <c r="R26" i="2" l="1"/>
  <c r="R39" i="2"/>
  <c r="S22" i="2" l="1"/>
  <c r="S23" i="2" s="1"/>
  <c r="S24" i="2" l="1"/>
  <c r="S31" i="2" s="1"/>
  <c r="S25" i="2" l="1"/>
  <c r="S26" i="2" l="1"/>
  <c r="S39" i="2"/>
  <c r="T22" i="2" l="1"/>
  <c r="T23" i="2" s="1"/>
  <c r="T24" i="2" l="1"/>
  <c r="T31" i="2" s="1"/>
  <c r="T25" i="2" l="1"/>
  <c r="T26" i="2" s="1"/>
  <c r="T39" i="2"/>
  <c r="U22" i="2" l="1"/>
  <c r="U23" i="2" s="1"/>
  <c r="U24" i="2" l="1"/>
  <c r="U31" i="2" s="1"/>
  <c r="U25" i="2" l="1"/>
  <c r="U26" i="2" l="1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GN25" i="2" s="1"/>
  <c r="GO25" i="2" s="1"/>
  <c r="GP25" i="2" s="1"/>
  <c r="GQ25" i="2" s="1"/>
  <c r="GR25" i="2" s="1"/>
  <c r="U39" i="2"/>
  <c r="F6" i="2" l="1"/>
  <c r="F7" i="2" s="1"/>
  <c r="G7" i="2" s="1"/>
</calcChain>
</file>

<file path=xl/sharedStrings.xml><?xml version="1.0" encoding="utf-8"?>
<sst xmlns="http://schemas.openxmlformats.org/spreadsheetml/2006/main" count="167" uniqueCount="122">
  <si>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</si>
  <si>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</si>
  <si>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</si>
  <si>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</si>
  <si>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</si>
  <si>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</si>
  <si>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</si>
  <si>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</si>
  <si>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</si>
  <si>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</si>
  <si>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</si>
  <si>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</si>
  <si>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</si>
  <si>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</si>
  <si>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</si>
  <si>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</si>
  <si>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</si>
  <si>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</si>
  <si>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</si>
  <si>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</si>
  <si>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</si>
  <si>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</si>
  <si>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</si>
  <si>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</si>
  <si>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</si>
  <si>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</si>
  <si>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</si>
  <si>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</si>
  <si>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</si>
  <si>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</si>
  <si>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</si>
  <si>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</si>
  <si>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</si>
  <si>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</si>
  <si>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</si>
  <si>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</si>
  <si>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</si>
  <si>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</si>
  <si>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</si>
  <si>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</si>
  <si>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</si>
  <si>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</si>
  <si>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</si>
  <si>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</si>
  <si>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</si>
  <si>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</si>
  <si>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</si>
  <si>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</si>
  <si>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</si>
  <si>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</si>
  <si>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</si>
  <si>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</si>
  <si>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</si>
  <si>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</si>
  <si>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</si>
  <si>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</si>
  <si>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</si>
  <si>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</si>
  <si>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</si>
  <si>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</si>
  <si>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</si>
  <si>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</si>
  <si>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</si>
  <si>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</si>
  <si>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</si>
  <si>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</si>
  <si>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</si>
  <si>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</si>
  <si>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</si>
  <si>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Adobe Inc (ADBE)</t>
  </si>
  <si>
    <t>John Warnock</t>
  </si>
  <si>
    <t>Charles Geschke</t>
  </si>
  <si>
    <t>Shantanu Narayen</t>
  </si>
  <si>
    <t>Subscription</t>
  </si>
  <si>
    <t>Product</t>
  </si>
  <si>
    <t>Servcies and support</t>
  </si>
  <si>
    <t>Subscription y/y</t>
  </si>
  <si>
    <t>Product y/y</t>
  </si>
  <si>
    <t>Servcies and support y/y</t>
  </si>
  <si>
    <t>30/11/2018</t>
  </si>
  <si>
    <t>1/3/2019</t>
  </si>
  <si>
    <t>2/3/2018</t>
  </si>
  <si>
    <t>Operating Expenses y/y</t>
  </si>
  <si>
    <t>1/12/2017</t>
  </si>
  <si>
    <t>31/8/2018</t>
  </si>
  <si>
    <t>1/9/2017</t>
  </si>
  <si>
    <t>1/6/2018</t>
  </si>
  <si>
    <t>2/6/2017</t>
  </si>
  <si>
    <t>3/3/2017</t>
  </si>
  <si>
    <t>2/12/2016</t>
  </si>
  <si>
    <t>27/11/2015</t>
  </si>
  <si>
    <t>2/9/2016</t>
  </si>
  <si>
    <t>28/8/2015</t>
  </si>
  <si>
    <t>3/6/2016</t>
  </si>
  <si>
    <t>29/5/2015</t>
  </si>
  <si>
    <t>4/3/2016</t>
  </si>
  <si>
    <t>27/2/2015</t>
  </si>
  <si>
    <t>31/5/2019</t>
  </si>
  <si>
    <t>Q120</t>
  </si>
  <si>
    <t>Q420</t>
  </si>
  <si>
    <t>30/8/2019</t>
  </si>
  <si>
    <t>29/11/2019</t>
  </si>
  <si>
    <t>Trademarks</t>
  </si>
  <si>
    <t>Adobe</t>
  </si>
  <si>
    <t>Acrobat</t>
  </si>
  <si>
    <t>Allegorithmic</t>
  </si>
  <si>
    <t>Behance</t>
  </si>
  <si>
    <t>Creative Cloud</t>
  </si>
  <si>
    <t>Magento</t>
  </si>
  <si>
    <t>Marketo</t>
  </si>
  <si>
    <t>Reader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</si>
  <si>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</si>
  <si>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</si>
  <si>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</si>
  <si>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</si>
  <si>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</si>
  <si>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</si>
  <si>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</si>
  <si>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</si>
  <si>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</si>
  <si>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Q220</t>
  </si>
  <si>
    <t>Q320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</si>
</sst>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63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harles_Geschke" TargetMode="External"/><Relationship Id="rId2" Type="http://schemas.openxmlformats.org/officeDocument/2006/relationships/hyperlink" Target="https://en.wikipedia.org/wiki/John_Warnock" TargetMode="External"/><Relationship Id="rId1" Type="http://schemas.openxmlformats.org/officeDocument/2006/relationships/hyperlink" Target="https://www.adobe.com/investor-relations.html?promoid=2XBSC4VN&amp;mv=othe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en.wikipedia.org/wiki/Shantanu_Naray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AD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2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4" sqref="F4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69</v>
      </c>
    </row>
    <row r="2" spans="1:117" x14ac:dyDescent="0.15">
      <c r="B2" s="3" t="s">
        <v>48</v>
      </c>
      <c r="C2" s="4">
        <v>460.95</v>
      </c>
      <c r="D2" s="70">
        <v>44151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Reports!X21</f>
        <v>485</v>
      </c>
      <c r="D3" s="71" t="s">
        <v>121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9" t="s">
        <v>72</v>
      </c>
      <c r="B4" s="3" t="s">
        <v>49</v>
      </c>
      <c r="C4" s="10">
        <f>C2*C3</f>
        <v>223560.75</v>
      </c>
      <c r="D4" s="71"/>
      <c r="E4" s="6" t="s">
        <v>31</v>
      </c>
      <c r="F4" s="7">
        <f>5%</f>
        <v>0.05</v>
      </c>
      <c r="G4" s="5" t="s">
        <v>113</v>
      </c>
      <c r="I4" s="19"/>
      <c r="L4" s="9" t="s">
        <v>114</v>
      </c>
    </row>
    <row r="5" spans="1:117" x14ac:dyDescent="0.15">
      <c r="B5" s="3" t="s">
        <v>26</v>
      </c>
      <c r="C5" s="8">
        <f>Reports!X33</f>
        <v>1148</v>
      </c>
      <c r="D5" s="71" t="s">
        <v>121</v>
      </c>
      <c r="E5" s="6" t="s">
        <v>32</v>
      </c>
      <c r="F5" s="11">
        <f>NPV(F4,G25:GR25)</f>
        <v>330027.95676510851</v>
      </c>
      <c r="G5" s="5" t="s">
        <v>115</v>
      </c>
      <c r="I5" s="19"/>
    </row>
    <row r="6" spans="1:117" x14ac:dyDescent="0.15">
      <c r="A6" s="2" t="s">
        <v>47</v>
      </c>
      <c r="B6" s="3" t="s">
        <v>50</v>
      </c>
      <c r="C6" s="10">
        <f>C4-C5</f>
        <v>222412.75</v>
      </c>
      <c r="D6" s="71"/>
      <c r="E6" s="12" t="s">
        <v>33</v>
      </c>
      <c r="F6" s="13">
        <f>F5+C5</f>
        <v>331175.95676510851</v>
      </c>
      <c r="I6" s="19"/>
    </row>
    <row r="7" spans="1:117" x14ac:dyDescent="0.15">
      <c r="A7" s="9" t="s">
        <v>70</v>
      </c>
      <c r="B7" s="5" t="s">
        <v>51</v>
      </c>
      <c r="C7" s="44">
        <f>C6/C3</f>
        <v>458.58298969072166</v>
      </c>
      <c r="D7" s="71"/>
      <c r="E7" s="14" t="s">
        <v>51</v>
      </c>
      <c r="F7" s="43">
        <f>F6/C3</f>
        <v>682.8370242579557</v>
      </c>
      <c r="G7" s="19">
        <f>F7/C2-1</f>
        <v>0.4813689646555066</v>
      </c>
    </row>
    <row r="8" spans="1:117" x14ac:dyDescent="0.15">
      <c r="A8" s="9" t="s">
        <v>71</v>
      </c>
      <c r="E8" s="6"/>
      <c r="F8" s="15"/>
    </row>
    <row r="9" spans="1:117" x14ac:dyDescent="0.15">
      <c r="B9" s="39">
        <v>2015</v>
      </c>
      <c r="C9" s="39">
        <v>2016</v>
      </c>
      <c r="D9" s="39">
        <v>2017</v>
      </c>
      <c r="E9" s="39">
        <f>D9+1</f>
        <v>2018</v>
      </c>
      <c r="F9" s="39">
        <f t="shared" ref="F9:U9" si="0">E9+1</f>
        <v>2019</v>
      </c>
      <c r="G9" s="39">
        <f t="shared" si="0"/>
        <v>2020</v>
      </c>
      <c r="H9" s="39">
        <f t="shared" si="0"/>
        <v>2021</v>
      </c>
      <c r="I9" s="39">
        <f t="shared" si="0"/>
        <v>2022</v>
      </c>
      <c r="J9" s="39">
        <f t="shared" si="0"/>
        <v>2023</v>
      </c>
      <c r="K9" s="39">
        <f t="shared" si="0"/>
        <v>2024</v>
      </c>
      <c r="L9" s="39">
        <f t="shared" si="0"/>
        <v>2025</v>
      </c>
      <c r="M9" s="39">
        <f t="shared" si="0"/>
        <v>2026</v>
      </c>
      <c r="N9" s="39">
        <f t="shared" si="0"/>
        <v>2027</v>
      </c>
      <c r="O9" s="39">
        <f t="shared" si="0"/>
        <v>2028</v>
      </c>
      <c r="P9" s="39">
        <f t="shared" si="0"/>
        <v>2029</v>
      </c>
      <c r="Q9" s="39">
        <f t="shared" si="0"/>
        <v>2030</v>
      </c>
      <c r="R9" s="39">
        <f t="shared" si="0"/>
        <v>2031</v>
      </c>
      <c r="S9" s="39">
        <f t="shared" si="0"/>
        <v>2032</v>
      </c>
      <c r="T9" s="39">
        <f t="shared" si="0"/>
        <v>2033</v>
      </c>
      <c r="U9" s="39">
        <f t="shared" si="0"/>
        <v>2034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73</v>
      </c>
      <c r="B10" s="23">
        <f>SUM(Reports!B3:E3)</f>
        <v>3223.9040000000005</v>
      </c>
      <c r="C10" s="23">
        <f>SUM(Reports!F3:I3)</f>
        <v>4584.8330000000005</v>
      </c>
      <c r="D10" s="38">
        <f>SUM(Reports!J3:M3)</f>
        <v>6133.8690000000006</v>
      </c>
      <c r="E10" s="38">
        <f>SUM(Reports!N3:Q3)</f>
        <v>7922.152</v>
      </c>
      <c r="F10" s="38">
        <f>SUM(Reports!R3:U3)</f>
        <v>9994.4639999999999</v>
      </c>
      <c r="G10" s="38">
        <f>F10*1.2</f>
        <v>11993.3568</v>
      </c>
      <c r="H10" s="38">
        <f t="shared" ref="H10:K10" si="1">G10*1.2</f>
        <v>14392.02816</v>
      </c>
      <c r="I10" s="38">
        <f t="shared" si="1"/>
        <v>17270.433792</v>
      </c>
      <c r="J10" s="38">
        <f t="shared" si="1"/>
        <v>20724.520550400001</v>
      </c>
      <c r="K10" s="38">
        <f t="shared" si="1"/>
        <v>24869.424660479999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74</v>
      </c>
      <c r="B11" s="23">
        <f>SUM(Reports!B4:E4)</f>
        <v>1125.1460000000002</v>
      </c>
      <c r="C11" s="23">
        <f>SUM(Reports!F4:I4)</f>
        <v>800.49800000000005</v>
      </c>
      <c r="D11" s="38">
        <f>SUM(Reports!J4:M4)</f>
        <v>706.76699999999994</v>
      </c>
      <c r="E11" s="38">
        <f>SUM(Reports!N4:Q4)</f>
        <v>622.15300000000002</v>
      </c>
      <c r="F11" s="38">
        <f>SUM(Reports!R4:U4)</f>
        <v>647.78800000000001</v>
      </c>
      <c r="G11" s="38">
        <f>F11*0.95</f>
        <v>615.39859999999999</v>
      </c>
      <c r="H11" s="38">
        <f t="shared" ref="H11:K11" si="2">G11*0.95</f>
        <v>584.62866999999994</v>
      </c>
      <c r="I11" s="38">
        <f t="shared" si="2"/>
        <v>555.39723649999996</v>
      </c>
      <c r="J11" s="38">
        <f t="shared" si="2"/>
        <v>527.62737467499994</v>
      </c>
      <c r="K11" s="38">
        <f t="shared" si="2"/>
        <v>501.2460059412499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x14ac:dyDescent="0.15">
      <c r="A12" s="8" t="s">
        <v>75</v>
      </c>
      <c r="B12" s="23">
        <f>SUM(Reports!B5:E5)</f>
        <v>446.46100000000001</v>
      </c>
      <c r="C12" s="23">
        <f>SUM(Reports!F5:I5)</f>
        <v>469.09900000000005</v>
      </c>
      <c r="D12" s="38">
        <f>SUM(Reports!J5:M5)</f>
        <v>460.86900000000003</v>
      </c>
      <c r="E12" s="38">
        <f>SUM(Reports!N5:Q5)</f>
        <v>485.70299999999997</v>
      </c>
      <c r="F12" s="38">
        <f>SUM(Reports!R5:U5)</f>
        <v>529.04399999999998</v>
      </c>
      <c r="G12" s="38">
        <f>F12*1.02</f>
        <v>539.62487999999996</v>
      </c>
      <c r="H12" s="38">
        <f t="shared" ref="H12:K12" si="3">G12*1.02</f>
        <v>550.41737760000001</v>
      </c>
      <c r="I12" s="38">
        <f t="shared" si="3"/>
        <v>561.42572515200004</v>
      </c>
      <c r="J12" s="38">
        <f t="shared" si="3"/>
        <v>572.6542396550401</v>
      </c>
      <c r="K12" s="38">
        <f t="shared" si="3"/>
        <v>584.10732444814096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s="60" customFormat="1" x14ac:dyDescent="0.15">
      <c r="F13" s="49">
        <v>11150</v>
      </c>
      <c r="G13" s="49"/>
      <c r="H13" s="49"/>
      <c r="I13" s="49"/>
    </row>
    <row r="14" spans="1:117" x14ac:dyDescent="0.15">
      <c r="A14" s="2" t="s">
        <v>4</v>
      </c>
      <c r="B14" s="24">
        <f t="shared" ref="B14:K14" si="4">SUM(B10:B12)</f>
        <v>4795.5110000000013</v>
      </c>
      <c r="C14" s="24">
        <f t="shared" si="4"/>
        <v>5854.43</v>
      </c>
      <c r="D14" s="24">
        <f t="shared" si="4"/>
        <v>7301.5050000000001</v>
      </c>
      <c r="E14" s="24">
        <f t="shared" si="4"/>
        <v>9030.0079999999998</v>
      </c>
      <c r="F14" s="24">
        <f t="shared" si="4"/>
        <v>11171.296</v>
      </c>
      <c r="G14" s="47">
        <f t="shared" si="4"/>
        <v>13148.380279999999</v>
      </c>
      <c r="H14" s="47">
        <f t="shared" si="4"/>
        <v>15527.074207600001</v>
      </c>
      <c r="I14" s="47">
        <f t="shared" si="4"/>
        <v>18387.256753652</v>
      </c>
      <c r="J14" s="47">
        <f t="shared" si="4"/>
        <v>21824.802164730041</v>
      </c>
      <c r="K14" s="47">
        <f t="shared" si="4"/>
        <v>25954.777990869392</v>
      </c>
      <c r="L14" s="47">
        <f>K14*1.1</f>
        <v>28550.255789956333</v>
      </c>
      <c r="M14" s="47">
        <f t="shared" ref="M14:P14" si="5">L14*1.1</f>
        <v>31405.281368951968</v>
      </c>
      <c r="N14" s="47">
        <f t="shared" si="5"/>
        <v>34545.809505847166</v>
      </c>
      <c r="O14" s="47">
        <f t="shared" si="5"/>
        <v>38000.390456431887</v>
      </c>
      <c r="P14" s="47">
        <f t="shared" si="5"/>
        <v>41800.42950207508</v>
      </c>
      <c r="Q14" s="47">
        <f t="shared" ref="M14:U14" si="6">P14*1.05</f>
        <v>43890.450977178836</v>
      </c>
      <c r="R14" s="47">
        <f t="shared" si="6"/>
        <v>46084.973526037778</v>
      </c>
      <c r="S14" s="47">
        <f t="shared" si="6"/>
        <v>48389.222202339668</v>
      </c>
      <c r="T14" s="47">
        <f t="shared" si="6"/>
        <v>50808.683312456655</v>
      </c>
      <c r="U14" s="47">
        <f t="shared" si="6"/>
        <v>53349.11747807949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</row>
    <row r="15" spans="1:117" x14ac:dyDescent="0.15">
      <c r="A15" s="3" t="s">
        <v>5</v>
      </c>
      <c r="B15" s="23">
        <f>SUM(Reports!B8:E8)</f>
        <v>744.31700000000001</v>
      </c>
      <c r="C15" s="23">
        <f>SUM(Reports!F8:I8)</f>
        <v>819.90800000000002</v>
      </c>
      <c r="D15" s="38">
        <f>SUM(Reports!J8:M8)</f>
        <v>1010.491</v>
      </c>
      <c r="E15" s="38">
        <f>SUM(Reports!N8:Q8)</f>
        <v>1194.999</v>
      </c>
      <c r="F15" s="38">
        <f>SUM(Reports!R8:U8)</f>
        <v>1672.72</v>
      </c>
      <c r="G15" s="23">
        <f>G14-G16</f>
        <v>1968.756235799463</v>
      </c>
      <c r="H15" s="23">
        <f t="shared" ref="H15" si="7">H14-H16</f>
        <v>2324.926988644529</v>
      </c>
      <c r="I15" s="23">
        <f t="shared" ref="I15:P15" si="8">I14-I16</f>
        <v>2753.1928360835445</v>
      </c>
      <c r="J15" s="23">
        <f t="shared" si="8"/>
        <v>3267.9093882202396</v>
      </c>
      <c r="K15" s="23">
        <f>K14-K16</f>
        <v>3886.3061403875618</v>
      </c>
      <c r="L15" s="23">
        <f t="shared" si="8"/>
        <v>4274.9367544263187</v>
      </c>
      <c r="M15" s="23">
        <f t="shared" si="8"/>
        <v>4702.4304298689494</v>
      </c>
      <c r="N15" s="23">
        <f t="shared" si="8"/>
        <v>5172.673472855844</v>
      </c>
      <c r="O15" s="23">
        <f t="shared" si="8"/>
        <v>5689.9408201414299</v>
      </c>
      <c r="P15" s="23">
        <f t="shared" si="8"/>
        <v>6258.9349021555754</v>
      </c>
      <c r="Q15" s="23">
        <f t="shared" ref="Q15:U15" si="9">Q14-Q16</f>
        <v>6571.8816472633553</v>
      </c>
      <c r="R15" s="23">
        <f t="shared" si="9"/>
        <v>6900.4757296265234</v>
      </c>
      <c r="S15" s="23">
        <f t="shared" si="9"/>
        <v>7245.4995161078477</v>
      </c>
      <c r="T15" s="23">
        <f t="shared" si="9"/>
        <v>7607.7744919132383</v>
      </c>
      <c r="U15" s="23">
        <f t="shared" si="9"/>
        <v>7988.1632165089031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6</v>
      </c>
      <c r="B16" s="27">
        <f>B14-B15</f>
        <v>4051.1940000000013</v>
      </c>
      <c r="C16" s="27">
        <f>C14-C15</f>
        <v>5034.5219999999999</v>
      </c>
      <c r="D16" s="27">
        <f>D14-D15</f>
        <v>6291.0140000000001</v>
      </c>
      <c r="E16" s="27">
        <f>E14-E15</f>
        <v>7835.009</v>
      </c>
      <c r="F16" s="27">
        <f>F14-F15</f>
        <v>9498.5760000000009</v>
      </c>
      <c r="G16" s="23">
        <f>G14*F29</f>
        <v>11179.624044200536</v>
      </c>
      <c r="H16" s="23">
        <f t="shared" ref="H16:U16" si="10">H14*G29</f>
        <v>13202.147218955472</v>
      </c>
      <c r="I16" s="23">
        <f t="shared" si="10"/>
        <v>15634.063917568456</v>
      </c>
      <c r="J16" s="23">
        <f t="shared" si="10"/>
        <v>18556.892776509801</v>
      </c>
      <c r="K16" s="23">
        <f>K14*J29</f>
        <v>22068.47185048183</v>
      </c>
      <c r="L16" s="23">
        <f t="shared" si="10"/>
        <v>24275.319035530014</v>
      </c>
      <c r="M16" s="23">
        <f t="shared" si="10"/>
        <v>26702.850939083019</v>
      </c>
      <c r="N16" s="23">
        <f t="shared" si="10"/>
        <v>29373.136032991322</v>
      </c>
      <c r="O16" s="23">
        <f t="shared" si="10"/>
        <v>32310.449636290457</v>
      </c>
      <c r="P16" s="23">
        <f t="shared" si="10"/>
        <v>35541.494599919504</v>
      </c>
      <c r="Q16" s="23">
        <f t="shared" si="10"/>
        <v>37318.569329915481</v>
      </c>
      <c r="R16" s="23">
        <f t="shared" si="10"/>
        <v>39184.497796411255</v>
      </c>
      <c r="S16" s="23">
        <f t="shared" si="10"/>
        <v>41143.72268623182</v>
      </c>
      <c r="T16" s="23">
        <f t="shared" si="10"/>
        <v>43200.908820543416</v>
      </c>
      <c r="U16" s="23">
        <f t="shared" si="10"/>
        <v>45360.954261570587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7</v>
      </c>
      <c r="B17" s="23">
        <f>SUM(Reports!B10:E10)</f>
        <v>862.73</v>
      </c>
      <c r="C17" s="23">
        <f>SUM(Reports!F10:I10)</f>
        <v>975.98699999999985</v>
      </c>
      <c r="D17" s="38">
        <f>SUM(Reports!J10:M10)</f>
        <v>1224.0590000000002</v>
      </c>
      <c r="E17" s="38">
        <f>SUM(Reports!N10:Q10)</f>
        <v>1537.8119999999999</v>
      </c>
      <c r="F17" s="38">
        <f>SUM(Reports!R10:U10)</f>
        <v>1930.2280000000001</v>
      </c>
      <c r="G17" s="23">
        <f>F17*1.15</f>
        <v>2219.7622000000001</v>
      </c>
      <c r="H17" s="23">
        <f t="shared" ref="H17:K17" si="11">G17*1.15</f>
        <v>2552.7265299999999</v>
      </c>
      <c r="I17" s="23">
        <f t="shared" si="11"/>
        <v>2935.6355094999999</v>
      </c>
      <c r="J17" s="23">
        <f t="shared" si="11"/>
        <v>3375.9808359249996</v>
      </c>
      <c r="K17" s="23">
        <f t="shared" si="11"/>
        <v>3882.3779613137494</v>
      </c>
      <c r="L17" s="23">
        <f>K17*1.1</f>
        <v>4270.6157574451245</v>
      </c>
      <c r="M17" s="23">
        <f t="shared" ref="M17:P17" si="12">L17*1.1</f>
        <v>4697.6773331896375</v>
      </c>
      <c r="N17" s="23">
        <f t="shared" si="12"/>
        <v>5167.4450665086015</v>
      </c>
      <c r="O17" s="23">
        <f t="shared" si="12"/>
        <v>5684.1895731594623</v>
      </c>
      <c r="P17" s="23">
        <f t="shared" si="12"/>
        <v>6252.6085304754088</v>
      </c>
      <c r="Q17" s="23">
        <f t="shared" ref="M17:U17" si="13">P17*1.08</f>
        <v>6752.8172129134418</v>
      </c>
      <c r="R17" s="23">
        <f t="shared" si="13"/>
        <v>7293.0425899465181</v>
      </c>
      <c r="S17" s="23">
        <f t="shared" si="13"/>
        <v>7876.4859971422402</v>
      </c>
      <c r="T17" s="23">
        <f t="shared" si="13"/>
        <v>8506.6048769136196</v>
      </c>
      <c r="U17" s="23">
        <f t="shared" si="13"/>
        <v>9187.1332670667089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8</v>
      </c>
      <c r="B18" s="23">
        <f>SUM(Reports!B11:E11)</f>
        <v>1683.242</v>
      </c>
      <c r="C18" s="23">
        <f>SUM(Reports!F11:I11)</f>
        <v>1910.1970000000001</v>
      </c>
      <c r="D18" s="38">
        <f>SUM(Reports!J11:M11)</f>
        <v>2197.5919999999996</v>
      </c>
      <c r="E18" s="38">
        <f>SUM(Reports!N11:Q11)</f>
        <v>2620.8289999999997</v>
      </c>
      <c r="F18" s="38">
        <f>SUM(Reports!R11:U11)</f>
        <v>3244.3469999999998</v>
      </c>
      <c r="G18" s="23">
        <f>F18*1.18</f>
        <v>3828.3294599999995</v>
      </c>
      <c r="H18" s="23">
        <f t="shared" ref="H18:K18" si="14">G18*1.18</f>
        <v>4517.4287627999993</v>
      </c>
      <c r="I18" s="23">
        <f t="shared" si="14"/>
        <v>5330.5659401039993</v>
      </c>
      <c r="J18" s="23">
        <f t="shared" si="14"/>
        <v>6290.0678093227189</v>
      </c>
      <c r="K18" s="23">
        <f t="shared" si="14"/>
        <v>7422.2800150008079</v>
      </c>
      <c r="L18" s="23">
        <f>K18*1.05</f>
        <v>7793.3940157508487</v>
      </c>
      <c r="M18" s="23">
        <f t="shared" ref="M18:P18" si="15">L18*1.05</f>
        <v>8183.0637165383914</v>
      </c>
      <c r="N18" s="23">
        <f t="shared" si="15"/>
        <v>8592.2169023653114</v>
      </c>
      <c r="O18" s="23">
        <f t="shared" si="15"/>
        <v>9021.8277474835777</v>
      </c>
      <c r="P18" s="23">
        <f t="shared" si="15"/>
        <v>9472.9191348577569</v>
      </c>
      <c r="Q18" s="23">
        <f t="shared" ref="L18:U18" si="16">P18*0.98</f>
        <v>9283.4607521606013</v>
      </c>
      <c r="R18" s="23">
        <f t="shared" si="16"/>
        <v>9097.7915371173895</v>
      </c>
      <c r="S18" s="23">
        <f t="shared" si="16"/>
        <v>8915.8357063750409</v>
      </c>
      <c r="T18" s="23">
        <f t="shared" si="16"/>
        <v>8737.5189922475402</v>
      </c>
      <c r="U18" s="23">
        <f t="shared" si="16"/>
        <v>8562.7686124025895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9</v>
      </c>
      <c r="B19" s="23">
        <f>SUM(Reports!B12:E12)</f>
        <v>602.12699999999995</v>
      </c>
      <c r="C19" s="23">
        <f>SUM(Reports!F12:I12)</f>
        <v>654.7360000000001</v>
      </c>
      <c r="D19" s="38">
        <f>SUM(Reports!J12:M12)</f>
        <v>701.26799999999992</v>
      </c>
      <c r="E19" s="38">
        <f>SUM(Reports!N12:Q12)</f>
        <v>835.99900000000002</v>
      </c>
      <c r="F19" s="38">
        <f>SUM(Reports!R12:U12)</f>
        <v>1055.8810000000001</v>
      </c>
      <c r="G19" s="23">
        <f>F19*1.15</f>
        <v>1214.26315</v>
      </c>
      <c r="H19" s="23">
        <f t="shared" ref="H19:K19" si="17">G19*1.15</f>
        <v>1396.4026224999998</v>
      </c>
      <c r="I19" s="23">
        <f t="shared" si="17"/>
        <v>1605.8630158749995</v>
      </c>
      <c r="J19" s="23">
        <f t="shared" si="17"/>
        <v>1846.7424682562494</v>
      </c>
      <c r="K19" s="23">
        <f t="shared" si="17"/>
        <v>2123.7538384946865</v>
      </c>
      <c r="L19" s="23">
        <f>K19*1.05</f>
        <v>2229.9415304194208</v>
      </c>
      <c r="M19" s="23">
        <f t="shared" ref="M19:P19" si="18">L19*1.05</f>
        <v>2341.4386069403918</v>
      </c>
      <c r="N19" s="23">
        <f t="shared" si="18"/>
        <v>2458.5105372874114</v>
      </c>
      <c r="O19" s="23">
        <f t="shared" si="18"/>
        <v>2581.4360641517819</v>
      </c>
      <c r="P19" s="23">
        <f t="shared" si="18"/>
        <v>2710.5078673593712</v>
      </c>
      <c r="Q19" s="23">
        <f t="shared" ref="L19:U19" si="19">P19*0.98</f>
        <v>2656.2977100121839</v>
      </c>
      <c r="R19" s="23">
        <f t="shared" si="19"/>
        <v>2603.1717558119403</v>
      </c>
      <c r="S19" s="23">
        <f t="shared" si="19"/>
        <v>2551.1083206957014</v>
      </c>
      <c r="T19" s="23">
        <f t="shared" si="19"/>
        <v>2500.0861542817875</v>
      </c>
      <c r="U19" s="23">
        <f t="shared" si="19"/>
        <v>2450.0844311961519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10</v>
      </c>
      <c r="B20" s="27">
        <f>SUM(B17:B19)</f>
        <v>3148.0989999999997</v>
      </c>
      <c r="C20" s="27">
        <f>SUM(C17:C19)</f>
        <v>3540.92</v>
      </c>
      <c r="D20" s="27">
        <f>SUM(D17:D19)</f>
        <v>4122.9189999999999</v>
      </c>
      <c r="E20" s="27">
        <f>SUM(E17:E19)</f>
        <v>4994.6399999999994</v>
      </c>
      <c r="F20" s="27">
        <f>SUM(F17:F19)</f>
        <v>6230.4560000000001</v>
      </c>
      <c r="G20" s="23">
        <f t="shared" ref="G20:H20" si="20">SUM(G17:G19)</f>
        <v>7262.3548099999998</v>
      </c>
      <c r="H20" s="23">
        <f t="shared" si="20"/>
        <v>8466.5579152999999</v>
      </c>
      <c r="I20" s="23">
        <f t="shared" ref="I20:P20" si="21">SUM(I17:I19)</f>
        <v>9872.0644654789994</v>
      </c>
      <c r="J20" s="23">
        <f t="shared" si="21"/>
        <v>11512.791113503967</v>
      </c>
      <c r="K20" s="23">
        <f t="shared" si="21"/>
        <v>13428.411814809242</v>
      </c>
      <c r="L20" s="23">
        <f t="shared" si="21"/>
        <v>14293.951303615393</v>
      </c>
      <c r="M20" s="23">
        <f t="shared" si="21"/>
        <v>15222.179656668421</v>
      </c>
      <c r="N20" s="23">
        <f t="shared" si="21"/>
        <v>16218.172506161323</v>
      </c>
      <c r="O20" s="23">
        <f t="shared" si="21"/>
        <v>17287.453384794822</v>
      </c>
      <c r="P20" s="23">
        <f t="shared" si="21"/>
        <v>18436.035532692538</v>
      </c>
      <c r="Q20" s="23">
        <f t="shared" ref="Q20:U20" si="22">SUM(Q17:Q19)</f>
        <v>18692.575675086227</v>
      </c>
      <c r="R20" s="23">
        <f t="shared" si="22"/>
        <v>18994.005882875848</v>
      </c>
      <c r="S20" s="23">
        <f t="shared" si="22"/>
        <v>19343.430024212983</v>
      </c>
      <c r="T20" s="23">
        <f t="shared" si="22"/>
        <v>19744.210023442945</v>
      </c>
      <c r="U20" s="23">
        <f t="shared" si="22"/>
        <v>20199.986310665448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11</v>
      </c>
      <c r="B21" s="27">
        <f>B16-B20</f>
        <v>903.09500000000162</v>
      </c>
      <c r="C21" s="27">
        <f>C16-C20</f>
        <v>1493.6019999999999</v>
      </c>
      <c r="D21" s="27">
        <f>D16-D20</f>
        <v>2168.0950000000003</v>
      </c>
      <c r="E21" s="27">
        <f>E16-E20</f>
        <v>2840.3690000000006</v>
      </c>
      <c r="F21" s="27">
        <f>F16-F20</f>
        <v>3268.1200000000008</v>
      </c>
      <c r="G21" s="23">
        <f t="shared" ref="G21:H21" si="23">G16-G20</f>
        <v>3917.2692342005366</v>
      </c>
      <c r="H21" s="23">
        <f t="shared" si="23"/>
        <v>4735.5893036554717</v>
      </c>
      <c r="I21" s="23">
        <f t="shared" ref="I21:P21" si="24">I16-I20</f>
        <v>5761.9994520894561</v>
      </c>
      <c r="J21" s="23">
        <f t="shared" si="24"/>
        <v>7044.1016630058348</v>
      </c>
      <c r="K21" s="23">
        <f t="shared" si="24"/>
        <v>8640.0600356725881</v>
      </c>
      <c r="L21" s="23">
        <f t="shared" si="24"/>
        <v>9981.3677319146209</v>
      </c>
      <c r="M21" s="23">
        <f t="shared" si="24"/>
        <v>11480.671282414598</v>
      </c>
      <c r="N21" s="23">
        <f t="shared" si="24"/>
        <v>13154.963526829999</v>
      </c>
      <c r="O21" s="23">
        <f t="shared" si="24"/>
        <v>15022.996251495635</v>
      </c>
      <c r="P21" s="23">
        <f t="shared" si="24"/>
        <v>17105.459067226966</v>
      </c>
      <c r="Q21" s="23">
        <f t="shared" ref="Q21:U21" si="25">Q16-Q20</f>
        <v>18625.993654829254</v>
      </c>
      <c r="R21" s="23">
        <f t="shared" si="25"/>
        <v>20190.491913535407</v>
      </c>
      <c r="S21" s="23">
        <f t="shared" si="25"/>
        <v>21800.292662018837</v>
      </c>
      <c r="T21" s="23">
        <f t="shared" si="25"/>
        <v>23456.698797100471</v>
      </c>
      <c r="U21" s="23">
        <f t="shared" si="25"/>
        <v>25160.967950905138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12</v>
      </c>
      <c r="B22" s="23">
        <f>SUM(Reports!B15:E15)</f>
        <v>-29.314</v>
      </c>
      <c r="C22" s="23">
        <f>SUM(Reports!F15:I15)</f>
        <v>-58.463999999999999</v>
      </c>
      <c r="D22" s="38">
        <f>SUM(Reports!J15:M15)</f>
        <v>-30.454000000000004</v>
      </c>
      <c r="E22" s="23">
        <f>SUM(Reports!N15:Q15)</f>
        <v>-46.493000000000002</v>
      </c>
      <c r="F22" s="38">
        <f>SUM(Reports!R15:U15)</f>
        <v>-63.378999999999998</v>
      </c>
      <c r="G22" s="23">
        <f>F39*$F$3</f>
        <v>0.77418000000001486</v>
      </c>
      <c r="H22" s="23">
        <f t="shared" ref="H22:U22" si="26">G39*$F$3</f>
        <v>71.298961455609671</v>
      </c>
      <c r="I22" s="23">
        <f t="shared" si="26"/>
        <v>157.82295022760914</v>
      </c>
      <c r="J22" s="23">
        <f t="shared" si="26"/>
        <v>264.37975346931631</v>
      </c>
      <c r="K22" s="23">
        <f t="shared" si="26"/>
        <v>395.93241896586903</v>
      </c>
      <c r="L22" s="23">
        <f t="shared" si="26"/>
        <v>558.58028314936121</v>
      </c>
      <c r="M22" s="23">
        <f t="shared" si="26"/>
        <v>748.29934742051296</v>
      </c>
      <c r="N22" s="23">
        <f t="shared" si="26"/>
        <v>968.42081875754491</v>
      </c>
      <c r="O22" s="23">
        <f t="shared" si="26"/>
        <v>1222.6417369781209</v>
      </c>
      <c r="P22" s="23">
        <f t="shared" si="26"/>
        <v>1515.0632207706483</v>
      </c>
      <c r="Q22" s="23">
        <f t="shared" si="26"/>
        <v>1850.2326219546053</v>
      </c>
      <c r="R22" s="23">
        <f t="shared" si="26"/>
        <v>2218.8046949367149</v>
      </c>
      <c r="S22" s="23">
        <f t="shared" si="26"/>
        <v>2622.1720338892128</v>
      </c>
      <c r="T22" s="23">
        <f t="shared" si="26"/>
        <v>3061.7763984155572</v>
      </c>
      <c r="U22" s="23">
        <f t="shared" si="26"/>
        <v>3539.1089519348461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13</v>
      </c>
      <c r="B23" s="27">
        <f>B21+B22</f>
        <v>873.78100000000165</v>
      </c>
      <c r="C23" s="27">
        <f>C21+C22</f>
        <v>1435.1379999999999</v>
      </c>
      <c r="D23" s="27">
        <f>D21+D22</f>
        <v>2137.6410000000001</v>
      </c>
      <c r="E23" s="27">
        <f>E21+E22</f>
        <v>2793.8760000000007</v>
      </c>
      <c r="F23" s="27">
        <f>F21+F22</f>
        <v>3204.7410000000009</v>
      </c>
      <c r="G23" s="23">
        <f t="shared" ref="G23:H23" si="27">G21+G22</f>
        <v>3918.0434142005365</v>
      </c>
      <c r="H23" s="23">
        <f t="shared" si="27"/>
        <v>4806.8882651110816</v>
      </c>
      <c r="I23" s="23">
        <f t="shared" ref="I23" si="28">I21+I22</f>
        <v>5919.8224023170651</v>
      </c>
      <c r="J23" s="23">
        <f t="shared" ref="J23" si="29">J21+J22</f>
        <v>7308.4814164751515</v>
      </c>
      <c r="K23" s="23">
        <f t="shared" ref="K23" si="30">K21+K22</f>
        <v>9035.9924546384573</v>
      </c>
      <c r="L23" s="23">
        <f t="shared" ref="L23" si="31">L21+L22</f>
        <v>10539.948015063983</v>
      </c>
      <c r="M23" s="23">
        <f t="shared" ref="M23" si="32">M21+M22</f>
        <v>12228.97062983511</v>
      </c>
      <c r="N23" s="23">
        <f t="shared" ref="N23" si="33">N21+N22</f>
        <v>14123.384345587543</v>
      </c>
      <c r="O23" s="23">
        <f t="shared" ref="O23" si="34">O21+O22</f>
        <v>16245.637988473756</v>
      </c>
      <c r="P23" s="23">
        <f t="shared" ref="P23:Q23" si="35">P21+P22</f>
        <v>18620.522287997614</v>
      </c>
      <c r="Q23" s="23">
        <f t="shared" si="35"/>
        <v>20476.226276783858</v>
      </c>
      <c r="R23" s="23">
        <f t="shared" ref="R23:U23" si="36">R21+R22</f>
        <v>22409.296608472123</v>
      </c>
      <c r="S23" s="23">
        <f t="shared" si="36"/>
        <v>24422.464695908049</v>
      </c>
      <c r="T23" s="23">
        <f t="shared" si="36"/>
        <v>26518.475195516028</v>
      </c>
      <c r="U23" s="23">
        <f t="shared" si="36"/>
        <v>28700.076902839985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14</v>
      </c>
      <c r="B24" s="23">
        <f>SUM(Reports!B17:E17)</f>
        <v>244.23000000000002</v>
      </c>
      <c r="C24" s="23">
        <f>SUM(Reports!F17:I17)</f>
        <v>266.35599999999999</v>
      </c>
      <c r="D24" s="38">
        <f>SUM(Reports!J17:M17)</f>
        <v>443.68700000000001</v>
      </c>
      <c r="E24" s="23">
        <f>SUM(Reports!N17:Q17)</f>
        <v>203.102</v>
      </c>
      <c r="F24" s="38">
        <f>SUM(Reports!R17:U17)</f>
        <v>253.28300000000002</v>
      </c>
      <c r="G24" s="23">
        <f>G23*0.1</f>
        <v>391.80434142005367</v>
      </c>
      <c r="H24" s="23">
        <f t="shared" ref="H24:P24" si="37">H23*0.1</f>
        <v>480.68882651110818</v>
      </c>
      <c r="I24" s="23">
        <f t="shared" si="37"/>
        <v>591.98224023170656</v>
      </c>
      <c r="J24" s="23">
        <f t="shared" si="37"/>
        <v>730.84814164751515</v>
      </c>
      <c r="K24" s="23">
        <f t="shared" si="37"/>
        <v>903.59924546384582</v>
      </c>
      <c r="L24" s="23">
        <f t="shared" si="37"/>
        <v>1053.9948015063983</v>
      </c>
      <c r="M24" s="23">
        <f t="shared" si="37"/>
        <v>1222.897062983511</v>
      </c>
      <c r="N24" s="23">
        <f t="shared" si="37"/>
        <v>1412.3384345587544</v>
      </c>
      <c r="O24" s="23">
        <f t="shared" si="37"/>
        <v>1624.5637988473757</v>
      </c>
      <c r="P24" s="23">
        <f t="shared" si="37"/>
        <v>1862.0522287997615</v>
      </c>
      <c r="Q24" s="23">
        <f t="shared" ref="Q24:U24" si="38">Q23*0.1</f>
        <v>2047.6226276783859</v>
      </c>
      <c r="R24" s="23">
        <f t="shared" si="38"/>
        <v>2240.9296608472123</v>
      </c>
      <c r="S24" s="23">
        <f t="shared" si="38"/>
        <v>2442.2464695908052</v>
      </c>
      <c r="T24" s="23">
        <f t="shared" si="38"/>
        <v>2651.847519551603</v>
      </c>
      <c r="U24" s="23">
        <f t="shared" si="38"/>
        <v>2870.0076902839987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s="2" customFormat="1" x14ac:dyDescent="0.15">
      <c r="A25" s="2" t="s">
        <v>15</v>
      </c>
      <c r="B25" s="24">
        <f>B23-B24</f>
        <v>629.55100000000164</v>
      </c>
      <c r="C25" s="24">
        <f>C23-C24</f>
        <v>1168.7819999999999</v>
      </c>
      <c r="D25" s="24">
        <f>D23-D24</f>
        <v>1693.9540000000002</v>
      </c>
      <c r="E25" s="24">
        <f>E23-E24</f>
        <v>2590.7740000000008</v>
      </c>
      <c r="F25" s="24">
        <f t="shared" ref="F25:H25" si="39">F23-F24</f>
        <v>2951.458000000001</v>
      </c>
      <c r="G25" s="24">
        <f>G23-G24</f>
        <v>3526.2390727804827</v>
      </c>
      <c r="H25" s="24">
        <f t="shared" si="39"/>
        <v>4326.1994385999733</v>
      </c>
      <c r="I25" s="24">
        <f t="shared" ref="I25:P25" si="40">I23-I24</f>
        <v>5327.8401620853583</v>
      </c>
      <c r="J25" s="24">
        <f t="shared" si="40"/>
        <v>6577.6332748276363</v>
      </c>
      <c r="K25" s="24">
        <f t="shared" si="40"/>
        <v>8132.3932091746119</v>
      </c>
      <c r="L25" s="24">
        <f t="shared" si="40"/>
        <v>9485.9532135575846</v>
      </c>
      <c r="M25" s="24">
        <f t="shared" si="40"/>
        <v>11006.073566851599</v>
      </c>
      <c r="N25" s="24">
        <f t="shared" si="40"/>
        <v>12711.045911028788</v>
      </c>
      <c r="O25" s="24">
        <f t="shared" si="40"/>
        <v>14621.074189626381</v>
      </c>
      <c r="P25" s="24">
        <f t="shared" si="40"/>
        <v>16758.470059197851</v>
      </c>
      <c r="Q25" s="24">
        <f t="shared" ref="Q25:U25" si="41">Q23-Q24</f>
        <v>18428.603649105473</v>
      </c>
      <c r="R25" s="24">
        <f t="shared" si="41"/>
        <v>20168.366947624912</v>
      </c>
      <c r="S25" s="24">
        <f t="shared" si="41"/>
        <v>21980.218226317244</v>
      </c>
      <c r="T25" s="24">
        <f t="shared" si="41"/>
        <v>23866.627675964424</v>
      </c>
      <c r="U25" s="24">
        <f t="shared" si="41"/>
        <v>25830.069212555987</v>
      </c>
      <c r="V25" s="24">
        <f t="shared" ref="V25:BY25" si="42">U25*($F$2+1)</f>
        <v>25571.768520430425</v>
      </c>
      <c r="W25" s="24">
        <f t="shared" si="42"/>
        <v>25316.05083522612</v>
      </c>
      <c r="X25" s="24">
        <f t="shared" si="42"/>
        <v>25062.890326873858</v>
      </c>
      <c r="Y25" s="24">
        <f t="shared" si="42"/>
        <v>24812.261423605119</v>
      </c>
      <c r="Z25" s="24">
        <f t="shared" si="42"/>
        <v>24564.138809369069</v>
      </c>
      <c r="AA25" s="24">
        <f t="shared" si="42"/>
        <v>24318.497421275377</v>
      </c>
      <c r="AB25" s="24">
        <f t="shared" si="42"/>
        <v>24075.312447062624</v>
      </c>
      <c r="AC25" s="24">
        <f t="shared" si="42"/>
        <v>23834.559322591998</v>
      </c>
      <c r="AD25" s="24">
        <f t="shared" si="42"/>
        <v>23596.213729366078</v>
      </c>
      <c r="AE25" s="24">
        <f t="shared" si="42"/>
        <v>23360.251592072418</v>
      </c>
      <c r="AF25" s="24">
        <f t="shared" si="42"/>
        <v>23126.649076151694</v>
      </c>
      <c r="AG25" s="24">
        <f t="shared" si="42"/>
        <v>22895.382585390176</v>
      </c>
      <c r="AH25" s="24">
        <f t="shared" si="42"/>
        <v>22666.428759536273</v>
      </c>
      <c r="AI25" s="24">
        <f t="shared" si="42"/>
        <v>22439.764471940911</v>
      </c>
      <c r="AJ25" s="24">
        <f t="shared" si="42"/>
        <v>22215.3668272215</v>
      </c>
      <c r="AK25" s="24">
        <f t="shared" si="42"/>
        <v>21993.213158949286</v>
      </c>
      <c r="AL25" s="24">
        <f t="shared" si="42"/>
        <v>21773.281027359793</v>
      </c>
      <c r="AM25" s="24">
        <f t="shared" si="42"/>
        <v>21555.548217086194</v>
      </c>
      <c r="AN25" s="24">
        <f t="shared" si="42"/>
        <v>21339.992734915333</v>
      </c>
      <c r="AO25" s="24">
        <f t="shared" si="42"/>
        <v>21126.59280756618</v>
      </c>
      <c r="AP25" s="24">
        <f t="shared" si="42"/>
        <v>20915.326879490516</v>
      </c>
      <c r="AQ25" s="24">
        <f t="shared" si="42"/>
        <v>20706.173610695612</v>
      </c>
      <c r="AR25" s="24">
        <f t="shared" si="42"/>
        <v>20499.111874588656</v>
      </c>
      <c r="AS25" s="24">
        <f t="shared" si="42"/>
        <v>20294.12075584277</v>
      </c>
      <c r="AT25" s="24">
        <f t="shared" si="42"/>
        <v>20091.179548284341</v>
      </c>
      <c r="AU25" s="24">
        <f t="shared" si="42"/>
        <v>19890.267752801497</v>
      </c>
      <c r="AV25" s="24">
        <f t="shared" si="42"/>
        <v>19691.365075273483</v>
      </c>
      <c r="AW25" s="24">
        <f t="shared" si="42"/>
        <v>19494.451424520747</v>
      </c>
      <c r="AX25" s="24">
        <f t="shared" si="42"/>
        <v>19299.506910275541</v>
      </c>
      <c r="AY25" s="24">
        <f t="shared" si="42"/>
        <v>19106.511841172785</v>
      </c>
      <c r="AZ25" s="24">
        <f t="shared" si="42"/>
        <v>18915.446722761058</v>
      </c>
      <c r="BA25" s="24">
        <f t="shared" si="42"/>
        <v>18726.292255533448</v>
      </c>
      <c r="BB25" s="24">
        <f t="shared" si="42"/>
        <v>18539.029332978113</v>
      </c>
      <c r="BC25" s="24">
        <f t="shared" si="42"/>
        <v>18353.639039648333</v>
      </c>
      <c r="BD25" s="24">
        <f t="shared" si="42"/>
        <v>18170.10264925185</v>
      </c>
      <c r="BE25" s="24">
        <f t="shared" si="42"/>
        <v>17988.401622759331</v>
      </c>
      <c r="BF25" s="24">
        <f t="shared" si="42"/>
        <v>17808.517606531739</v>
      </c>
      <c r="BG25" s="24">
        <f t="shared" si="42"/>
        <v>17630.432430466422</v>
      </c>
      <c r="BH25" s="24">
        <f t="shared" si="42"/>
        <v>17454.128106161759</v>
      </c>
      <c r="BI25" s="24">
        <f t="shared" si="42"/>
        <v>17279.586825100141</v>
      </c>
      <c r="BJ25" s="24">
        <f t="shared" si="42"/>
        <v>17106.790956849141</v>
      </c>
      <c r="BK25" s="24">
        <f t="shared" si="42"/>
        <v>16935.723047280651</v>
      </c>
      <c r="BL25" s="24">
        <f t="shared" si="42"/>
        <v>16766.365816807844</v>
      </c>
      <c r="BM25" s="24">
        <f t="shared" si="42"/>
        <v>16598.702158639764</v>
      </c>
      <c r="BN25" s="24">
        <f t="shared" si="42"/>
        <v>16432.715137053365</v>
      </c>
      <c r="BO25" s="24">
        <f t="shared" si="42"/>
        <v>16268.387985682832</v>
      </c>
      <c r="BP25" s="24">
        <f t="shared" si="42"/>
        <v>16105.704105826004</v>
      </c>
      <c r="BQ25" s="24">
        <f t="shared" si="42"/>
        <v>15944.647064767743</v>
      </c>
      <c r="BR25" s="24">
        <f t="shared" si="42"/>
        <v>15785.200594120066</v>
      </c>
      <c r="BS25" s="24">
        <f t="shared" si="42"/>
        <v>15627.348588178866</v>
      </c>
      <c r="BT25" s="24">
        <f t="shared" si="42"/>
        <v>15471.075102297076</v>
      </c>
      <c r="BU25" s="24">
        <f t="shared" si="42"/>
        <v>15316.364351274106</v>
      </c>
      <c r="BV25" s="24">
        <f t="shared" si="42"/>
        <v>15163.200707761363</v>
      </c>
      <c r="BW25" s="24">
        <f t="shared" si="42"/>
        <v>15011.568700683749</v>
      </c>
      <c r="BX25" s="24">
        <f t="shared" si="42"/>
        <v>14861.453013676912</v>
      </c>
      <c r="BY25" s="24">
        <f t="shared" si="42"/>
        <v>14712.838483540143</v>
      </c>
      <c r="BZ25" s="24">
        <f t="shared" ref="BZ25:DM25" si="43">BY25*($F$2+1)</f>
        <v>14565.710098704742</v>
      </c>
      <c r="CA25" s="24">
        <f t="shared" si="43"/>
        <v>14420.052997717694</v>
      </c>
      <c r="CB25" s="24">
        <f t="shared" si="43"/>
        <v>14275.852467740517</v>
      </c>
      <c r="CC25" s="24">
        <f t="shared" si="43"/>
        <v>14133.093943063112</v>
      </c>
      <c r="CD25" s="24">
        <f t="shared" si="43"/>
        <v>13991.763003632481</v>
      </c>
      <c r="CE25" s="24">
        <f t="shared" si="43"/>
        <v>13851.845373596156</v>
      </c>
      <c r="CF25" s="24">
        <f t="shared" si="43"/>
        <v>13713.326919860194</v>
      </c>
      <c r="CG25" s="24">
        <f t="shared" si="43"/>
        <v>13576.193650661591</v>
      </c>
      <c r="CH25" s="24">
        <f t="shared" si="43"/>
        <v>13440.431714154975</v>
      </c>
      <c r="CI25" s="24">
        <f t="shared" si="43"/>
        <v>13306.027397013424</v>
      </c>
      <c r="CJ25" s="24">
        <f t="shared" si="43"/>
        <v>13172.96712304329</v>
      </c>
      <c r="CK25" s="24">
        <f t="shared" si="43"/>
        <v>13041.237451812858</v>
      </c>
      <c r="CL25" s="24">
        <f t="shared" si="43"/>
        <v>12910.825077294729</v>
      </c>
      <c r="CM25" s="24">
        <f t="shared" si="43"/>
        <v>12781.716826521781</v>
      </c>
      <c r="CN25" s="24">
        <f t="shared" si="43"/>
        <v>12653.899658256563</v>
      </c>
      <c r="CO25" s="24">
        <f t="shared" si="43"/>
        <v>12527.360661673998</v>
      </c>
      <c r="CP25" s="24">
        <f t="shared" si="43"/>
        <v>12402.087055057258</v>
      </c>
      <c r="CQ25" s="24">
        <f t="shared" si="43"/>
        <v>12278.066184506686</v>
      </c>
      <c r="CR25" s="24">
        <f t="shared" si="43"/>
        <v>12155.285522661619</v>
      </c>
      <c r="CS25" s="24">
        <f t="shared" si="43"/>
        <v>12033.732667435002</v>
      </c>
      <c r="CT25" s="24">
        <f t="shared" si="43"/>
        <v>11913.395340760653</v>
      </c>
      <c r="CU25" s="24">
        <f t="shared" si="43"/>
        <v>11794.261387353046</v>
      </c>
      <c r="CV25" s="24">
        <f t="shared" si="43"/>
        <v>11676.318773479516</v>
      </c>
      <c r="CW25" s="24">
        <f t="shared" si="43"/>
        <v>11559.55558574472</v>
      </c>
      <c r="CX25" s="24">
        <f t="shared" si="43"/>
        <v>11443.960029887272</v>
      </c>
      <c r="CY25" s="24">
        <f t="shared" si="43"/>
        <v>11329.5204295884</v>
      </c>
      <c r="CZ25" s="24">
        <f t="shared" si="43"/>
        <v>11216.225225292515</v>
      </c>
      <c r="DA25" s="24">
        <f t="shared" si="43"/>
        <v>11104.06297303959</v>
      </c>
      <c r="DB25" s="24">
        <f t="shared" si="43"/>
        <v>10993.022343309194</v>
      </c>
      <c r="DC25" s="24">
        <f t="shared" si="43"/>
        <v>10883.092119876103</v>
      </c>
      <c r="DD25" s="24">
        <f t="shared" si="43"/>
        <v>10774.261198677341</v>
      </c>
      <c r="DE25" s="24">
        <f t="shared" si="43"/>
        <v>10666.518586690567</v>
      </c>
      <c r="DF25" s="24">
        <f t="shared" si="43"/>
        <v>10559.85340082366</v>
      </c>
      <c r="DG25" s="24">
        <f t="shared" si="43"/>
        <v>10454.254866815423</v>
      </c>
      <c r="DH25" s="24">
        <f t="shared" si="43"/>
        <v>10349.712318147269</v>
      </c>
      <c r="DI25" s="24">
        <f t="shared" si="43"/>
        <v>10246.215194965796</v>
      </c>
      <c r="DJ25" s="24">
        <f t="shared" si="43"/>
        <v>10143.753043016139</v>
      </c>
      <c r="DK25" s="24">
        <f t="shared" si="43"/>
        <v>10042.315512585978</v>
      </c>
      <c r="DL25" s="24">
        <f t="shared" si="43"/>
        <v>9941.8923574601176</v>
      </c>
      <c r="DM25" s="24">
        <f t="shared" si="43"/>
        <v>9842.473433885516</v>
      </c>
      <c r="DN25" s="24">
        <f t="shared" ref="DN25" si="44">DM25*($F$2+1)</f>
        <v>9744.0486995466599</v>
      </c>
      <c r="DO25" s="24">
        <f t="shared" ref="DO25" si="45">DN25*($F$2+1)</f>
        <v>9646.608212551193</v>
      </c>
      <c r="DP25" s="24">
        <f t="shared" ref="DP25" si="46">DO25*($F$2+1)</f>
        <v>9550.1421304256801</v>
      </c>
      <c r="DQ25" s="24">
        <f t="shared" ref="DQ25" si="47">DP25*($F$2+1)</f>
        <v>9454.6407091214223</v>
      </c>
      <c r="DR25" s="24">
        <f t="shared" ref="DR25" si="48">DQ25*($F$2+1)</f>
        <v>9360.0943020302075</v>
      </c>
      <c r="DS25" s="24">
        <f t="shared" ref="DS25" si="49">DR25*($F$2+1)</f>
        <v>9266.4933590099045</v>
      </c>
      <c r="DT25" s="24">
        <f t="shared" ref="DT25" si="50">DS25*($F$2+1)</f>
        <v>9173.8284254198061</v>
      </c>
      <c r="DU25" s="24">
        <f t="shared" ref="DU25" si="51">DT25*($F$2+1)</f>
        <v>9082.0901411656087</v>
      </c>
      <c r="DV25" s="24">
        <f t="shared" ref="DV25" si="52">DU25*($F$2+1)</f>
        <v>8991.2692397539522</v>
      </c>
      <c r="DW25" s="24">
        <f t="shared" ref="DW25" si="53">DV25*($F$2+1)</f>
        <v>8901.3565473564122</v>
      </c>
      <c r="DX25" s="24">
        <f t="shared" ref="DX25" si="54">DW25*($F$2+1)</f>
        <v>8812.3429818828481</v>
      </c>
      <c r="DY25" s="24">
        <f t="shared" ref="DY25" si="55">DX25*($F$2+1)</f>
        <v>8724.2195520640198</v>
      </c>
      <c r="DZ25" s="24">
        <f t="shared" ref="DZ25" si="56">DY25*($F$2+1)</f>
        <v>8636.9773565433788</v>
      </c>
      <c r="EA25" s="24">
        <f t="shared" ref="EA25" si="57">DZ25*($F$2+1)</f>
        <v>8550.6075829779456</v>
      </c>
      <c r="EB25" s="24">
        <f t="shared" ref="EB25" si="58">EA25*($F$2+1)</f>
        <v>8465.101507148167</v>
      </c>
      <c r="EC25" s="24">
        <f t="shared" ref="EC25" si="59">EB25*($F$2+1)</f>
        <v>8380.4504920766849</v>
      </c>
      <c r="ED25" s="24">
        <f t="shared" ref="ED25" si="60">EC25*($F$2+1)</f>
        <v>8296.6459871559182</v>
      </c>
      <c r="EE25" s="24">
        <f t="shared" ref="EE25" si="61">ED25*($F$2+1)</f>
        <v>8213.6795272843592</v>
      </c>
      <c r="EF25" s="24">
        <f t="shared" ref="EF25" si="62">EE25*($F$2+1)</f>
        <v>8131.5427320115159</v>
      </c>
      <c r="EG25" s="24">
        <f t="shared" ref="EG25" si="63">EF25*($F$2+1)</f>
        <v>8050.2273046914006</v>
      </c>
      <c r="EH25" s="24">
        <f t="shared" ref="EH25" si="64">EG25*($F$2+1)</f>
        <v>7969.7250316444861</v>
      </c>
      <c r="EI25" s="24">
        <f t="shared" ref="EI25" si="65">EH25*($F$2+1)</f>
        <v>7890.0277813280409</v>
      </c>
      <c r="EJ25" s="24">
        <f t="shared" ref="EJ25" si="66">EI25*($F$2+1)</f>
        <v>7811.1275035147601</v>
      </c>
      <c r="EK25" s="24">
        <f t="shared" ref="EK25" si="67">EJ25*($F$2+1)</f>
        <v>7733.0162284796124</v>
      </c>
      <c r="EL25" s="24">
        <f t="shared" ref="EL25" si="68">EK25*($F$2+1)</f>
        <v>7655.6860661948158</v>
      </c>
      <c r="EM25" s="24">
        <f t="shared" ref="EM25" si="69">EL25*($F$2+1)</f>
        <v>7579.1292055328677</v>
      </c>
      <c r="EN25" s="24">
        <f t="shared" ref="EN25" si="70">EM25*($F$2+1)</f>
        <v>7503.3379134775387</v>
      </c>
      <c r="EO25" s="24">
        <f t="shared" ref="EO25" si="71">EN25*($F$2+1)</f>
        <v>7428.304534342763</v>
      </c>
      <c r="EP25" s="24">
        <f t="shared" ref="EP25" si="72">EO25*($F$2+1)</f>
        <v>7354.0214889993349</v>
      </c>
      <c r="EQ25" s="24">
        <f t="shared" ref="EQ25" si="73">EP25*($F$2+1)</f>
        <v>7280.4812741093419</v>
      </c>
      <c r="ER25" s="24">
        <f t="shared" ref="ER25" si="74">EQ25*($F$2+1)</f>
        <v>7207.6764613682481</v>
      </c>
      <c r="ES25" s="24">
        <f t="shared" ref="ES25" si="75">ER25*($F$2+1)</f>
        <v>7135.5996967545652</v>
      </c>
      <c r="ET25" s="24">
        <f t="shared" ref="ET25" si="76">ES25*($F$2+1)</f>
        <v>7064.2436997870191</v>
      </c>
      <c r="EU25" s="24">
        <f t="shared" ref="EU25" si="77">ET25*($F$2+1)</f>
        <v>6993.6012627891487</v>
      </c>
      <c r="EV25" s="24">
        <f t="shared" ref="EV25" si="78">EU25*($F$2+1)</f>
        <v>6923.6652501612571</v>
      </c>
      <c r="EW25" s="24">
        <f t="shared" ref="EW25" si="79">EV25*($F$2+1)</f>
        <v>6854.4285976596448</v>
      </c>
      <c r="EX25" s="24">
        <f t="shared" ref="EX25" si="80">EW25*($F$2+1)</f>
        <v>6785.8843116830485</v>
      </c>
      <c r="EY25" s="24">
        <f t="shared" ref="EY25" si="81">EX25*($F$2+1)</f>
        <v>6718.0254685662176</v>
      </c>
      <c r="EZ25" s="24">
        <f t="shared" ref="EZ25" si="82">EY25*($F$2+1)</f>
        <v>6650.8452138805551</v>
      </c>
      <c r="FA25" s="24">
        <f t="shared" ref="FA25" si="83">EZ25*($F$2+1)</f>
        <v>6584.3367617417498</v>
      </c>
      <c r="FB25" s="24">
        <f t="shared" ref="FB25" si="84">FA25*($F$2+1)</f>
        <v>6518.4933941243326</v>
      </c>
      <c r="FC25" s="24">
        <f t="shared" ref="FC25" si="85">FB25*($F$2+1)</f>
        <v>6453.3084601830888</v>
      </c>
      <c r="FD25" s="24">
        <f t="shared" ref="FD25" si="86">FC25*($F$2+1)</f>
        <v>6388.7753755812582</v>
      </c>
      <c r="FE25" s="24">
        <f t="shared" ref="FE25" si="87">FD25*($F$2+1)</f>
        <v>6324.8876218254454</v>
      </c>
      <c r="FF25" s="24">
        <f t="shared" ref="FF25" si="88">FE25*($F$2+1)</f>
        <v>6261.6387456071907</v>
      </c>
      <c r="FG25" s="24">
        <f t="shared" ref="FG25" si="89">FF25*($F$2+1)</f>
        <v>6199.0223581511191</v>
      </c>
      <c r="FH25" s="24">
        <f t="shared" ref="FH25" si="90">FG25*($F$2+1)</f>
        <v>6137.0321345696075</v>
      </c>
      <c r="FI25" s="24">
        <f t="shared" ref="FI25" si="91">FH25*($F$2+1)</f>
        <v>6075.6618132239109</v>
      </c>
      <c r="FJ25" s="24">
        <f t="shared" ref="FJ25" si="92">FI25*($F$2+1)</f>
        <v>6014.9051950916719</v>
      </c>
      <c r="FK25" s="24">
        <f t="shared" ref="FK25" si="93">FJ25*($F$2+1)</f>
        <v>5954.7561431407548</v>
      </c>
      <c r="FL25" s="24">
        <f t="shared" ref="FL25" si="94">FK25*($F$2+1)</f>
        <v>5895.2085817093475</v>
      </c>
      <c r="FM25" s="24">
        <f t="shared" ref="FM25" si="95">FL25*($F$2+1)</f>
        <v>5836.256495892254</v>
      </c>
      <c r="FN25" s="24">
        <f t="shared" ref="FN25" si="96">FM25*($F$2+1)</f>
        <v>5777.8939309333309</v>
      </c>
      <c r="FO25" s="24">
        <f t="shared" ref="FO25" si="97">FN25*($F$2+1)</f>
        <v>5720.1149916239974</v>
      </c>
      <c r="FP25" s="24">
        <f t="shared" ref="FP25" si="98">FO25*($F$2+1)</f>
        <v>5662.9138417077575</v>
      </c>
      <c r="FQ25" s="24">
        <f t="shared" ref="FQ25" si="99">FP25*($F$2+1)</f>
        <v>5606.2847032906802</v>
      </c>
      <c r="FR25" s="24">
        <f t="shared" ref="FR25" si="100">FQ25*($F$2+1)</f>
        <v>5550.2218562577737</v>
      </c>
      <c r="FS25" s="24">
        <f t="shared" ref="FS25" si="101">FR25*($F$2+1)</f>
        <v>5494.7196376951961</v>
      </c>
      <c r="FT25" s="24">
        <f t="shared" ref="FT25" si="102">FS25*($F$2+1)</f>
        <v>5439.7724413182441</v>
      </c>
      <c r="FU25" s="24">
        <f t="shared" ref="FU25" si="103">FT25*($F$2+1)</f>
        <v>5385.3747169050612</v>
      </c>
      <c r="FV25" s="24">
        <f t="shared" ref="FV25" si="104">FU25*($F$2+1)</f>
        <v>5331.5209697360106</v>
      </c>
      <c r="FW25" s="24">
        <f t="shared" ref="FW25" si="105">FV25*($F$2+1)</f>
        <v>5278.2057600386506</v>
      </c>
      <c r="FX25" s="24">
        <f t="shared" ref="FX25" si="106">FW25*($F$2+1)</f>
        <v>5225.4237024382637</v>
      </c>
      <c r="FY25" s="24">
        <f t="shared" ref="FY25" si="107">FX25*($F$2+1)</f>
        <v>5173.169465413881</v>
      </c>
      <c r="FZ25" s="24">
        <f t="shared" ref="FZ25" si="108">FY25*($F$2+1)</f>
        <v>5121.4377707597423</v>
      </c>
      <c r="GA25" s="24">
        <f t="shared" ref="GA25" si="109">FZ25*($F$2+1)</f>
        <v>5070.2233930521452</v>
      </c>
      <c r="GB25" s="24">
        <f t="shared" ref="GB25" si="110">GA25*($F$2+1)</f>
        <v>5019.5211591216239</v>
      </c>
      <c r="GC25" s="24">
        <f t="shared" ref="GC25" si="111">GB25*($F$2+1)</f>
        <v>4969.3259475304076</v>
      </c>
      <c r="GD25" s="24">
        <f t="shared" ref="GD25" si="112">GC25*($F$2+1)</f>
        <v>4919.6326880551032</v>
      </c>
      <c r="GE25" s="24">
        <f t="shared" ref="GE25" si="113">GD25*($F$2+1)</f>
        <v>4870.4363611745521</v>
      </c>
      <c r="GF25" s="24">
        <f t="shared" ref="GF25" si="114">GE25*($F$2+1)</f>
        <v>4821.7319975628061</v>
      </c>
      <c r="GG25" s="24">
        <f t="shared" ref="GG25" si="115">GF25*($F$2+1)</f>
        <v>4773.5146775871781</v>
      </c>
      <c r="GH25" s="24">
        <f t="shared" ref="GH25" si="116">GG25*($F$2+1)</f>
        <v>4725.7795308113064</v>
      </c>
      <c r="GI25" s="24">
        <f t="shared" ref="GI25" si="117">GH25*($F$2+1)</f>
        <v>4678.5217355031937</v>
      </c>
      <c r="GJ25" s="24">
        <f t="shared" ref="GJ25" si="118">GI25*($F$2+1)</f>
        <v>4631.7365181481618</v>
      </c>
      <c r="GK25" s="24">
        <f t="shared" ref="GK25" si="119">GJ25*($F$2+1)</f>
        <v>4585.4191529666805</v>
      </c>
      <c r="GL25" s="24">
        <f t="shared" ref="GL25" si="120">GK25*($F$2+1)</f>
        <v>4539.5649614370141</v>
      </c>
      <c r="GM25" s="24">
        <f t="shared" ref="GM25" si="121">GL25*($F$2+1)</f>
        <v>4494.169311822644</v>
      </c>
      <c r="GN25" s="24">
        <f t="shared" ref="GN25" si="122">GM25*($F$2+1)</f>
        <v>4449.2276187044172</v>
      </c>
      <c r="GO25" s="24">
        <f t="shared" ref="GO25" si="123">GN25*($F$2+1)</f>
        <v>4404.7353425173733</v>
      </c>
      <c r="GP25" s="24">
        <f t="shared" ref="GP25" si="124">GO25*($F$2+1)</f>
        <v>4360.6879890921991</v>
      </c>
      <c r="GQ25" s="24">
        <f t="shared" ref="GQ25" si="125">GP25*($F$2+1)</f>
        <v>4317.0811092012773</v>
      </c>
      <c r="GR25" s="24">
        <f t="shared" ref="GR25" si="126">GQ25*($F$2+1)</f>
        <v>4273.9102981092647</v>
      </c>
    </row>
    <row r="26" spans="1:200" x14ac:dyDescent="0.15">
      <c r="A26" s="3" t="s">
        <v>16</v>
      </c>
      <c r="B26" s="29">
        <f t="shared" ref="B26:G26" si="127">B25/B27</f>
        <v>1.244142431404792</v>
      </c>
      <c r="C26" s="29">
        <f t="shared" si="127"/>
        <v>2.3320789503088735</v>
      </c>
      <c r="D26" s="29">
        <f t="shared" si="127"/>
        <v>3.3875014998200221</v>
      </c>
      <c r="E26" s="29">
        <f t="shared" si="127"/>
        <v>5.2318998037109159</v>
      </c>
      <c r="F26" s="29">
        <f t="shared" si="127"/>
        <v>6.0375410912527556</v>
      </c>
      <c r="G26" s="50">
        <f t="shared" si="127"/>
        <v>7.2133207721381005</v>
      </c>
      <c r="H26" s="50">
        <f t="shared" ref="H26" si="128">H25/H27</f>
        <v>8.8497301603146425</v>
      </c>
      <c r="I26" s="50">
        <f t="shared" ref="I26:P26" si="129">I25/I27</f>
        <v>10.898699526206059</v>
      </c>
      <c r="J26" s="50">
        <f t="shared" si="129"/>
        <v>13.455292665510834</v>
      </c>
      <c r="K26" s="50">
        <f t="shared" si="129"/>
        <v>16.635729924199012</v>
      </c>
      <c r="L26" s="50">
        <f t="shared" si="129"/>
        <v>19.404589974363528</v>
      </c>
      <c r="M26" s="50">
        <f t="shared" si="129"/>
        <v>22.514168052947827</v>
      </c>
      <c r="N26" s="50">
        <f t="shared" si="129"/>
        <v>26.001881782033358</v>
      </c>
      <c r="O26" s="50">
        <f t="shared" si="129"/>
        <v>29.909060612796907</v>
      </c>
      <c r="P26" s="50">
        <f t="shared" si="129"/>
        <v>34.281345561731186</v>
      </c>
      <c r="Q26" s="50">
        <f t="shared" ref="Q26:U26" si="130">Q25/Q27</f>
        <v>37.697792679375667</v>
      </c>
      <c r="R26" s="50">
        <f t="shared" si="130"/>
        <v>41.256675239745675</v>
      </c>
      <c r="S26" s="50">
        <f t="shared" si="130"/>
        <v>44.963021915301887</v>
      </c>
      <c r="T26" s="50">
        <f t="shared" si="130"/>
        <v>48.821885760619132</v>
      </c>
      <c r="U26" s="50">
        <f t="shared" si="130"/>
        <v>52.838327450605576</v>
      </c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</row>
    <row r="27" spans="1:200" s="16" customFormat="1" x14ac:dyDescent="0.15">
      <c r="A27" s="16" t="s">
        <v>17</v>
      </c>
      <c r="B27" s="23">
        <f>Reports!E21</f>
        <v>506.012</v>
      </c>
      <c r="C27" s="23">
        <f>Reports!I21</f>
        <v>501.17599999999999</v>
      </c>
      <c r="D27" s="23">
        <f>Reports!M21</f>
        <v>500.06</v>
      </c>
      <c r="E27" s="23">
        <f>Reports!Q21</f>
        <v>495.18799999999999</v>
      </c>
      <c r="F27" s="23">
        <f>Reports!U21</f>
        <v>488.851</v>
      </c>
      <c r="G27" s="23">
        <f t="shared" ref="G27" si="131">F27</f>
        <v>488.851</v>
      </c>
      <c r="H27" s="23">
        <f t="shared" ref="H27" si="132">G27</f>
        <v>488.851</v>
      </c>
      <c r="I27" s="23">
        <f t="shared" ref="I27" si="133">H27</f>
        <v>488.851</v>
      </c>
      <c r="J27" s="23">
        <f t="shared" ref="J27" si="134">I27</f>
        <v>488.851</v>
      </c>
      <c r="K27" s="23">
        <f t="shared" ref="K27" si="135">J27</f>
        <v>488.851</v>
      </c>
      <c r="L27" s="23">
        <f t="shared" ref="L27" si="136">K27</f>
        <v>488.851</v>
      </c>
      <c r="M27" s="23">
        <f t="shared" ref="M27" si="137">L27</f>
        <v>488.851</v>
      </c>
      <c r="N27" s="23">
        <f t="shared" ref="N27" si="138">M27</f>
        <v>488.851</v>
      </c>
      <c r="O27" s="23">
        <f t="shared" ref="O27" si="139">N27</f>
        <v>488.851</v>
      </c>
      <c r="P27" s="23">
        <f t="shared" ref="P27:U27" si="140">O27</f>
        <v>488.851</v>
      </c>
      <c r="Q27" s="23">
        <f t="shared" si="140"/>
        <v>488.851</v>
      </c>
      <c r="R27" s="23">
        <f t="shared" si="140"/>
        <v>488.851</v>
      </c>
      <c r="S27" s="23">
        <f t="shared" si="140"/>
        <v>488.851</v>
      </c>
      <c r="T27" s="23">
        <f t="shared" si="140"/>
        <v>488.851</v>
      </c>
      <c r="U27" s="23">
        <f t="shared" si="140"/>
        <v>488.851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x14ac:dyDescent="0.1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x14ac:dyDescent="0.15">
      <c r="A29" s="3" t="s">
        <v>19</v>
      </c>
      <c r="B29" s="34">
        <f t="shared" ref="B29:P29" si="141">IFERROR(B16/B14,0)</f>
        <v>0.84478880352896701</v>
      </c>
      <c r="C29" s="34">
        <f t="shared" si="141"/>
        <v>0.8599508406454599</v>
      </c>
      <c r="D29" s="34">
        <f t="shared" si="141"/>
        <v>0.86160510744017849</v>
      </c>
      <c r="E29" s="34">
        <f>IFERROR(E16/E14,0)</f>
        <v>0.8676635723910765</v>
      </c>
      <c r="F29" s="34">
        <f t="shared" si="141"/>
        <v>0.8502662537990221</v>
      </c>
      <c r="G29" s="34">
        <f t="shared" si="141"/>
        <v>0.8502662537990221</v>
      </c>
      <c r="H29" s="34">
        <f>IFERROR(H16/H14,0)</f>
        <v>0.8502662537990221</v>
      </c>
      <c r="I29" s="34">
        <f t="shared" si="141"/>
        <v>0.8502662537990221</v>
      </c>
      <c r="J29" s="34">
        <f t="shared" si="141"/>
        <v>0.85026625379902221</v>
      </c>
      <c r="K29" s="34">
        <f t="shared" si="141"/>
        <v>0.85026625379902221</v>
      </c>
      <c r="L29" s="34">
        <f t="shared" si="141"/>
        <v>0.85026625379902221</v>
      </c>
      <c r="M29" s="34">
        <f t="shared" si="141"/>
        <v>0.85026625379902221</v>
      </c>
      <c r="N29" s="34">
        <f t="shared" si="141"/>
        <v>0.85026625379902221</v>
      </c>
      <c r="O29" s="34">
        <f t="shared" si="141"/>
        <v>0.85026625379902221</v>
      </c>
      <c r="P29" s="34">
        <f t="shared" si="141"/>
        <v>0.85026625379902221</v>
      </c>
      <c r="Q29" s="34">
        <f t="shared" ref="Q29:U29" si="142">IFERROR(Q16/Q14,0)</f>
        <v>0.85026625379902221</v>
      </c>
      <c r="R29" s="34">
        <f t="shared" si="142"/>
        <v>0.85026625379902221</v>
      </c>
      <c r="S29" s="34">
        <f t="shared" si="142"/>
        <v>0.85026625379902221</v>
      </c>
      <c r="T29" s="34">
        <f t="shared" si="142"/>
        <v>0.85026625379902221</v>
      </c>
      <c r="U29" s="34">
        <f t="shared" si="142"/>
        <v>0.85026625379902221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20</v>
      </c>
      <c r="B30" s="36">
        <f t="shared" ref="B30:P30" si="143">IFERROR(B21/B14,0)</f>
        <v>0.18832091095193013</v>
      </c>
      <c r="C30" s="36">
        <f t="shared" si="143"/>
        <v>0.25512338519719252</v>
      </c>
      <c r="D30" s="36">
        <f t="shared" si="143"/>
        <v>0.29693809700876739</v>
      </c>
      <c r="E30" s="36">
        <f>IFERROR(E21/E14,0)</f>
        <v>0.3145477833463714</v>
      </c>
      <c r="F30" s="36">
        <f t="shared" si="143"/>
        <v>0.29254618264523657</v>
      </c>
      <c r="G30" s="36">
        <f>IFERROR(G21/G14,0)</f>
        <v>0.29792789307737733</v>
      </c>
      <c r="H30" s="36">
        <f t="shared" si="143"/>
        <v>0.30498915895807038</v>
      </c>
      <c r="I30" s="36">
        <f t="shared" si="143"/>
        <v>0.313369173514425</v>
      </c>
      <c r="J30" s="36">
        <f t="shared" si="143"/>
        <v>0.32275672465840038</v>
      </c>
      <c r="K30" s="36">
        <f t="shared" si="143"/>
        <v>0.33288899788362925</v>
      </c>
      <c r="L30" s="36">
        <f t="shared" si="143"/>
        <v>0.34960694591836045</v>
      </c>
      <c r="M30" s="36">
        <f t="shared" si="143"/>
        <v>0.3655649872242403</v>
      </c>
      <c r="N30" s="36">
        <f t="shared" si="143"/>
        <v>0.38079766301621654</v>
      </c>
      <c r="O30" s="36">
        <f t="shared" si="143"/>
        <v>0.39533794445401194</v>
      </c>
      <c r="P30" s="36">
        <f t="shared" si="143"/>
        <v>0.40921730400827122</v>
      </c>
      <c r="Q30" s="36">
        <f t="shared" ref="Q30:U30" si="144">IFERROR(Q21/Q14,0)</f>
        <v>0.42437462455133979</v>
      </c>
      <c r="R30" s="36">
        <f t="shared" si="144"/>
        <v>0.43811443012173762</v>
      </c>
      <c r="S30" s="36">
        <f t="shared" si="144"/>
        <v>0.450519592376601</v>
      </c>
      <c r="T30" s="36">
        <f t="shared" si="144"/>
        <v>0.46166712592903669</v>
      </c>
      <c r="U30" s="36">
        <f t="shared" si="144"/>
        <v>0.47162856932438435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21</v>
      </c>
      <c r="B31" s="36">
        <f t="shared" ref="B31:P31" si="145">IFERROR(B24/B23,0)</f>
        <v>0.2795093965192646</v>
      </c>
      <c r="C31" s="36">
        <f t="shared" si="145"/>
        <v>0.18559608901722344</v>
      </c>
      <c r="D31" s="36">
        <f t="shared" si="145"/>
        <v>0.20755917387437833</v>
      </c>
      <c r="E31" s="36">
        <f>IFERROR(E24/E23,0)</f>
        <v>7.2695423848445656E-2</v>
      </c>
      <c r="F31" s="36">
        <f t="shared" si="145"/>
        <v>7.903384392061634E-2</v>
      </c>
      <c r="G31" s="36">
        <f t="shared" si="145"/>
        <v>0.1</v>
      </c>
      <c r="H31" s="36">
        <f t="shared" si="145"/>
        <v>0.1</v>
      </c>
      <c r="I31" s="36">
        <f t="shared" si="145"/>
        <v>0.1</v>
      </c>
      <c r="J31" s="36">
        <f t="shared" si="145"/>
        <v>0.1</v>
      </c>
      <c r="K31" s="36">
        <f t="shared" si="145"/>
        <v>0.1</v>
      </c>
      <c r="L31" s="36">
        <f t="shared" si="145"/>
        <v>0.1</v>
      </c>
      <c r="M31" s="36">
        <f t="shared" si="145"/>
        <v>9.9999999999999992E-2</v>
      </c>
      <c r="N31" s="36">
        <f t="shared" si="145"/>
        <v>0.1</v>
      </c>
      <c r="O31" s="36">
        <f t="shared" si="145"/>
        <v>0.1</v>
      </c>
      <c r="P31" s="36">
        <f t="shared" si="145"/>
        <v>0.1</v>
      </c>
      <c r="Q31" s="36">
        <f t="shared" ref="Q31:U31" si="146">IFERROR(Q24/Q23,0)</f>
        <v>0.1</v>
      </c>
      <c r="R31" s="36">
        <f t="shared" si="146"/>
        <v>0.1</v>
      </c>
      <c r="S31" s="36">
        <f t="shared" si="146"/>
        <v>0.1</v>
      </c>
      <c r="T31" s="36">
        <f t="shared" si="146"/>
        <v>0.1</v>
      </c>
      <c r="U31" s="36">
        <f t="shared" si="146"/>
        <v>0.1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2" t="s">
        <v>18</v>
      </c>
      <c r="B33" s="26"/>
      <c r="C33" s="51">
        <f t="shared" ref="C33:U33" si="147">C14/B14-1</f>
        <v>0.22081463268460833</v>
      </c>
      <c r="D33" s="51">
        <f t="shared" si="147"/>
        <v>0.24717607008709641</v>
      </c>
      <c r="E33" s="51">
        <f t="shared" si="147"/>
        <v>0.23673242708181386</v>
      </c>
      <c r="F33" s="51">
        <f>F14/E14-1</f>
        <v>0.23713024395991678</v>
      </c>
      <c r="G33" s="51">
        <f t="shared" si="147"/>
        <v>0.17697895391904384</v>
      </c>
      <c r="H33" s="51">
        <f t="shared" si="147"/>
        <v>0.18091155541175152</v>
      </c>
      <c r="I33" s="51">
        <f t="shared" si="147"/>
        <v>0.18420614906651456</v>
      </c>
      <c r="J33" s="51">
        <f t="shared" si="147"/>
        <v>0.18695259750453475</v>
      </c>
      <c r="K33" s="51">
        <f t="shared" si="147"/>
        <v>0.18923313920405627</v>
      </c>
      <c r="L33" s="51">
        <f t="shared" si="147"/>
        <v>0.10000000000000009</v>
      </c>
      <c r="M33" s="51">
        <f t="shared" si="147"/>
        <v>0.10000000000000009</v>
      </c>
      <c r="N33" s="51">
        <f t="shared" si="147"/>
        <v>0.10000000000000009</v>
      </c>
      <c r="O33" s="51">
        <f t="shared" si="147"/>
        <v>0.10000000000000009</v>
      </c>
      <c r="P33" s="51">
        <f t="shared" si="147"/>
        <v>0.10000000000000009</v>
      </c>
      <c r="Q33" s="51">
        <f t="shared" si="147"/>
        <v>5.0000000000000044E-2</v>
      </c>
      <c r="R33" s="51">
        <f t="shared" si="147"/>
        <v>5.0000000000000044E-2</v>
      </c>
      <c r="S33" s="51">
        <f t="shared" si="147"/>
        <v>5.0000000000000044E-2</v>
      </c>
      <c r="T33" s="51">
        <f t="shared" si="147"/>
        <v>5.0000000000000044E-2</v>
      </c>
      <c r="U33" s="51">
        <f t="shared" si="147"/>
        <v>5.0000000000000044E-2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3" t="s">
        <v>42</v>
      </c>
      <c r="B34" s="20"/>
      <c r="C34" s="36">
        <f t="shared" ref="C34:U34" si="148">C17/B17-1</f>
        <v>0.13127745644639677</v>
      </c>
      <c r="D34" s="36">
        <f t="shared" si="148"/>
        <v>0.25417551668208738</v>
      </c>
      <c r="E34" s="36">
        <f t="shared" si="148"/>
        <v>0.25632179494615825</v>
      </c>
      <c r="F34" s="36">
        <f t="shared" si="148"/>
        <v>0.25517813620910768</v>
      </c>
      <c r="G34" s="36">
        <f t="shared" si="148"/>
        <v>0.15000000000000013</v>
      </c>
      <c r="H34" s="36">
        <f t="shared" si="148"/>
        <v>0.14999999999999991</v>
      </c>
      <c r="I34" s="36">
        <f t="shared" si="148"/>
        <v>0.14999999999999991</v>
      </c>
      <c r="J34" s="36">
        <f t="shared" si="148"/>
        <v>0.14999999999999991</v>
      </c>
      <c r="K34" s="36">
        <f t="shared" si="148"/>
        <v>0.14999999999999991</v>
      </c>
      <c r="L34" s="36">
        <f t="shared" si="148"/>
        <v>0.10000000000000009</v>
      </c>
      <c r="M34" s="36">
        <f t="shared" si="148"/>
        <v>0.10000000000000009</v>
      </c>
      <c r="N34" s="36">
        <f t="shared" si="148"/>
        <v>0.10000000000000009</v>
      </c>
      <c r="O34" s="36">
        <f t="shared" si="148"/>
        <v>0.10000000000000009</v>
      </c>
      <c r="P34" s="36">
        <f t="shared" si="148"/>
        <v>0.10000000000000009</v>
      </c>
      <c r="Q34" s="36">
        <f t="shared" si="148"/>
        <v>8.0000000000000071E-2</v>
      </c>
      <c r="R34" s="36">
        <f t="shared" si="148"/>
        <v>8.0000000000000071E-2</v>
      </c>
      <c r="S34" s="36">
        <f t="shared" si="148"/>
        <v>8.0000000000000071E-2</v>
      </c>
      <c r="T34" s="36">
        <f t="shared" si="148"/>
        <v>8.0000000000000071E-2</v>
      </c>
      <c r="U34" s="36">
        <f t="shared" si="148"/>
        <v>8.0000000000000071E-2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43</v>
      </c>
      <c r="B35" s="20"/>
      <c r="C35" s="36">
        <f t="shared" ref="C35:U35" si="149">C18/B18-1</f>
        <v>0.13483206811617121</v>
      </c>
      <c r="D35" s="36">
        <f t="shared" si="149"/>
        <v>0.15045306845314887</v>
      </c>
      <c r="E35" s="36">
        <f t="shared" si="149"/>
        <v>0.19259125442757341</v>
      </c>
      <c r="F35" s="36">
        <f t="shared" si="149"/>
        <v>0.23790869224966604</v>
      </c>
      <c r="G35" s="36">
        <f t="shared" si="149"/>
        <v>0.17999999999999994</v>
      </c>
      <c r="H35" s="36">
        <f t="shared" si="149"/>
        <v>0.17999999999999994</v>
      </c>
      <c r="I35" s="36">
        <f t="shared" si="149"/>
        <v>0.17999999999999994</v>
      </c>
      <c r="J35" s="36">
        <f t="shared" si="149"/>
        <v>0.17999999999999994</v>
      </c>
      <c r="K35" s="36">
        <f t="shared" si="149"/>
        <v>0.17999999999999994</v>
      </c>
      <c r="L35" s="36">
        <f t="shared" si="149"/>
        <v>5.0000000000000044E-2</v>
      </c>
      <c r="M35" s="36">
        <f t="shared" si="149"/>
        <v>5.0000000000000044E-2</v>
      </c>
      <c r="N35" s="36">
        <f t="shared" si="149"/>
        <v>5.0000000000000044E-2</v>
      </c>
      <c r="O35" s="36">
        <f t="shared" si="149"/>
        <v>5.0000000000000044E-2</v>
      </c>
      <c r="P35" s="36">
        <f t="shared" si="149"/>
        <v>5.0000000000000044E-2</v>
      </c>
      <c r="Q35" s="36">
        <f t="shared" si="149"/>
        <v>-2.0000000000000018E-2</v>
      </c>
      <c r="R35" s="36">
        <f t="shared" si="149"/>
        <v>-2.0000000000000018E-2</v>
      </c>
      <c r="S35" s="36">
        <f t="shared" si="149"/>
        <v>-2.0000000000000129E-2</v>
      </c>
      <c r="T35" s="36">
        <f t="shared" si="149"/>
        <v>-2.0000000000000018E-2</v>
      </c>
      <c r="U35" s="36">
        <f t="shared" si="149"/>
        <v>-2.0000000000000018E-2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44</v>
      </c>
      <c r="B36" s="20"/>
      <c r="C36" s="36">
        <f t="shared" ref="C36:U36" si="150">C19/B19-1</f>
        <v>8.7371933163602034E-2</v>
      </c>
      <c r="D36" s="36">
        <f>D19/C19-1</f>
        <v>7.1069866327801989E-2</v>
      </c>
      <c r="E36" s="36">
        <f t="shared" si="150"/>
        <v>0.19212483672433378</v>
      </c>
      <c r="F36" s="36">
        <f t="shared" si="150"/>
        <v>0.26301706102519273</v>
      </c>
      <c r="G36" s="36">
        <f t="shared" si="150"/>
        <v>0.14999999999999991</v>
      </c>
      <c r="H36" s="36">
        <f t="shared" si="150"/>
        <v>0.14999999999999991</v>
      </c>
      <c r="I36" s="36">
        <f t="shared" si="150"/>
        <v>0.14999999999999991</v>
      </c>
      <c r="J36" s="36">
        <f t="shared" si="150"/>
        <v>0.14999999999999991</v>
      </c>
      <c r="K36" s="36">
        <f t="shared" si="150"/>
        <v>0.14999999999999991</v>
      </c>
      <c r="L36" s="36">
        <f t="shared" si="150"/>
        <v>5.0000000000000044E-2</v>
      </c>
      <c r="M36" s="36">
        <f t="shared" si="150"/>
        <v>5.0000000000000044E-2</v>
      </c>
      <c r="N36" s="36">
        <f t="shared" si="150"/>
        <v>5.0000000000000044E-2</v>
      </c>
      <c r="O36" s="36">
        <f t="shared" si="150"/>
        <v>5.0000000000000044E-2</v>
      </c>
      <c r="P36" s="36">
        <f t="shared" si="150"/>
        <v>5.0000000000000044E-2</v>
      </c>
      <c r="Q36" s="36">
        <f t="shared" si="150"/>
        <v>-1.9999999999999907E-2</v>
      </c>
      <c r="R36" s="36">
        <f t="shared" si="150"/>
        <v>-1.9999999999999907E-2</v>
      </c>
      <c r="S36" s="36">
        <f t="shared" si="150"/>
        <v>-2.0000000000000018E-2</v>
      </c>
      <c r="T36" s="36">
        <f t="shared" si="150"/>
        <v>-2.0000000000000018E-2</v>
      </c>
      <c r="U36" s="36">
        <f t="shared" si="150"/>
        <v>-1.9999999999999907E-2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6" t="s">
        <v>82</v>
      </c>
      <c r="B37" s="20"/>
      <c r="C37" s="45">
        <f>C20/B20-1</f>
        <v>0.12478038333610231</v>
      </c>
      <c r="D37" s="45">
        <f>D20/C20-1</f>
        <v>0.16436378116421713</v>
      </c>
      <c r="E37" s="45">
        <f>E20/D20-1</f>
        <v>0.21143296775900744</v>
      </c>
      <c r="F37" s="45">
        <f t="shared" ref="F37:U37" si="151">F20/E20-1</f>
        <v>0.24742844329120839</v>
      </c>
      <c r="G37" s="45">
        <f t="shared" si="151"/>
        <v>0.1656217153287014</v>
      </c>
      <c r="H37" s="45">
        <f t="shared" si="151"/>
        <v>0.16581441375486849</v>
      </c>
      <c r="I37" s="45">
        <f t="shared" si="151"/>
        <v>0.16600684295079282</v>
      </c>
      <c r="J37" s="45">
        <f t="shared" si="151"/>
        <v>0.16619893982280209</v>
      </c>
      <c r="K37" s="45">
        <f t="shared" si="151"/>
        <v>0.16639064171487838</v>
      </c>
      <c r="L37" s="45">
        <f>L20/K20-1</f>
        <v>6.4455834445858118E-2</v>
      </c>
      <c r="M37" s="45">
        <f t="shared" si="151"/>
        <v>6.4938541718569498E-2</v>
      </c>
      <c r="N37" s="45">
        <f t="shared" si="151"/>
        <v>6.5430370154420325E-2</v>
      </c>
      <c r="O37" s="45">
        <f t="shared" si="151"/>
        <v>6.5931033735599831E-2</v>
      </c>
      <c r="P37" s="45">
        <f t="shared" si="151"/>
        <v>6.6440216631788562E-2</v>
      </c>
      <c r="Q37" s="45">
        <f t="shared" si="151"/>
        <v>1.391514688387141E-2</v>
      </c>
      <c r="R37" s="45">
        <f t="shared" si="151"/>
        <v>1.6125664703948273E-2</v>
      </c>
      <c r="S37" s="45">
        <f t="shared" si="151"/>
        <v>1.8396548021087034E-2</v>
      </c>
      <c r="T37" s="45">
        <f t="shared" si="151"/>
        <v>2.07191795213304E-2</v>
      </c>
      <c r="U37" s="45">
        <f t="shared" si="151"/>
        <v>2.308404776293127E-2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B38" s="20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2" t="s">
        <v>26</v>
      </c>
      <c r="B39" s="24">
        <f>B40-B41</f>
        <v>2080.8530000000001</v>
      </c>
      <c r="C39" s="24">
        <f>C40-C41</f>
        <v>2859.232</v>
      </c>
      <c r="D39" s="24">
        <f>D40-D41</f>
        <v>3938.3530000000001</v>
      </c>
      <c r="E39" s="24">
        <f>E40-E41</f>
        <v>-895.83800000000019</v>
      </c>
      <c r="F39" s="24">
        <f>F40-F41</f>
        <v>38.709000000000742</v>
      </c>
      <c r="G39" s="52">
        <f>F39+G25</f>
        <v>3564.9480727804835</v>
      </c>
      <c r="H39" s="52">
        <f>G39+H25</f>
        <v>7891.1475113804572</v>
      </c>
      <c r="I39" s="52">
        <f t="shared" ref="I39:U39" si="152">H39+I25</f>
        <v>13218.987673465816</v>
      </c>
      <c r="J39" s="52">
        <f t="shared" si="152"/>
        <v>19796.62094829345</v>
      </c>
      <c r="K39" s="52">
        <f t="shared" si="152"/>
        <v>27929.01415746806</v>
      </c>
      <c r="L39" s="52">
        <f t="shared" si="152"/>
        <v>37414.967371025647</v>
      </c>
      <c r="M39" s="52">
        <f t="shared" si="152"/>
        <v>48421.040937877246</v>
      </c>
      <c r="N39" s="52">
        <f t="shared" si="152"/>
        <v>61132.086848906038</v>
      </c>
      <c r="O39" s="52">
        <f t="shared" si="152"/>
        <v>75753.161038532417</v>
      </c>
      <c r="P39" s="52">
        <f t="shared" si="152"/>
        <v>92511.631097730264</v>
      </c>
      <c r="Q39" s="52">
        <f t="shared" si="152"/>
        <v>110940.23474683573</v>
      </c>
      <c r="R39" s="52">
        <f t="shared" si="152"/>
        <v>131108.60169446064</v>
      </c>
      <c r="S39" s="52">
        <f t="shared" si="152"/>
        <v>153088.81992077787</v>
      </c>
      <c r="T39" s="52">
        <f t="shared" si="152"/>
        <v>176955.44759674231</v>
      </c>
      <c r="U39" s="52">
        <f t="shared" si="152"/>
        <v>202785.51680929831</v>
      </c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3" t="s">
        <v>27</v>
      </c>
      <c r="B40" s="53">
        <f>Reports!E34</f>
        <v>3988.0839999999998</v>
      </c>
      <c r="C40" s="53">
        <f>Reports!I34</f>
        <v>4761.3</v>
      </c>
      <c r="D40" s="53">
        <f>Reports!M34</f>
        <v>5819.7740000000003</v>
      </c>
      <c r="E40" s="53">
        <f>Reports!Q34</f>
        <v>3228.962</v>
      </c>
      <c r="F40" s="53">
        <f>Reports!U34</f>
        <v>4176.9760000000006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23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28</v>
      </c>
      <c r="B41" s="53">
        <f>Reports!E35</f>
        <v>1907.231</v>
      </c>
      <c r="C41" s="53">
        <f>Reports!I35</f>
        <v>1902.068</v>
      </c>
      <c r="D41" s="53">
        <f>Reports!M35</f>
        <v>1881.421</v>
      </c>
      <c r="E41" s="53">
        <f>Reports!Q35</f>
        <v>4124.8</v>
      </c>
      <c r="F41" s="53">
        <f>Reports!U35</f>
        <v>4138.2669999999998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3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5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A43" s="3" t="s">
        <v>56</v>
      </c>
      <c r="B43" s="56">
        <f>Reports!E37</f>
        <v>5876.8879999999999</v>
      </c>
      <c r="C43" s="56">
        <f>Reports!I37</f>
        <v>5820.8789999999999</v>
      </c>
      <c r="D43" s="56">
        <f>Reports!M37</f>
        <v>6207.2190000000001</v>
      </c>
      <c r="E43" s="53">
        <f>Reports!Q37</f>
        <v>12650.049000000001</v>
      </c>
      <c r="F43" s="53">
        <f>Reports!U37</f>
        <v>12411.764000000001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57</v>
      </c>
      <c r="B44" s="56">
        <f>Reports!E38</f>
        <v>11726.472</v>
      </c>
      <c r="C44" s="56">
        <f>Reports!I38</f>
        <v>12707.114</v>
      </c>
      <c r="D44" s="56">
        <f>Reports!M38</f>
        <v>14535.556</v>
      </c>
      <c r="E44" s="53">
        <f>Reports!Q38</f>
        <v>18768.682000000001</v>
      </c>
      <c r="F44" s="53">
        <f>Reports!U38</f>
        <v>20762.400000000001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58</v>
      </c>
      <c r="B45" s="56">
        <f>Reports!E39</f>
        <v>4724.8919999999998</v>
      </c>
      <c r="C45" s="56">
        <f>Reports!I39</f>
        <v>5282.2790000000005</v>
      </c>
      <c r="D45" s="56">
        <f>Reports!M39</f>
        <v>6075.6869999999999</v>
      </c>
      <c r="E45" s="53">
        <f>Reports!Q39</f>
        <v>9406.5679999999993</v>
      </c>
      <c r="F45" s="53">
        <f>Reports!U39</f>
        <v>10232.245000000001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</row>
    <row r="47" spans="1:117" x14ac:dyDescent="0.15">
      <c r="A47" s="3" t="s">
        <v>59</v>
      </c>
      <c r="B47" s="57">
        <f>B44-B43-B40</f>
        <v>1861.5</v>
      </c>
      <c r="C47" s="57">
        <f>C44-C43-C40</f>
        <v>2124.9349999999995</v>
      </c>
      <c r="D47" s="57">
        <f>D44-D43-D40</f>
        <v>2508.5629999999992</v>
      </c>
      <c r="E47" s="57">
        <f>E44-E43-E40</f>
        <v>2889.6709999999998</v>
      </c>
      <c r="F47" s="57">
        <f>F44-F43-F40</f>
        <v>4173.66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60</v>
      </c>
      <c r="B48" s="57">
        <f>B44-B45</f>
        <v>7001.58</v>
      </c>
      <c r="C48" s="57">
        <f>C44-C45</f>
        <v>7424.8349999999991</v>
      </c>
      <c r="D48" s="57">
        <f>D44-D45</f>
        <v>8459.8690000000006</v>
      </c>
      <c r="E48" s="57">
        <f>E44-E45</f>
        <v>9362.1140000000014</v>
      </c>
      <c r="F48" s="57">
        <f>F44-F45</f>
        <v>10530.155000000001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</row>
    <row r="50" spans="1:117" x14ac:dyDescent="0.15">
      <c r="A50" s="18" t="s">
        <v>62</v>
      </c>
      <c r="B50" s="58">
        <f>B25/B48</f>
        <v>8.99155619160249E-2</v>
      </c>
      <c r="C50" s="58">
        <f>C25/C48</f>
        <v>0.15741521528761246</v>
      </c>
      <c r="D50" s="58">
        <f>D25/D48</f>
        <v>0.2002340698183388</v>
      </c>
      <c r="E50" s="58">
        <f>E25/E48</f>
        <v>0.27672959333757319</v>
      </c>
      <c r="F50" s="58">
        <f>F25/F48</f>
        <v>0.28028628258558402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8" t="s">
        <v>63</v>
      </c>
      <c r="B51" s="58">
        <f>B25/B44</f>
        <v>5.3686309062094859E-2</v>
      </c>
      <c r="C51" s="58">
        <f>C25/C44</f>
        <v>9.1978556263837719E-2</v>
      </c>
      <c r="D51" s="58">
        <f>D25/D44</f>
        <v>0.11653864496136233</v>
      </c>
      <c r="E51" s="58">
        <f>E25/E44</f>
        <v>0.13803707687092789</v>
      </c>
      <c r="F51" s="58">
        <f>F25/F44</f>
        <v>0.142153989904828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8" t="s">
        <v>64</v>
      </c>
      <c r="B52" s="58">
        <f>B25/(B48-B43)</f>
        <v>0.55975413713265643</v>
      </c>
      <c r="C52" s="58">
        <f>C25/(C48-C43)</f>
        <v>0.72868707121641774</v>
      </c>
      <c r="D52" s="58">
        <f>D25/(D48-D43)</f>
        <v>0.75198277584178619</v>
      </c>
      <c r="E52" s="58">
        <f>E25/(E48-E43)</f>
        <v>-0.7879638739816941</v>
      </c>
      <c r="F52" s="58">
        <f>F25/(F48-F43)</f>
        <v>-1.5685819955155405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8" t="s">
        <v>65</v>
      </c>
      <c r="B53" s="58">
        <f>B25/B47</f>
        <v>0.33819554123019158</v>
      </c>
      <c r="C53" s="58">
        <f>C25/C47</f>
        <v>0.55003188332819597</v>
      </c>
      <c r="D53" s="58">
        <f>D25/D47</f>
        <v>0.67526866975236444</v>
      </c>
      <c r="E53" s="58">
        <f>E25/E47</f>
        <v>0.89656365724679421</v>
      </c>
      <c r="F53" s="58">
        <f>F25/F47</f>
        <v>0.70716301759127509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A55" s="3" t="s">
        <v>111</v>
      </c>
      <c r="B55" s="58">
        <f>(B43/B27)/$C$2</f>
        <v>2.5196068398299534E-2</v>
      </c>
      <c r="C55" s="58">
        <f t="shared" ref="C55:E55" si="153">(C43/C27)/$C$2</f>
        <v>2.5196747662774084E-2</v>
      </c>
      <c r="D55" s="58">
        <f t="shared" si="153"/>
        <v>2.6929056180033537E-2</v>
      </c>
      <c r="E55" s="58">
        <f t="shared" si="153"/>
        <v>5.5420223981777005E-2</v>
      </c>
      <c r="F55" s="58">
        <f>(F43/F27)/$C$2</f>
        <v>5.5081173207691347E-2</v>
      </c>
      <c r="G55" s="61" t="s">
        <v>112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B56" s="58"/>
      <c r="C56" s="58"/>
      <c r="D56" s="58"/>
      <c r="E56" s="58"/>
      <c r="F56" s="58"/>
      <c r="G56" s="61"/>
      <c r="H56" s="39"/>
      <c r="I56" s="39"/>
      <c r="J56" s="39"/>
      <c r="K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A57" s="3" t="s">
        <v>116</v>
      </c>
      <c r="B57" s="58">
        <f t="shared" ref="B57:K57" si="154">B25/B17-1</f>
        <v>-0.27028038899771467</v>
      </c>
      <c r="C57" s="58">
        <f t="shared" si="154"/>
        <v>0.19753849180368199</v>
      </c>
      <c r="D57" s="58">
        <f t="shared" si="154"/>
        <v>0.38388263964400404</v>
      </c>
      <c r="E57" s="58">
        <f t="shared" si="154"/>
        <v>0.68471438641394466</v>
      </c>
      <c r="F57" s="58">
        <f t="shared" si="154"/>
        <v>0.52907221323076903</v>
      </c>
      <c r="G57" s="58">
        <f t="shared" si="154"/>
        <v>0.5885661413553589</v>
      </c>
      <c r="H57" s="58">
        <f t="shared" si="154"/>
        <v>0.69473674040594302</v>
      </c>
      <c r="I57" s="58">
        <f t="shared" si="154"/>
        <v>0.81488476510246355</v>
      </c>
      <c r="J57" s="58">
        <f t="shared" si="154"/>
        <v>0.94836214851480394</v>
      </c>
      <c r="K57" s="58">
        <f t="shared" si="154"/>
        <v>1.0946938423333488</v>
      </c>
      <c r="L57" s="61" t="s">
        <v>118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x14ac:dyDescent="0.15">
      <c r="A58" s="3" t="s">
        <v>117</v>
      </c>
      <c r="B58" s="62" t="str">
        <f t="shared" ref="B58:K58" si="155">ROUND($C$4/B17,0)&amp;"x"</f>
        <v>259x</v>
      </c>
      <c r="C58" s="62" t="str">
        <f t="shared" si="155"/>
        <v>229x</v>
      </c>
      <c r="D58" s="62" t="str">
        <f t="shared" si="155"/>
        <v>183x</v>
      </c>
      <c r="E58" s="62" t="str">
        <f t="shared" si="155"/>
        <v>145x</v>
      </c>
      <c r="F58" s="62" t="str">
        <f t="shared" si="155"/>
        <v>116x</v>
      </c>
      <c r="G58" s="62" t="str">
        <f t="shared" si="155"/>
        <v>101x</v>
      </c>
      <c r="H58" s="62" t="str">
        <f t="shared" si="155"/>
        <v>88x</v>
      </c>
      <c r="I58" s="62" t="str">
        <f t="shared" si="155"/>
        <v>76x</v>
      </c>
      <c r="J58" s="62" t="str">
        <f t="shared" si="155"/>
        <v>66x</v>
      </c>
      <c r="K58" s="62" t="str">
        <f t="shared" si="155"/>
        <v>58x</v>
      </c>
      <c r="L58" s="61" t="s">
        <v>119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</row>
    <row r="59" spans="1:117" x14ac:dyDescent="0.1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</row>
    <row r="60" spans="1:117" x14ac:dyDescent="0.15">
      <c r="A60" s="6" t="s">
        <v>76</v>
      </c>
      <c r="B60" s="39"/>
      <c r="C60" s="58">
        <f>C10/B10-1</f>
        <v>0.42213694948732972</v>
      </c>
      <c r="D60" s="58">
        <f t="shared" ref="D60:F60" si="156">D10/C10-1</f>
        <v>0.3378609428086039</v>
      </c>
      <c r="E60" s="58">
        <f t="shared" si="156"/>
        <v>0.29154241800729674</v>
      </c>
      <c r="F60" s="58">
        <f t="shared" si="156"/>
        <v>0.26158447856087585</v>
      </c>
      <c r="G60" s="58">
        <f t="shared" ref="G60:K62" si="157">G10/F10-1</f>
        <v>0.19999999999999996</v>
      </c>
      <c r="H60" s="58">
        <f t="shared" si="157"/>
        <v>0.19999999999999996</v>
      </c>
      <c r="I60" s="58">
        <f t="shared" si="157"/>
        <v>0.19999999999999996</v>
      </c>
      <c r="J60" s="58">
        <f t="shared" si="157"/>
        <v>0.19999999999999996</v>
      </c>
      <c r="K60" s="58">
        <f t="shared" si="157"/>
        <v>0.19999999999999996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</row>
    <row r="61" spans="1:117" x14ac:dyDescent="0.15">
      <c r="A61" s="6" t="s">
        <v>77</v>
      </c>
      <c r="B61" s="39"/>
      <c r="C61" s="58">
        <f t="shared" ref="C61:F61" si="158">C11/B11-1</f>
        <v>-0.28853855410764473</v>
      </c>
      <c r="D61" s="58">
        <f t="shared" si="158"/>
        <v>-0.11709086093906551</v>
      </c>
      <c r="E61" s="58">
        <f t="shared" si="158"/>
        <v>-0.119719794500875</v>
      </c>
      <c r="F61" s="58">
        <f t="shared" si="158"/>
        <v>4.1203691053486757E-2</v>
      </c>
      <c r="G61" s="58">
        <f t="shared" si="157"/>
        <v>-5.0000000000000044E-2</v>
      </c>
      <c r="H61" s="58">
        <f t="shared" si="157"/>
        <v>-5.0000000000000044E-2</v>
      </c>
      <c r="I61" s="58">
        <f t="shared" si="157"/>
        <v>-4.9999999999999933E-2</v>
      </c>
      <c r="J61" s="58">
        <f t="shared" si="157"/>
        <v>-5.0000000000000044E-2</v>
      </c>
      <c r="K61" s="58">
        <f t="shared" si="157"/>
        <v>-5.0000000000000044E-2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</row>
    <row r="62" spans="1:117" x14ac:dyDescent="0.15">
      <c r="A62" s="6" t="s">
        <v>78</v>
      </c>
      <c r="B62" s="39"/>
      <c r="C62" s="58">
        <f t="shared" ref="C62:F62" si="159">C12/B12-1</f>
        <v>5.0705436757074063E-2</v>
      </c>
      <c r="D62" s="58">
        <f t="shared" si="159"/>
        <v>-1.7544271038736015E-2</v>
      </c>
      <c r="E62" s="58">
        <f t="shared" si="159"/>
        <v>5.3885160425196643E-2</v>
      </c>
      <c r="F62" s="58">
        <f t="shared" si="159"/>
        <v>8.9233543955874239E-2</v>
      </c>
      <c r="G62" s="58">
        <f t="shared" si="157"/>
        <v>2.0000000000000018E-2</v>
      </c>
      <c r="H62" s="58">
        <f t="shared" si="157"/>
        <v>2.0000000000000018E-2</v>
      </c>
      <c r="I62" s="58">
        <f t="shared" si="157"/>
        <v>2.0000000000000018E-2</v>
      </c>
      <c r="J62" s="58">
        <f t="shared" si="157"/>
        <v>2.0000000000000018E-2</v>
      </c>
      <c r="K62" s="58">
        <f t="shared" si="157"/>
        <v>2.0000000000000018E-2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</row>
  </sheetData>
  <hyperlinks>
    <hyperlink ref="A1" r:id="rId1" xr:uid="{00000000-0004-0000-0000-000000000000}"/>
    <hyperlink ref="A7" r:id="rId2" xr:uid="{00000000-0004-0000-0000-000001000000}"/>
    <hyperlink ref="A8" r:id="rId3" xr:uid="{00000000-0004-0000-0000-000002000000}"/>
    <hyperlink ref="A4" r:id="rId4" xr:uid="{00000000-0004-0000-0000-000003000000}"/>
    <hyperlink ref="L4" r:id="rId5" xr:uid="{CBCA994A-BC74-CB48-8009-AD2DE8254A02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zoomScale="125" zoomScaleNormal="12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14" sqref="Y14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1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98</v>
      </c>
      <c r="W1" s="23" t="s">
        <v>120</v>
      </c>
      <c r="X1" s="23" t="s">
        <v>121</v>
      </c>
      <c r="Y1" s="23" t="s">
        <v>99</v>
      </c>
    </row>
    <row r="2" spans="1:25" s="20" customFormat="1" x14ac:dyDescent="0.15">
      <c r="A2" s="1"/>
      <c r="B2" s="20" t="s">
        <v>96</v>
      </c>
      <c r="C2" s="20" t="s">
        <v>94</v>
      </c>
      <c r="D2" s="20" t="s">
        <v>92</v>
      </c>
      <c r="E2" s="20" t="s">
        <v>90</v>
      </c>
      <c r="F2" s="21" t="s">
        <v>95</v>
      </c>
      <c r="G2" s="20" t="s">
        <v>93</v>
      </c>
      <c r="H2" s="20" t="s">
        <v>91</v>
      </c>
      <c r="I2" s="20" t="s">
        <v>89</v>
      </c>
      <c r="J2" s="21" t="s">
        <v>88</v>
      </c>
      <c r="K2" s="20" t="s">
        <v>87</v>
      </c>
      <c r="L2" s="20" t="s">
        <v>85</v>
      </c>
      <c r="M2" s="20" t="s">
        <v>83</v>
      </c>
      <c r="N2" s="21" t="s">
        <v>81</v>
      </c>
      <c r="O2" s="20" t="s">
        <v>86</v>
      </c>
      <c r="P2" s="20" t="s">
        <v>84</v>
      </c>
      <c r="Q2" s="20" t="s">
        <v>79</v>
      </c>
      <c r="R2" s="21" t="s">
        <v>80</v>
      </c>
      <c r="S2" s="20" t="s">
        <v>97</v>
      </c>
      <c r="T2" s="20" t="s">
        <v>100</v>
      </c>
      <c r="U2" s="20" t="s">
        <v>101</v>
      </c>
      <c r="V2" s="64">
        <v>43889</v>
      </c>
      <c r="W2" s="63">
        <v>43980</v>
      </c>
      <c r="X2" s="63">
        <v>44071</v>
      </c>
    </row>
    <row r="3" spans="1:25" s="8" customFormat="1" x14ac:dyDescent="0.15">
      <c r="A3" s="8" t="s">
        <v>73</v>
      </c>
      <c r="B3" s="23">
        <v>713.44200000000001</v>
      </c>
      <c r="C3" s="23">
        <v>773.96299999999997</v>
      </c>
      <c r="D3" s="23">
        <v>829.06500000000005</v>
      </c>
      <c r="E3" s="23">
        <v>907.43399999999997</v>
      </c>
      <c r="F3" s="22">
        <v>1070.25</v>
      </c>
      <c r="G3" s="23">
        <v>1083.7080000000001</v>
      </c>
      <c r="H3" s="23">
        <v>1168.6020000000001</v>
      </c>
      <c r="I3" s="23">
        <v>1262.2729999999999</v>
      </c>
      <c r="J3" s="22">
        <v>1383.856</v>
      </c>
      <c r="K3" s="23">
        <v>1483.69</v>
      </c>
      <c r="L3" s="23">
        <v>1570.336</v>
      </c>
      <c r="M3" s="23">
        <v>1695.9870000000001</v>
      </c>
      <c r="N3" s="22">
        <v>1793.3579999999999</v>
      </c>
      <c r="O3" s="23">
        <v>1923.1310000000001</v>
      </c>
      <c r="P3" s="23">
        <v>2021.5050000000001</v>
      </c>
      <c r="Q3" s="23">
        <v>2184.1579999999999</v>
      </c>
      <c r="R3" s="22">
        <v>2304.9670000000001</v>
      </c>
      <c r="S3" s="23">
        <v>2456.0970000000002</v>
      </c>
      <c r="T3" s="23">
        <v>2546.5709999999999</v>
      </c>
      <c r="U3" s="23">
        <v>2686.8290000000002</v>
      </c>
      <c r="V3" s="22">
        <v>2825</v>
      </c>
      <c r="W3" s="23">
        <v>2874</v>
      </c>
      <c r="X3" s="23">
        <v>3000</v>
      </c>
      <c r="Y3" s="23"/>
    </row>
    <row r="4" spans="1:25" s="8" customFormat="1" x14ac:dyDescent="0.15">
      <c r="A4" s="8" t="s">
        <v>74</v>
      </c>
      <c r="B4" s="23">
        <v>290.774</v>
      </c>
      <c r="C4" s="23">
        <v>274.53800000000001</v>
      </c>
      <c r="D4" s="23">
        <v>275.33800000000002</v>
      </c>
      <c r="E4" s="23">
        <v>284.49599999999998</v>
      </c>
      <c r="F4" s="22">
        <v>201.11199999999999</v>
      </c>
      <c r="G4" s="23">
        <v>196.5</v>
      </c>
      <c r="H4" s="23">
        <v>180.96</v>
      </c>
      <c r="I4" s="23">
        <v>221.92599999999999</v>
      </c>
      <c r="J4" s="22">
        <v>183.38499999999999</v>
      </c>
      <c r="K4" s="23">
        <v>171.54499999999999</v>
      </c>
      <c r="L4" s="23">
        <v>158.96100000000001</v>
      </c>
      <c r="M4" s="23">
        <v>192.876</v>
      </c>
      <c r="N4" s="22">
        <v>171.608</v>
      </c>
      <c r="O4" s="23">
        <v>150.99299999999999</v>
      </c>
      <c r="P4" s="23">
        <v>149.12700000000001</v>
      </c>
      <c r="Q4" s="23">
        <v>150.42500000000001</v>
      </c>
      <c r="R4" s="22">
        <v>170.554</v>
      </c>
      <c r="S4" s="23">
        <v>152.816</v>
      </c>
      <c r="T4" s="23">
        <v>157.321</v>
      </c>
      <c r="U4" s="23">
        <v>167.09700000000001</v>
      </c>
      <c r="V4" s="22">
        <v>143</v>
      </c>
      <c r="W4" s="23">
        <v>128</v>
      </c>
      <c r="X4" s="23">
        <v>109</v>
      </c>
      <c r="Y4" s="23"/>
    </row>
    <row r="5" spans="1:25" s="8" customFormat="1" x14ac:dyDescent="0.15">
      <c r="A5" s="8" t="s">
        <v>75</v>
      </c>
      <c r="B5" s="23">
        <v>104.965</v>
      </c>
      <c r="C5" s="23">
        <v>113.657</v>
      </c>
      <c r="D5" s="23">
        <v>113.36499999999999</v>
      </c>
      <c r="E5" s="23">
        <v>114.474</v>
      </c>
      <c r="F5" s="22">
        <v>111.973</v>
      </c>
      <c r="G5" s="23">
        <v>118.501</v>
      </c>
      <c r="H5" s="23">
        <v>114.405</v>
      </c>
      <c r="I5" s="23">
        <v>124.22</v>
      </c>
      <c r="J5" s="22">
        <v>114.405</v>
      </c>
      <c r="K5" s="23">
        <v>116.955</v>
      </c>
      <c r="L5" s="23">
        <v>111.777</v>
      </c>
      <c r="M5" s="23">
        <v>117.732</v>
      </c>
      <c r="N5" s="22">
        <v>113.98099999999999</v>
      </c>
      <c r="O5" s="23">
        <v>121.236</v>
      </c>
      <c r="P5" s="23">
        <v>120.444</v>
      </c>
      <c r="Q5" s="23">
        <v>130.042</v>
      </c>
      <c r="R5" s="22">
        <v>125.425</v>
      </c>
      <c r="S5" s="23">
        <v>135.36699999999999</v>
      </c>
      <c r="T5" s="23">
        <v>130.23400000000001</v>
      </c>
      <c r="U5" s="23">
        <v>138.018</v>
      </c>
      <c r="V5" s="22">
        <v>123</v>
      </c>
      <c r="W5" s="23">
        <v>126</v>
      </c>
      <c r="X5" s="23">
        <v>116</v>
      </c>
      <c r="Y5" s="23"/>
    </row>
    <row r="6" spans="1:25" s="40" customFormat="1" x14ac:dyDescent="0.15">
      <c r="F6" s="41"/>
      <c r="J6" s="41"/>
      <c r="N6" s="41"/>
      <c r="R6" s="41"/>
      <c r="V6" s="41"/>
      <c r="W6" s="40">
        <v>3175</v>
      </c>
      <c r="Y6" s="40">
        <v>3350</v>
      </c>
    </row>
    <row r="7" spans="1:25" s="17" customFormat="1" x14ac:dyDescent="0.15">
      <c r="A7" s="17" t="s">
        <v>4</v>
      </c>
      <c r="B7" s="24">
        <f t="shared" ref="B7:X7" si="0">SUM(B3:B5)</f>
        <v>1109.181</v>
      </c>
      <c r="C7" s="24">
        <f t="shared" si="0"/>
        <v>1162.1579999999999</v>
      </c>
      <c r="D7" s="24">
        <f t="shared" si="0"/>
        <v>1217.768</v>
      </c>
      <c r="E7" s="24">
        <f t="shared" si="0"/>
        <v>1306.4039999999998</v>
      </c>
      <c r="F7" s="25">
        <f t="shared" si="0"/>
        <v>1383.335</v>
      </c>
      <c r="G7" s="24">
        <f t="shared" si="0"/>
        <v>1398.7090000000001</v>
      </c>
      <c r="H7" s="24">
        <f t="shared" si="0"/>
        <v>1463.9670000000001</v>
      </c>
      <c r="I7" s="24">
        <f t="shared" si="0"/>
        <v>1608.4189999999999</v>
      </c>
      <c r="J7" s="25">
        <f t="shared" si="0"/>
        <v>1681.646</v>
      </c>
      <c r="K7" s="24">
        <f t="shared" si="0"/>
        <v>1772.19</v>
      </c>
      <c r="L7" s="24">
        <f t="shared" si="0"/>
        <v>1841.0740000000001</v>
      </c>
      <c r="M7" s="24">
        <f t="shared" si="0"/>
        <v>2006.595</v>
      </c>
      <c r="N7" s="25">
        <f t="shared" si="0"/>
        <v>2078.9470000000001</v>
      </c>
      <c r="O7" s="24">
        <f t="shared" si="0"/>
        <v>2195.36</v>
      </c>
      <c r="P7" s="24">
        <f t="shared" si="0"/>
        <v>2291.076</v>
      </c>
      <c r="Q7" s="24">
        <f t="shared" si="0"/>
        <v>2464.625</v>
      </c>
      <c r="R7" s="25">
        <f t="shared" si="0"/>
        <v>2600.9460000000004</v>
      </c>
      <c r="S7" s="24">
        <f t="shared" si="0"/>
        <v>2744.28</v>
      </c>
      <c r="T7" s="24">
        <f t="shared" si="0"/>
        <v>2834.1259999999997</v>
      </c>
      <c r="U7" s="24">
        <f t="shared" si="0"/>
        <v>2991.9440000000004</v>
      </c>
      <c r="V7" s="25">
        <f t="shared" si="0"/>
        <v>3091</v>
      </c>
      <c r="W7" s="24">
        <f t="shared" si="0"/>
        <v>3128</v>
      </c>
      <c r="X7" s="24">
        <f t="shared" si="0"/>
        <v>3225</v>
      </c>
      <c r="Y7" s="52">
        <v>3350</v>
      </c>
    </row>
    <row r="8" spans="1:25" s="8" customFormat="1" x14ac:dyDescent="0.15">
      <c r="A8" s="8" t="s">
        <v>5</v>
      </c>
      <c r="B8" s="23">
        <v>166.798</v>
      </c>
      <c r="C8" s="23">
        <v>185.173</v>
      </c>
      <c r="D8" s="23">
        <v>190.98500000000001</v>
      </c>
      <c r="E8" s="23">
        <v>201.36099999999999</v>
      </c>
      <c r="F8" s="22">
        <v>198.572</v>
      </c>
      <c r="G8" s="23">
        <v>202.07900000000001</v>
      </c>
      <c r="H8" s="23">
        <v>202.70099999999999</v>
      </c>
      <c r="I8" s="23">
        <v>216.55600000000001</v>
      </c>
      <c r="J8" s="22">
        <v>237.33699999999999</v>
      </c>
      <c r="K8" s="23">
        <v>239.36</v>
      </c>
      <c r="L8" s="23">
        <v>262.92200000000003</v>
      </c>
      <c r="M8" s="23">
        <v>270.87200000000001</v>
      </c>
      <c r="N8" s="22">
        <v>258.90199999999999</v>
      </c>
      <c r="O8" s="23">
        <v>281.34399999999999</v>
      </c>
      <c r="P8" s="23">
        <v>295.49200000000002</v>
      </c>
      <c r="Q8" s="23">
        <v>359.26100000000002</v>
      </c>
      <c r="R8" s="22">
        <v>397.286</v>
      </c>
      <c r="S8" s="23">
        <v>407.488</v>
      </c>
      <c r="T8" s="53">
        <v>415.96300000000002</v>
      </c>
      <c r="U8" s="53">
        <v>451.983</v>
      </c>
      <c r="V8" s="22">
        <v>452</v>
      </c>
      <c r="W8" s="53">
        <v>415</v>
      </c>
      <c r="X8" s="53">
        <v>427</v>
      </c>
      <c r="Y8" s="53"/>
    </row>
    <row r="9" spans="1:25" s="8" customFormat="1" x14ac:dyDescent="0.15">
      <c r="A9" s="8" t="s">
        <v>6</v>
      </c>
      <c r="B9" s="27">
        <f>B7-B8</f>
        <v>942.38300000000004</v>
      </c>
      <c r="C9" s="27">
        <f>C7-C8</f>
        <v>976.9849999999999</v>
      </c>
      <c r="D9" s="27">
        <f>D7-D8</f>
        <v>1026.7829999999999</v>
      </c>
      <c r="E9" s="27">
        <f>E7-E8</f>
        <v>1105.0429999999997</v>
      </c>
      <c r="F9" s="28">
        <f>F7-F8</f>
        <v>1184.7629999999999</v>
      </c>
      <c r="G9" s="27">
        <f t="shared" ref="G9:L9" si="1">G7-G8</f>
        <v>1196.6300000000001</v>
      </c>
      <c r="H9" s="27">
        <f t="shared" si="1"/>
        <v>1261.2660000000001</v>
      </c>
      <c r="I9" s="27">
        <f t="shared" si="1"/>
        <v>1391.8629999999998</v>
      </c>
      <c r="J9" s="28">
        <f t="shared" si="1"/>
        <v>1444.309</v>
      </c>
      <c r="K9" s="27">
        <f t="shared" si="1"/>
        <v>1532.83</v>
      </c>
      <c r="L9" s="27">
        <f t="shared" si="1"/>
        <v>1578.152</v>
      </c>
      <c r="M9" s="27">
        <f t="shared" ref="M9" si="2">M7-M8</f>
        <v>1735.723</v>
      </c>
      <c r="N9" s="28">
        <f>N7-N8</f>
        <v>1820.0450000000001</v>
      </c>
      <c r="O9" s="27">
        <f>O7-O8</f>
        <v>1914.0160000000001</v>
      </c>
      <c r="P9" s="27">
        <f t="shared" ref="P9:R9" si="3">P7-P8</f>
        <v>1995.5840000000001</v>
      </c>
      <c r="Q9" s="27">
        <f t="shared" si="3"/>
        <v>2105.364</v>
      </c>
      <c r="R9" s="28">
        <f t="shared" si="3"/>
        <v>2203.6600000000003</v>
      </c>
      <c r="S9" s="27">
        <f t="shared" ref="S9:X9" si="4">S7-S8</f>
        <v>2336.7920000000004</v>
      </c>
      <c r="T9" s="27">
        <f t="shared" si="4"/>
        <v>2418.1629999999996</v>
      </c>
      <c r="U9" s="27">
        <f t="shared" si="4"/>
        <v>2539.9610000000002</v>
      </c>
      <c r="V9" s="28">
        <f t="shared" ref="V9" si="5">V7-V8</f>
        <v>2639</v>
      </c>
      <c r="W9" s="27">
        <f t="shared" si="4"/>
        <v>2713</v>
      </c>
      <c r="X9" s="27">
        <f t="shared" si="4"/>
        <v>2798</v>
      </c>
      <c r="Y9" s="53"/>
    </row>
    <row r="10" spans="1:25" s="8" customFormat="1" x14ac:dyDescent="0.15">
      <c r="A10" s="8" t="s">
        <v>7</v>
      </c>
      <c r="B10" s="23">
        <v>215.50899999999999</v>
      </c>
      <c r="C10" s="23">
        <v>208.047</v>
      </c>
      <c r="D10" s="23">
        <v>218.66</v>
      </c>
      <c r="E10" s="23">
        <v>220.51400000000001</v>
      </c>
      <c r="F10" s="22">
        <v>237.20400000000001</v>
      </c>
      <c r="G10" s="23">
        <v>232.48400000000001</v>
      </c>
      <c r="H10" s="23">
        <v>248.45</v>
      </c>
      <c r="I10" s="23">
        <v>257.84899999999999</v>
      </c>
      <c r="J10" s="22">
        <v>285.077</v>
      </c>
      <c r="K10" s="23">
        <v>299.40100000000001</v>
      </c>
      <c r="L10" s="23">
        <v>315.55500000000001</v>
      </c>
      <c r="M10" s="23">
        <v>324.02600000000001</v>
      </c>
      <c r="N10" s="22">
        <v>348.76900000000001</v>
      </c>
      <c r="O10" s="23">
        <v>374.12799999999999</v>
      </c>
      <c r="P10" s="23">
        <v>398.95699999999999</v>
      </c>
      <c r="Q10" s="23">
        <v>415.95800000000003</v>
      </c>
      <c r="R10" s="22">
        <v>464.637</v>
      </c>
      <c r="S10" s="23">
        <v>475.95800000000003</v>
      </c>
      <c r="T10" s="53">
        <v>489.827</v>
      </c>
      <c r="U10" s="53">
        <v>499.80599999999998</v>
      </c>
      <c r="V10" s="22">
        <v>532</v>
      </c>
      <c r="W10" s="53">
        <v>532</v>
      </c>
      <c r="X10" s="53">
        <v>566</v>
      </c>
      <c r="Y10" s="53"/>
    </row>
    <row r="11" spans="1:25" s="8" customFormat="1" x14ac:dyDescent="0.15">
      <c r="A11" s="8" t="s">
        <v>8</v>
      </c>
      <c r="B11" s="23">
        <v>392.74099999999999</v>
      </c>
      <c r="C11" s="23">
        <v>426.99799999999999</v>
      </c>
      <c r="D11" s="23">
        <v>422.03100000000001</v>
      </c>
      <c r="E11" s="23">
        <v>441.47199999999998</v>
      </c>
      <c r="F11" s="22">
        <v>474.89100000000002</v>
      </c>
      <c r="G11" s="23">
        <v>462.78899999999999</v>
      </c>
      <c r="H11" s="23">
        <v>477.47500000000002</v>
      </c>
      <c r="I11" s="23">
        <v>495.04199999999997</v>
      </c>
      <c r="J11" s="22">
        <v>520.29700000000003</v>
      </c>
      <c r="K11" s="23">
        <v>553.09799999999996</v>
      </c>
      <c r="L11" s="23">
        <v>550.09299999999996</v>
      </c>
      <c r="M11" s="23">
        <v>574.10400000000004</v>
      </c>
      <c r="N11" s="22">
        <v>580.95699999999999</v>
      </c>
      <c r="O11" s="23">
        <v>646.21500000000003</v>
      </c>
      <c r="P11" s="23">
        <v>670.08399999999995</v>
      </c>
      <c r="Q11" s="23">
        <v>723.57299999999998</v>
      </c>
      <c r="R11" s="22">
        <v>781.51800000000003</v>
      </c>
      <c r="S11" s="23">
        <v>848.92700000000002</v>
      </c>
      <c r="T11" s="53">
        <v>812.31399999999996</v>
      </c>
      <c r="U11" s="53">
        <v>801.58799999999997</v>
      </c>
      <c r="V11" s="22">
        <v>857</v>
      </c>
      <c r="W11" s="53">
        <v>901</v>
      </c>
      <c r="X11" s="53">
        <v>892</v>
      </c>
      <c r="Y11" s="53"/>
    </row>
    <row r="12" spans="1:25" s="8" customFormat="1" x14ac:dyDescent="0.15">
      <c r="A12" s="8" t="s">
        <v>9</v>
      </c>
      <c r="B12" s="23">
        <f>145.081+1.755+14.272</f>
        <v>161.10799999999998</v>
      </c>
      <c r="C12" s="23">
        <f>130.208+0.034+18.081</f>
        <v>148.32299999999998</v>
      </c>
      <c r="D12" s="23">
        <f>122.578-0.751+18.246</f>
        <v>140.07300000000001</v>
      </c>
      <c r="E12" s="23">
        <f>134.052+0.521+18.05</f>
        <v>152.62299999999999</v>
      </c>
      <c r="F12" s="22">
        <f>146.935-0.419+18.394</f>
        <v>164.91</v>
      </c>
      <c r="G12" s="23">
        <f>138.596-0.466+18.988</f>
        <v>157.11799999999999</v>
      </c>
      <c r="H12" s="23">
        <f>143.702-0.338+22.652</f>
        <v>166.01600000000002</v>
      </c>
      <c r="I12" s="23">
        <f>148.477-0.285+18.5</f>
        <v>166.69200000000001</v>
      </c>
      <c r="J12" s="22">
        <f>150.808+19.128</f>
        <v>169.93599999999998</v>
      </c>
      <c r="K12" s="23">
        <f>156.929+19.32</f>
        <v>176.249</v>
      </c>
      <c r="L12" s="23">
        <f>147.402+19.428</f>
        <v>166.82999999999998</v>
      </c>
      <c r="M12" s="23">
        <f>169.567+18.686</f>
        <v>188.25300000000001</v>
      </c>
      <c r="N12" s="22">
        <f>170.44+17.146</f>
        <v>187.58600000000001</v>
      </c>
      <c r="O12" s="23">
        <f>178.04+17.149</f>
        <v>195.18899999999999</v>
      </c>
      <c r="P12" s="23">
        <f>184.063+23.874</f>
        <v>207.93699999999998</v>
      </c>
      <c r="Q12" s="23">
        <f>212.355+32.932</f>
        <v>245.28699999999998</v>
      </c>
      <c r="R12" s="22">
        <f>216.109+46.566</f>
        <v>262.67500000000001</v>
      </c>
      <c r="S12" s="23">
        <f>219.334+43.026</f>
        <v>262.36</v>
      </c>
      <c r="T12" s="53">
        <f>219.256+42.954</f>
        <v>262.20999999999998</v>
      </c>
      <c r="U12" s="53">
        <f>225.938+42.698</f>
        <v>268.63599999999997</v>
      </c>
      <c r="V12" s="22">
        <f>271+42</f>
        <v>313</v>
      </c>
      <c r="W12" s="53">
        <f>224+40</f>
        <v>264</v>
      </c>
      <c r="X12" s="53">
        <f>230+41</f>
        <v>271</v>
      </c>
      <c r="Y12" s="53"/>
    </row>
    <row r="13" spans="1:25" s="8" customFormat="1" x14ac:dyDescent="0.15">
      <c r="A13" s="8" t="s">
        <v>10</v>
      </c>
      <c r="B13" s="27">
        <f>SUM(B10:B12)</f>
        <v>769.35799999999995</v>
      </c>
      <c r="C13" s="27">
        <f>SUM(C10:C12)</f>
        <v>783.36799999999994</v>
      </c>
      <c r="D13" s="27">
        <f>SUM(D10:D12)</f>
        <v>780.76400000000001</v>
      </c>
      <c r="E13" s="27">
        <f>SUM(E10:E12)</f>
        <v>814.60899999999992</v>
      </c>
      <c r="F13" s="28">
        <f>SUM(F10:F12)</f>
        <v>877.005</v>
      </c>
      <c r="G13" s="27">
        <f t="shared" ref="G13:L13" si="6">SUM(G10:G12)</f>
        <v>852.39100000000008</v>
      </c>
      <c r="H13" s="27">
        <f t="shared" si="6"/>
        <v>891.94100000000003</v>
      </c>
      <c r="I13" s="27">
        <f t="shared" si="6"/>
        <v>919.58299999999997</v>
      </c>
      <c r="J13" s="28">
        <f t="shared" si="6"/>
        <v>975.31</v>
      </c>
      <c r="K13" s="27">
        <f t="shared" si="6"/>
        <v>1028.748</v>
      </c>
      <c r="L13" s="27">
        <f t="shared" si="6"/>
        <v>1032.4779999999998</v>
      </c>
      <c r="M13" s="27">
        <f t="shared" ref="M13:N13" si="7">SUM(M10:M12)</f>
        <v>1086.383</v>
      </c>
      <c r="N13" s="28">
        <f t="shared" si="7"/>
        <v>1117.3119999999999</v>
      </c>
      <c r="O13" s="27">
        <f t="shared" ref="O13:P13" si="8">SUM(O10:O12)</f>
        <v>1215.5320000000002</v>
      </c>
      <c r="P13" s="27">
        <f t="shared" si="8"/>
        <v>1276.9779999999998</v>
      </c>
      <c r="Q13" s="27">
        <f t="shared" ref="Q13:S13" si="9">SUM(Q10:Q12)</f>
        <v>1384.818</v>
      </c>
      <c r="R13" s="28">
        <f t="shared" si="9"/>
        <v>1508.83</v>
      </c>
      <c r="S13" s="27">
        <f t="shared" si="9"/>
        <v>1587.2449999999999</v>
      </c>
      <c r="T13" s="27">
        <f t="shared" ref="T13:U13" si="10">SUM(T10:T12)</f>
        <v>1564.3510000000001</v>
      </c>
      <c r="U13" s="27">
        <f t="shared" si="10"/>
        <v>1570.03</v>
      </c>
      <c r="V13" s="28">
        <f t="shared" ref="V13:X13" si="11">SUM(V10:V12)</f>
        <v>1702</v>
      </c>
      <c r="W13" s="27">
        <f t="shared" si="11"/>
        <v>1697</v>
      </c>
      <c r="X13" s="27">
        <f t="shared" si="11"/>
        <v>1729</v>
      </c>
      <c r="Y13" s="53"/>
    </row>
    <row r="14" spans="1:25" s="8" customFormat="1" x14ac:dyDescent="0.15">
      <c r="A14" s="8" t="s">
        <v>11</v>
      </c>
      <c r="B14" s="27">
        <f>B9-B13</f>
        <v>173.02500000000009</v>
      </c>
      <c r="C14" s="27">
        <f>C9-C13</f>
        <v>193.61699999999996</v>
      </c>
      <c r="D14" s="27">
        <f>D9-D13</f>
        <v>246.01899999999989</v>
      </c>
      <c r="E14" s="27">
        <f>E9-E13</f>
        <v>290.43399999999974</v>
      </c>
      <c r="F14" s="28">
        <f>F9-F13</f>
        <v>307.75799999999992</v>
      </c>
      <c r="G14" s="27">
        <f t="shared" ref="G14:H14" si="12">G9-G13</f>
        <v>344.23900000000003</v>
      </c>
      <c r="H14" s="27">
        <f t="shared" si="12"/>
        <v>369.32500000000005</v>
      </c>
      <c r="I14" s="27">
        <f t="shared" ref="I14:P14" si="13">I9-I13</f>
        <v>472.27999999999986</v>
      </c>
      <c r="J14" s="28">
        <f t="shared" si="13"/>
        <v>468.99900000000002</v>
      </c>
      <c r="K14" s="27">
        <f t="shared" si="13"/>
        <v>504.08199999999988</v>
      </c>
      <c r="L14" s="27">
        <f t="shared" si="13"/>
        <v>545.67400000000021</v>
      </c>
      <c r="M14" s="27">
        <f t="shared" si="13"/>
        <v>649.33999999999992</v>
      </c>
      <c r="N14" s="28">
        <f t="shared" si="13"/>
        <v>702.73300000000017</v>
      </c>
      <c r="O14" s="27">
        <f t="shared" si="13"/>
        <v>698.48399999999992</v>
      </c>
      <c r="P14" s="27">
        <f t="shared" si="13"/>
        <v>718.60600000000022</v>
      </c>
      <c r="Q14" s="27">
        <f t="shared" ref="Q14:S14" si="14">Q9-Q13</f>
        <v>720.54600000000005</v>
      </c>
      <c r="R14" s="28">
        <f t="shared" si="14"/>
        <v>694.83000000000038</v>
      </c>
      <c r="S14" s="27">
        <f t="shared" si="14"/>
        <v>749.54700000000048</v>
      </c>
      <c r="T14" s="27">
        <f t="shared" ref="T14:U14" si="15">T9-T13</f>
        <v>853.81199999999944</v>
      </c>
      <c r="U14" s="27">
        <f t="shared" si="15"/>
        <v>969.93100000000027</v>
      </c>
      <c r="V14" s="28">
        <f t="shared" ref="V14:X14" si="16">V9-V13</f>
        <v>937</v>
      </c>
      <c r="W14" s="27">
        <f t="shared" si="16"/>
        <v>1016</v>
      </c>
      <c r="X14" s="27">
        <f t="shared" si="16"/>
        <v>1069</v>
      </c>
      <c r="Y14" s="53"/>
    </row>
    <row r="15" spans="1:25" s="8" customFormat="1" x14ac:dyDescent="0.15">
      <c r="A15" s="8" t="s">
        <v>12</v>
      </c>
      <c r="B15" s="23">
        <v>-9.7769999999999992</v>
      </c>
      <c r="C15" s="23">
        <v>-12.643000000000001</v>
      </c>
      <c r="D15" s="23">
        <v>-13.4</v>
      </c>
      <c r="E15" s="23">
        <v>6.5060000000000002</v>
      </c>
      <c r="F15" s="22">
        <v>-15.451000000000001</v>
      </c>
      <c r="G15" s="23">
        <v>-14.409000000000001</v>
      </c>
      <c r="H15" s="23">
        <v>-13.023999999999999</v>
      </c>
      <c r="I15" s="23">
        <v>-15.58</v>
      </c>
      <c r="J15" s="22">
        <v>-8.3670000000000009</v>
      </c>
      <c r="K15" s="23">
        <v>-11.464</v>
      </c>
      <c r="L15" s="23">
        <v>-4.2949999999999999</v>
      </c>
      <c r="M15" s="23">
        <v>-6.3280000000000003</v>
      </c>
      <c r="N15" s="22">
        <v>-0.23100000000000001</v>
      </c>
      <c r="O15" s="23">
        <v>-7.6849999999999996</v>
      </c>
      <c r="P15" s="23">
        <v>-17.248000000000001</v>
      </c>
      <c r="Q15" s="23">
        <v>-21.329000000000001</v>
      </c>
      <c r="R15" s="22">
        <v>7.5039999999999996</v>
      </c>
      <c r="S15" s="23">
        <v>-38.774999999999999</v>
      </c>
      <c r="T15" s="53">
        <v>-19.324000000000002</v>
      </c>
      <c r="U15" s="53">
        <v>-12.784000000000001</v>
      </c>
      <c r="V15" s="22">
        <v>-18</v>
      </c>
      <c r="W15" s="53">
        <f>-28+12</f>
        <v>-16</v>
      </c>
      <c r="X15" s="53">
        <v>-9</v>
      </c>
      <c r="Y15" s="53"/>
    </row>
    <row r="16" spans="1:25" s="8" customFormat="1" x14ac:dyDescent="0.15">
      <c r="A16" s="8" t="s">
        <v>13</v>
      </c>
      <c r="B16" s="27">
        <f>B14+B15</f>
        <v>163.2480000000001</v>
      </c>
      <c r="C16" s="27">
        <f>C14+C15</f>
        <v>180.97399999999996</v>
      </c>
      <c r="D16" s="27">
        <f>D14+D15</f>
        <v>232.61899999999989</v>
      </c>
      <c r="E16" s="27">
        <f>E14+E15</f>
        <v>296.93999999999971</v>
      </c>
      <c r="F16" s="28">
        <f>F14+F15</f>
        <v>292.3069999999999</v>
      </c>
      <c r="G16" s="27">
        <f t="shared" ref="G16:I16" si="17">G14+G15</f>
        <v>329.83000000000004</v>
      </c>
      <c r="H16" s="27">
        <f t="shared" si="17"/>
        <v>356.30100000000004</v>
      </c>
      <c r="I16" s="27">
        <f t="shared" si="17"/>
        <v>456.69999999999987</v>
      </c>
      <c r="J16" s="28">
        <f t="shared" ref="J16:K16" si="18">J14+J15</f>
        <v>460.63200000000001</v>
      </c>
      <c r="K16" s="27">
        <f t="shared" si="18"/>
        <v>492.61799999999988</v>
      </c>
      <c r="L16" s="27">
        <f t="shared" ref="L16:N16" si="19">L14+L15</f>
        <v>541.37900000000025</v>
      </c>
      <c r="M16" s="27">
        <f>M14+M15</f>
        <v>643.01199999999994</v>
      </c>
      <c r="N16" s="28">
        <f t="shared" si="19"/>
        <v>702.50200000000018</v>
      </c>
      <c r="O16" s="27">
        <f t="shared" ref="O16" si="20">O14+O15</f>
        <v>690.79899999999998</v>
      </c>
      <c r="P16" s="27">
        <f t="shared" ref="P16:T16" si="21">P14+P15</f>
        <v>701.35800000000017</v>
      </c>
      <c r="Q16" s="27">
        <f t="shared" si="21"/>
        <v>699.2170000000001</v>
      </c>
      <c r="R16" s="28">
        <f t="shared" si="21"/>
        <v>702.3340000000004</v>
      </c>
      <c r="S16" s="27">
        <f t="shared" si="21"/>
        <v>710.7720000000005</v>
      </c>
      <c r="T16" s="27">
        <f t="shared" si="21"/>
        <v>834.48799999999949</v>
      </c>
      <c r="U16" s="27">
        <f t="shared" ref="U16" si="22">U14+U15</f>
        <v>957.14700000000028</v>
      </c>
      <c r="V16" s="28">
        <f t="shared" ref="V16:X16" si="23">V14+V15</f>
        <v>919</v>
      </c>
      <c r="W16" s="27">
        <f t="shared" si="23"/>
        <v>1000</v>
      </c>
      <c r="X16" s="27">
        <f t="shared" si="23"/>
        <v>1060</v>
      </c>
      <c r="Y16" s="53"/>
    </row>
    <row r="17" spans="1:25" s="8" customFormat="1" x14ac:dyDescent="0.15">
      <c r="A17" s="8" t="s">
        <v>14</v>
      </c>
      <c r="B17" s="23">
        <v>78.36</v>
      </c>
      <c r="C17" s="23">
        <v>33.481000000000002</v>
      </c>
      <c r="D17" s="23">
        <v>58.154000000000003</v>
      </c>
      <c r="E17" s="23">
        <v>74.234999999999999</v>
      </c>
      <c r="F17" s="22">
        <v>38</v>
      </c>
      <c r="G17" s="23">
        <v>85.756</v>
      </c>
      <c r="H17" s="23">
        <v>85.513000000000005</v>
      </c>
      <c r="I17" s="23">
        <v>57.087000000000003</v>
      </c>
      <c r="J17" s="22">
        <v>62.186</v>
      </c>
      <c r="K17" s="23">
        <v>118.22799999999999</v>
      </c>
      <c r="L17" s="23">
        <v>121.81</v>
      </c>
      <c r="M17" s="23">
        <v>141.46299999999999</v>
      </c>
      <c r="N17" s="22">
        <v>119.426</v>
      </c>
      <c r="O17" s="23">
        <v>27.632000000000001</v>
      </c>
      <c r="P17" s="23">
        <v>35.067</v>
      </c>
      <c r="Q17" s="23">
        <v>20.977</v>
      </c>
      <c r="R17" s="22">
        <v>28.093</v>
      </c>
      <c r="S17" s="23">
        <v>78.179000000000002</v>
      </c>
      <c r="T17" s="23">
        <v>41.725000000000001</v>
      </c>
      <c r="U17" s="23">
        <v>105.286</v>
      </c>
      <c r="V17" s="22">
        <v>-36</v>
      </c>
      <c r="W17" s="23">
        <v>-100</v>
      </c>
      <c r="X17" s="23">
        <v>105</v>
      </c>
      <c r="Y17" s="23"/>
    </row>
    <row r="18" spans="1:25" s="48" customFormat="1" x14ac:dyDescent="0.15">
      <c r="A18" s="48" t="s">
        <v>68</v>
      </c>
      <c r="B18" s="40"/>
      <c r="C18" s="40"/>
      <c r="D18" s="40"/>
      <c r="E18" s="40"/>
      <c r="F18" s="41"/>
      <c r="G18" s="40"/>
      <c r="H18" s="40"/>
      <c r="I18" s="40"/>
      <c r="J18" s="41"/>
      <c r="K18" s="40"/>
      <c r="L18" s="40"/>
      <c r="M18" s="40"/>
      <c r="N18" s="41"/>
      <c r="O18" s="40"/>
      <c r="P18" s="40"/>
      <c r="Q18" s="40"/>
      <c r="R18" s="41"/>
      <c r="S18" s="40"/>
      <c r="T18" s="40"/>
      <c r="U18" s="40"/>
      <c r="V18" s="41"/>
      <c r="W18" s="40"/>
      <c r="X18" s="40"/>
      <c r="Y18" s="40"/>
    </row>
    <row r="19" spans="1:25" s="17" customFormat="1" x14ac:dyDescent="0.15">
      <c r="A19" s="17" t="s">
        <v>15</v>
      </c>
      <c r="B19" s="24">
        <f>B16-B17</f>
        <v>84.888000000000105</v>
      </c>
      <c r="C19" s="24">
        <f>C16-C17</f>
        <v>147.49299999999997</v>
      </c>
      <c r="D19" s="24">
        <f>D16-D17</f>
        <v>174.46499999999989</v>
      </c>
      <c r="E19" s="24">
        <f>E16-E17</f>
        <v>222.7049999999997</v>
      </c>
      <c r="F19" s="25">
        <f>F16-F17</f>
        <v>254.3069999999999</v>
      </c>
      <c r="G19" s="24">
        <f t="shared" ref="G19:H19" si="24">G16-G17</f>
        <v>244.07400000000004</v>
      </c>
      <c r="H19" s="24">
        <f t="shared" si="24"/>
        <v>270.78800000000001</v>
      </c>
      <c r="I19" s="24">
        <f t="shared" ref="I19:O19" si="25">I16-I17</f>
        <v>399.61299999999989</v>
      </c>
      <c r="J19" s="25">
        <f t="shared" si="25"/>
        <v>398.44600000000003</v>
      </c>
      <c r="K19" s="24">
        <f t="shared" si="25"/>
        <v>374.38999999999987</v>
      </c>
      <c r="L19" s="24">
        <f t="shared" si="25"/>
        <v>419.56900000000024</v>
      </c>
      <c r="M19" s="24">
        <f t="shared" si="25"/>
        <v>501.54899999999998</v>
      </c>
      <c r="N19" s="25">
        <f t="shared" si="25"/>
        <v>583.07600000000014</v>
      </c>
      <c r="O19" s="24">
        <f t="shared" si="25"/>
        <v>663.16700000000003</v>
      </c>
      <c r="P19" s="24">
        <f t="shared" ref="P19:S19" si="26">P16-P17</f>
        <v>666.29100000000017</v>
      </c>
      <c r="Q19" s="24">
        <f t="shared" si="26"/>
        <v>678.24000000000012</v>
      </c>
      <c r="R19" s="25">
        <f t="shared" si="26"/>
        <v>674.24100000000044</v>
      </c>
      <c r="S19" s="24">
        <f t="shared" si="26"/>
        <v>632.59300000000053</v>
      </c>
      <c r="T19" s="24">
        <f t="shared" ref="T19:U19" si="27">T16-T17</f>
        <v>792.76299999999947</v>
      </c>
      <c r="U19" s="24">
        <f t="shared" si="27"/>
        <v>851.86100000000033</v>
      </c>
      <c r="V19" s="25">
        <f t="shared" ref="V19:X19" si="28">V16-V17</f>
        <v>955</v>
      </c>
      <c r="W19" s="24">
        <f t="shared" si="28"/>
        <v>1100</v>
      </c>
      <c r="X19" s="24">
        <f t="shared" si="28"/>
        <v>955</v>
      </c>
      <c r="Y19" s="52"/>
    </row>
    <row r="20" spans="1:25" s="4" customFormat="1" x14ac:dyDescent="0.15">
      <c r="A20" s="4" t="s">
        <v>16</v>
      </c>
      <c r="B20" s="65">
        <f t="shared" ref="B20:H20" si="29">IFERROR(B19/B21,0)</f>
        <v>0.1672584261692999</v>
      </c>
      <c r="C20" s="65">
        <f t="shared" si="29"/>
        <v>0.29172913592651634</v>
      </c>
      <c r="D20" s="65">
        <f t="shared" si="29"/>
        <v>0.34492268820839461</v>
      </c>
      <c r="E20" s="65">
        <f>IFERROR(E19/E21,0)</f>
        <v>0.44011802091649943</v>
      </c>
      <c r="F20" s="66">
        <f t="shared" si="29"/>
        <v>0.50290502218812028</v>
      </c>
      <c r="G20" s="65">
        <f t="shared" si="29"/>
        <v>0.48357818614096792</v>
      </c>
      <c r="H20" s="65">
        <f t="shared" si="29"/>
        <v>0.53763086471472343</v>
      </c>
      <c r="I20" s="65">
        <f t="shared" ref="I20:L20" si="30">IFERROR(I19/I21,0)</f>
        <v>0.79735063131514661</v>
      </c>
      <c r="J20" s="66">
        <f t="shared" si="30"/>
        <v>0.79552211092498726</v>
      </c>
      <c r="K20" s="65">
        <f t="shared" si="30"/>
        <v>0.74825472518292135</v>
      </c>
      <c r="L20" s="65">
        <f t="shared" si="30"/>
        <v>0.83847057742037379</v>
      </c>
      <c r="M20" s="65">
        <f t="shared" ref="M20" si="31">IFERROR(M19/M21,0)</f>
        <v>1.002977642682878</v>
      </c>
      <c r="N20" s="66">
        <f t="shared" ref="N20:S20" si="32">IFERROR(N19/N21,0)</f>
        <v>1.1674759176906615</v>
      </c>
      <c r="O20" s="65">
        <f t="shared" si="32"/>
        <v>1.330987131010011</v>
      </c>
      <c r="P20" s="65">
        <f t="shared" si="32"/>
        <v>1.3409873084493609</v>
      </c>
      <c r="Q20" s="65">
        <f t="shared" si="32"/>
        <v>1.3696616234642198</v>
      </c>
      <c r="R20" s="66">
        <f t="shared" si="32"/>
        <v>1.3643411009575312</v>
      </c>
      <c r="S20" s="65">
        <f t="shared" si="32"/>
        <v>1.2852043428441415</v>
      </c>
      <c r="T20" s="65">
        <f t="shared" ref="T20:U20" si="33">IFERROR(T19/T21,0)</f>
        <v>1.6144504950696672</v>
      </c>
      <c r="U20" s="65">
        <f t="shared" si="33"/>
        <v>1.7425780043407917</v>
      </c>
      <c r="V20" s="66">
        <f t="shared" ref="V20:X20" si="34">IFERROR(V19/V21,0)</f>
        <v>1.9569672131147542</v>
      </c>
      <c r="W20" s="65">
        <f t="shared" si="34"/>
        <v>2.268041237113402</v>
      </c>
      <c r="X20" s="65">
        <f t="shared" si="34"/>
        <v>1.9690721649484537</v>
      </c>
      <c r="Y20" s="67"/>
    </row>
    <row r="21" spans="1:25" s="8" customFormat="1" x14ac:dyDescent="0.15">
      <c r="A21" s="8" t="s">
        <v>17</v>
      </c>
      <c r="B21" s="23">
        <v>507.52600000000001</v>
      </c>
      <c r="C21" s="23">
        <v>505.58199999999999</v>
      </c>
      <c r="D21" s="23">
        <v>505.80900000000003</v>
      </c>
      <c r="E21" s="23">
        <v>506.012</v>
      </c>
      <c r="F21" s="22">
        <v>505.67599999999999</v>
      </c>
      <c r="G21" s="23">
        <v>504.72500000000002</v>
      </c>
      <c r="H21" s="23">
        <v>503.66899999999998</v>
      </c>
      <c r="I21" s="23">
        <v>501.17599999999999</v>
      </c>
      <c r="J21" s="22">
        <v>500.86099999999999</v>
      </c>
      <c r="K21" s="23">
        <v>500.351</v>
      </c>
      <c r="L21" s="23">
        <v>500.39800000000002</v>
      </c>
      <c r="M21" s="23">
        <v>500.06</v>
      </c>
      <c r="N21" s="22">
        <v>499.43299999999999</v>
      </c>
      <c r="O21" s="23">
        <v>498.25200000000001</v>
      </c>
      <c r="P21" s="23">
        <v>496.86599999999999</v>
      </c>
      <c r="Q21" s="23">
        <v>495.18799999999999</v>
      </c>
      <c r="R21" s="22">
        <v>494.18799999999999</v>
      </c>
      <c r="S21" s="23">
        <v>492.21199999999999</v>
      </c>
      <c r="T21" s="53">
        <v>491.04199999999997</v>
      </c>
      <c r="U21" s="53">
        <v>488.851</v>
      </c>
      <c r="V21" s="22">
        <v>488</v>
      </c>
      <c r="W21" s="53">
        <v>485</v>
      </c>
      <c r="X21" s="53">
        <v>485</v>
      </c>
      <c r="Y21" s="53"/>
    </row>
    <row r="22" spans="1:25" s="42" customFormat="1" x14ac:dyDescent="0.15">
      <c r="B22" s="40"/>
      <c r="C22" s="40"/>
      <c r="D22" s="40"/>
      <c r="E22" s="40"/>
      <c r="F22" s="41"/>
      <c r="G22" s="40"/>
      <c r="H22" s="40"/>
      <c r="I22" s="40"/>
      <c r="J22" s="41"/>
      <c r="K22" s="40"/>
      <c r="L22" s="40"/>
      <c r="M22" s="40"/>
      <c r="N22" s="59"/>
      <c r="Q22" s="40"/>
      <c r="R22" s="59"/>
      <c r="V22" s="59"/>
    </row>
    <row r="23" spans="1:25" x14ac:dyDescent="0.15">
      <c r="A23" s="6" t="s">
        <v>19</v>
      </c>
      <c r="B23" s="34">
        <f t="shared" ref="B23:Q23" si="35">IFERROR(B9/B7,0)</f>
        <v>0.84962057590240003</v>
      </c>
      <c r="C23" s="34">
        <f t="shared" si="35"/>
        <v>0.8406645223799174</v>
      </c>
      <c r="D23" s="34">
        <f t="shared" si="35"/>
        <v>0.84316799258972142</v>
      </c>
      <c r="E23" s="34">
        <f t="shared" si="35"/>
        <v>0.84586620984014127</v>
      </c>
      <c r="F23" s="35">
        <f t="shared" si="35"/>
        <v>0.85645414885042304</v>
      </c>
      <c r="G23" s="34">
        <f t="shared" si="35"/>
        <v>0.85552463021257463</v>
      </c>
      <c r="H23" s="34">
        <f t="shared" si="35"/>
        <v>0.86153991176030609</v>
      </c>
      <c r="I23" s="34">
        <f t="shared" si="35"/>
        <v>0.86536095383106015</v>
      </c>
      <c r="J23" s="35">
        <f t="shared" si="35"/>
        <v>0.8588662536586178</v>
      </c>
      <c r="K23" s="34">
        <f t="shared" si="35"/>
        <v>0.86493547531585202</v>
      </c>
      <c r="L23" s="34">
        <f t="shared" si="35"/>
        <v>0.85719096570805953</v>
      </c>
      <c r="M23" s="34">
        <f t="shared" si="35"/>
        <v>0.86500913238595722</v>
      </c>
      <c r="N23" s="35">
        <f t="shared" si="35"/>
        <v>0.87546483868997138</v>
      </c>
      <c r="O23" s="34">
        <f t="shared" si="35"/>
        <v>0.87184607535893888</v>
      </c>
      <c r="P23" s="34">
        <f t="shared" si="35"/>
        <v>0.87102479359043528</v>
      </c>
      <c r="Q23" s="34">
        <f t="shared" si="35"/>
        <v>0.85423299690622312</v>
      </c>
      <c r="R23" s="35">
        <f t="shared" ref="R23:S23" si="36">IFERROR(R9/R7,0)</f>
        <v>0.8472532686184181</v>
      </c>
      <c r="S23" s="34">
        <f t="shared" si="36"/>
        <v>0.85151369393793641</v>
      </c>
      <c r="T23" s="34">
        <f t="shared" ref="T23:V23" si="37">IFERROR(T9/T7,0)</f>
        <v>0.85323059031249837</v>
      </c>
      <c r="U23" s="34">
        <f t="shared" ref="U23" si="38">IFERROR(U9/U7,0)</f>
        <v>0.8489333356506672</v>
      </c>
      <c r="V23" s="35">
        <f t="shared" si="37"/>
        <v>0.85376900679391787</v>
      </c>
      <c r="W23" s="34">
        <f t="shared" ref="W23:X23" si="39">IFERROR(W9/W7,0)</f>
        <v>0.86732736572890023</v>
      </c>
      <c r="X23" s="34">
        <f t="shared" si="39"/>
        <v>0.86759689922480621</v>
      </c>
      <c r="Y23" s="34"/>
    </row>
    <row r="24" spans="1:25" x14ac:dyDescent="0.15">
      <c r="A24" s="6" t="s">
        <v>20</v>
      </c>
      <c r="B24" s="36">
        <f t="shared" ref="B24:Q24" si="40">IFERROR(B14/B7,0)</f>
        <v>0.15599347626762455</v>
      </c>
      <c r="C24" s="36">
        <f t="shared" si="40"/>
        <v>0.16660127108362199</v>
      </c>
      <c r="D24" s="36">
        <f t="shared" si="40"/>
        <v>0.2020245235545686</v>
      </c>
      <c r="E24" s="36">
        <f t="shared" si="40"/>
        <v>0.22231560834167668</v>
      </c>
      <c r="F24" s="37">
        <f t="shared" si="40"/>
        <v>0.22247539460795823</v>
      </c>
      <c r="G24" s="36">
        <f t="shared" si="40"/>
        <v>0.24611195037709774</v>
      </c>
      <c r="H24" s="36">
        <f t="shared" si="40"/>
        <v>0.25227686143198585</v>
      </c>
      <c r="I24" s="36">
        <f t="shared" si="40"/>
        <v>0.29362995587592527</v>
      </c>
      <c r="J24" s="37">
        <f t="shared" si="40"/>
        <v>0.27889282286521661</v>
      </c>
      <c r="K24" s="36">
        <f t="shared" si="40"/>
        <v>0.2844401559652181</v>
      </c>
      <c r="L24" s="36">
        <f t="shared" si="40"/>
        <v>0.29638895557701656</v>
      </c>
      <c r="M24" s="36">
        <f t="shared" si="40"/>
        <v>0.32360291937336627</v>
      </c>
      <c r="N24" s="37">
        <f t="shared" si="40"/>
        <v>0.33802352825733417</v>
      </c>
      <c r="O24" s="36">
        <f t="shared" si="40"/>
        <v>0.31816376357408349</v>
      </c>
      <c r="P24" s="36">
        <f t="shared" si="40"/>
        <v>0.31365437026096044</v>
      </c>
      <c r="Q24" s="36">
        <f t="shared" si="40"/>
        <v>0.29235522645432876</v>
      </c>
      <c r="R24" s="37">
        <f t="shared" ref="R24:S24" si="41">IFERROR(R14/R7,0)</f>
        <v>0.26714510797225327</v>
      </c>
      <c r="S24" s="36">
        <f t="shared" si="41"/>
        <v>0.27313065722156649</v>
      </c>
      <c r="T24" s="36">
        <f t="shared" ref="T24:V24" si="42">IFERROR(T14/T7,0)</f>
        <v>0.301261129533408</v>
      </c>
      <c r="U24" s="36">
        <f t="shared" ref="U24" si="43">IFERROR(U14/U7,0)</f>
        <v>0.32418086702157534</v>
      </c>
      <c r="V24" s="37">
        <f t="shared" si="42"/>
        <v>0.30313814299579422</v>
      </c>
      <c r="W24" s="36">
        <f t="shared" ref="W24:X24" si="44">IFERROR(W14/W7,0)</f>
        <v>0.32480818414322249</v>
      </c>
      <c r="X24" s="36">
        <f t="shared" si="44"/>
        <v>0.33147286821705424</v>
      </c>
      <c r="Y24" s="36"/>
    </row>
    <row r="25" spans="1:25" x14ac:dyDescent="0.15">
      <c r="A25" s="6" t="s">
        <v>21</v>
      </c>
      <c r="B25" s="36">
        <f t="shared" ref="B25:Q25" si="45">IFERROR(B17/B16,0)</f>
        <v>0.48000588062334576</v>
      </c>
      <c r="C25" s="36">
        <f t="shared" si="45"/>
        <v>0.18500447578105148</v>
      </c>
      <c r="D25" s="36">
        <f t="shared" si="45"/>
        <v>0.24999677584376181</v>
      </c>
      <c r="E25" s="36">
        <f t="shared" si="45"/>
        <v>0.25000000000000022</v>
      </c>
      <c r="F25" s="37">
        <f t="shared" si="45"/>
        <v>0.1300003078954661</v>
      </c>
      <c r="G25" s="36">
        <f t="shared" si="45"/>
        <v>0.26000060637298</v>
      </c>
      <c r="H25" s="36">
        <f t="shared" si="45"/>
        <v>0.24000213302797352</v>
      </c>
      <c r="I25" s="36">
        <f t="shared" si="45"/>
        <v>0.12499890518940228</v>
      </c>
      <c r="J25" s="37">
        <f t="shared" si="45"/>
        <v>0.13500147623265427</v>
      </c>
      <c r="K25" s="36">
        <f t="shared" si="45"/>
        <v>0.23999935040944509</v>
      </c>
      <c r="L25" s="36">
        <f t="shared" si="45"/>
        <v>0.22499949203792527</v>
      </c>
      <c r="M25" s="36">
        <f t="shared" si="45"/>
        <v>0.22000055986513473</v>
      </c>
      <c r="N25" s="37">
        <f t="shared" si="45"/>
        <v>0.17000093949910458</v>
      </c>
      <c r="O25" s="36">
        <f t="shared" si="45"/>
        <v>4.0000057903963382E-2</v>
      </c>
      <c r="P25" s="36">
        <f t="shared" si="45"/>
        <v>4.999871677517044E-2</v>
      </c>
      <c r="Q25" s="36">
        <f t="shared" si="45"/>
        <v>3.0000700783876819E-2</v>
      </c>
      <c r="R25" s="37">
        <f t="shared" ref="R25:S25" si="46">IFERROR(R17/R16,0)</f>
        <v>3.9999487423362651E-2</v>
      </c>
      <c r="S25" s="36">
        <f t="shared" si="46"/>
        <v>0.10999167102812146</v>
      </c>
      <c r="T25" s="36">
        <f t="shared" ref="T25:V25" si="47">IFERROR(T17/T16,0)</f>
        <v>5.0000719003748438E-2</v>
      </c>
      <c r="U25" s="36">
        <f t="shared" ref="U25" si="48">IFERROR(U17/U16,0)</f>
        <v>0.10999982238882844</v>
      </c>
      <c r="V25" s="37">
        <f t="shared" si="47"/>
        <v>-3.9173014145810661E-2</v>
      </c>
      <c r="W25" s="36">
        <f t="shared" ref="W25:X25" si="49">IFERROR(W17/W16,0)</f>
        <v>-0.1</v>
      </c>
      <c r="X25" s="36">
        <f t="shared" si="49"/>
        <v>9.9056603773584911E-2</v>
      </c>
      <c r="Y25" s="36"/>
    </row>
    <row r="26" spans="1:25" s="42" customFormat="1" x14ac:dyDescent="0.15">
      <c r="B26" s="40"/>
      <c r="C26" s="40"/>
      <c r="D26" s="40"/>
      <c r="E26" s="40"/>
      <c r="F26" s="41"/>
      <c r="G26" s="40"/>
      <c r="H26" s="40"/>
      <c r="I26" s="40"/>
      <c r="J26" s="41"/>
      <c r="K26" s="40"/>
      <c r="L26" s="40"/>
      <c r="M26" s="40"/>
      <c r="N26" s="59"/>
      <c r="Q26" s="40"/>
      <c r="R26" s="59"/>
      <c r="V26" s="59"/>
    </row>
    <row r="27" spans="1:25" s="12" customFormat="1" x14ac:dyDescent="0.15">
      <c r="A27" s="12" t="s">
        <v>18</v>
      </c>
      <c r="B27" s="30"/>
      <c r="C27" s="30"/>
      <c r="D27" s="30"/>
      <c r="E27" s="30"/>
      <c r="F27" s="31">
        <f t="shared" ref="F27:Y27" si="50">IFERROR((F7/B7)-1,0)</f>
        <v>0.24716795545542158</v>
      </c>
      <c r="G27" s="30">
        <f t="shared" si="50"/>
        <v>0.20354461269465962</v>
      </c>
      <c r="H27" s="30">
        <f t="shared" si="50"/>
        <v>0.20217233496035369</v>
      </c>
      <c r="I27" s="30">
        <f t="shared" si="50"/>
        <v>0.23118040054990652</v>
      </c>
      <c r="J27" s="31">
        <f t="shared" si="50"/>
        <v>0.21564624620934181</v>
      </c>
      <c r="K27" s="30">
        <f t="shared" si="50"/>
        <v>0.26701837194155464</v>
      </c>
      <c r="L27" s="30">
        <f t="shared" si="50"/>
        <v>0.2575925550234397</v>
      </c>
      <c r="M27" s="30">
        <f t="shared" si="50"/>
        <v>0.24755738399011706</v>
      </c>
      <c r="N27" s="31">
        <f t="shared" si="50"/>
        <v>0.2362572146575439</v>
      </c>
      <c r="O27" s="30">
        <f t="shared" si="50"/>
        <v>0.23878365186577066</v>
      </c>
      <c r="P27" s="30">
        <f t="shared" si="50"/>
        <v>0.24442363533459277</v>
      </c>
      <c r="Q27" s="30">
        <f t="shared" si="50"/>
        <v>0.22826230504910061</v>
      </c>
      <c r="R27" s="31">
        <f t="shared" si="50"/>
        <v>0.25108817107891657</v>
      </c>
      <c r="S27" s="30">
        <f t="shared" si="50"/>
        <v>0.25003644049267537</v>
      </c>
      <c r="T27" s="30">
        <f t="shared" si="50"/>
        <v>0.23702836571113295</v>
      </c>
      <c r="U27" s="30">
        <f t="shared" si="50"/>
        <v>0.21395506415783361</v>
      </c>
      <c r="V27" s="31">
        <f t="shared" ref="V27" si="51">IFERROR((V7/R7)-1,0)</f>
        <v>0.18841375407255656</v>
      </c>
      <c r="W27" s="30">
        <f t="shared" si="50"/>
        <v>0.13982538224962449</v>
      </c>
      <c r="X27" s="30">
        <f t="shared" si="50"/>
        <v>0.13791694511817765</v>
      </c>
      <c r="Y27" s="30">
        <f t="shared" si="50"/>
        <v>0.11967336287042785</v>
      </c>
    </row>
    <row r="28" spans="1:25" s="12" customFormat="1" x14ac:dyDescent="0.15">
      <c r="A28" s="6" t="s">
        <v>42</v>
      </c>
      <c r="B28" s="32"/>
      <c r="C28" s="32"/>
      <c r="D28" s="32"/>
      <c r="E28" s="32"/>
      <c r="F28" s="33">
        <f t="shared" ref="F28:X31" si="52">F10/B10-1</f>
        <v>0.10066864956915955</v>
      </c>
      <c r="G28" s="32">
        <f t="shared" si="52"/>
        <v>0.11745903569866423</v>
      </c>
      <c r="H28" s="32">
        <f t="shared" si="52"/>
        <v>0.13623890972285735</v>
      </c>
      <c r="I28" s="32">
        <f t="shared" si="52"/>
        <v>0.16930897811476808</v>
      </c>
      <c r="J28" s="33">
        <f t="shared" si="52"/>
        <v>0.20182206033625061</v>
      </c>
      <c r="K28" s="32">
        <f t="shared" si="52"/>
        <v>0.28783486175392725</v>
      </c>
      <c r="L28" s="32">
        <f t="shared" si="52"/>
        <v>0.27009458643590278</v>
      </c>
      <c r="M28" s="32">
        <f t="shared" si="52"/>
        <v>0.25665021000663191</v>
      </c>
      <c r="N28" s="33">
        <f t="shared" si="52"/>
        <v>0.22342033906628744</v>
      </c>
      <c r="O28" s="32">
        <f t="shared" si="52"/>
        <v>0.24958834472830738</v>
      </c>
      <c r="P28" s="32">
        <f t="shared" si="52"/>
        <v>0.26430257799749635</v>
      </c>
      <c r="Q28" s="32">
        <f t="shared" si="52"/>
        <v>0.28371797324906023</v>
      </c>
      <c r="R28" s="33">
        <f t="shared" si="52"/>
        <v>0.33221989339648883</v>
      </c>
      <c r="S28" s="32">
        <f t="shared" si="52"/>
        <v>0.27217957490484546</v>
      </c>
      <c r="T28" s="32">
        <f t="shared" si="52"/>
        <v>0.22776890742611355</v>
      </c>
      <c r="U28" s="32">
        <f t="shared" si="52"/>
        <v>0.20157804393712819</v>
      </c>
      <c r="V28" s="33">
        <f t="shared" ref="V28:V30" si="53">V10/R10-1</f>
        <v>0.14497984448074508</v>
      </c>
      <c r="W28" s="32">
        <f t="shared" si="52"/>
        <v>0.11774568344265668</v>
      </c>
      <c r="X28" s="32">
        <f t="shared" si="52"/>
        <v>0.15551000659416481</v>
      </c>
      <c r="Y28" s="32"/>
    </row>
    <row r="29" spans="1:25" s="12" customFormat="1" x14ac:dyDescent="0.15">
      <c r="A29" s="6" t="s">
        <v>43</v>
      </c>
      <c r="B29" s="32"/>
      <c r="C29" s="32"/>
      <c r="D29" s="32"/>
      <c r="E29" s="32"/>
      <c r="F29" s="33">
        <f t="shared" si="52"/>
        <v>0.20917092944204962</v>
      </c>
      <c r="G29" s="32">
        <f t="shared" si="52"/>
        <v>8.3820064730982358E-2</v>
      </c>
      <c r="H29" s="32">
        <f t="shared" si="52"/>
        <v>0.13137423554193894</v>
      </c>
      <c r="I29" s="32">
        <f t="shared" si="52"/>
        <v>0.12134404899970996</v>
      </c>
      <c r="J29" s="33">
        <f t="shared" si="52"/>
        <v>9.5613519734002228E-2</v>
      </c>
      <c r="K29" s="32">
        <f t="shared" si="52"/>
        <v>0.19514076609426745</v>
      </c>
      <c r="L29" s="32">
        <f t="shared" si="52"/>
        <v>0.15208754385046319</v>
      </c>
      <c r="M29" s="32">
        <f t="shared" si="52"/>
        <v>0.15970766116814339</v>
      </c>
      <c r="N29" s="33">
        <f t="shared" si="52"/>
        <v>0.11658725689365879</v>
      </c>
      <c r="O29" s="32">
        <f t="shared" si="52"/>
        <v>0.16835533666728164</v>
      </c>
      <c r="P29" s="32">
        <f t="shared" si="52"/>
        <v>0.21812857098708771</v>
      </c>
      <c r="Q29" s="32">
        <f t="shared" si="52"/>
        <v>0.2603517829522175</v>
      </c>
      <c r="R29" s="33">
        <f t="shared" si="52"/>
        <v>0.34522520599631301</v>
      </c>
      <c r="S29" s="32">
        <f t="shared" si="52"/>
        <v>0.31369126374349099</v>
      </c>
      <c r="T29" s="32">
        <f t="shared" si="52"/>
        <v>0.21225697076784411</v>
      </c>
      <c r="U29" s="32">
        <f t="shared" si="52"/>
        <v>0.10781911431189384</v>
      </c>
      <c r="V29" s="33">
        <f t="shared" si="53"/>
        <v>9.6583827883682805E-2</v>
      </c>
      <c r="W29" s="32">
        <f t="shared" si="52"/>
        <v>6.1339785399686875E-2</v>
      </c>
      <c r="X29" s="32">
        <f t="shared" si="52"/>
        <v>9.8097533712332874E-2</v>
      </c>
      <c r="Y29" s="32"/>
    </row>
    <row r="30" spans="1:25" s="12" customFormat="1" x14ac:dyDescent="0.15">
      <c r="A30" s="6" t="s">
        <v>44</v>
      </c>
      <c r="B30" s="32"/>
      <c r="C30" s="32"/>
      <c r="D30" s="32"/>
      <c r="E30" s="32"/>
      <c r="F30" s="33">
        <f t="shared" si="52"/>
        <v>2.3599076395958152E-2</v>
      </c>
      <c r="G30" s="32">
        <f t="shared" si="52"/>
        <v>5.9296265582546415E-2</v>
      </c>
      <c r="H30" s="32">
        <f t="shared" si="52"/>
        <v>0.18521056877485309</v>
      </c>
      <c r="I30" s="32">
        <f t="shared" si="52"/>
        <v>9.218138812629828E-2</v>
      </c>
      <c r="J30" s="33">
        <f t="shared" si="52"/>
        <v>3.0477230004244626E-2</v>
      </c>
      <c r="K30" s="32">
        <f t="shared" si="52"/>
        <v>0.12176198780534375</v>
      </c>
      <c r="L30" s="32">
        <f t="shared" si="52"/>
        <v>4.9031418658440629E-3</v>
      </c>
      <c r="M30" s="32">
        <f t="shared" si="52"/>
        <v>0.12934633935641782</v>
      </c>
      <c r="N30" s="33">
        <f t="shared" si="52"/>
        <v>0.10386263063741663</v>
      </c>
      <c r="O30" s="32">
        <f t="shared" si="52"/>
        <v>0.10746160261902205</v>
      </c>
      <c r="P30" s="32">
        <f t="shared" si="52"/>
        <v>0.24640052748306651</v>
      </c>
      <c r="Q30" s="32">
        <f t="shared" si="52"/>
        <v>0.30296462738973595</v>
      </c>
      <c r="R30" s="33">
        <f t="shared" si="52"/>
        <v>0.40029106649749968</v>
      </c>
      <c r="S30" s="32">
        <f t="shared" si="52"/>
        <v>0.34413312225586501</v>
      </c>
      <c r="T30" s="32">
        <f t="shared" si="52"/>
        <v>0.26100693960189858</v>
      </c>
      <c r="U30" s="32">
        <f t="shared" si="52"/>
        <v>9.5190531907520581E-2</v>
      </c>
      <c r="V30" s="33">
        <f t="shared" si="53"/>
        <v>0.19158656134005891</v>
      </c>
      <c r="W30" s="32">
        <f t="shared" si="52"/>
        <v>6.2509528891598887E-3</v>
      </c>
      <c r="X30" s="32">
        <f t="shared" si="52"/>
        <v>3.3522748941688052E-2</v>
      </c>
      <c r="Y30" s="32"/>
    </row>
    <row r="31" spans="1:25" x14ac:dyDescent="0.15">
      <c r="A31" s="6" t="s">
        <v>82</v>
      </c>
      <c r="J31" s="35">
        <f t="shared" ref="J31:P31" si="54">J13/F13-1</f>
        <v>0.11209172125586497</v>
      </c>
      <c r="K31" s="34">
        <f t="shared" si="54"/>
        <v>0.20689683490323096</v>
      </c>
      <c r="L31" s="34">
        <f t="shared" si="54"/>
        <v>0.15756311235832832</v>
      </c>
      <c r="M31" s="34">
        <f t="shared" si="54"/>
        <v>0.18138656325747649</v>
      </c>
      <c r="N31" s="35">
        <f t="shared" si="54"/>
        <v>0.14559678461207204</v>
      </c>
      <c r="O31" s="34">
        <f t="shared" si="54"/>
        <v>0.18156438700245348</v>
      </c>
      <c r="P31" s="34">
        <f t="shared" si="54"/>
        <v>0.23680891989950403</v>
      </c>
      <c r="Q31" s="34">
        <f>Q13/M13-1</f>
        <v>0.27470514542293079</v>
      </c>
      <c r="R31" s="35">
        <f>R13/N13-1</f>
        <v>0.35041062836521952</v>
      </c>
      <c r="S31" s="34">
        <f t="shared" si="52"/>
        <v>0.30580272670731801</v>
      </c>
      <c r="T31" s="34">
        <f t="shared" si="52"/>
        <v>0.22504146508397183</v>
      </c>
      <c r="U31" s="34">
        <f t="shared" si="52"/>
        <v>0.13374465092163734</v>
      </c>
      <c r="V31" s="35">
        <f>V13/R13-1</f>
        <v>0.12802635154391151</v>
      </c>
      <c r="W31" s="34">
        <f t="shared" si="52"/>
        <v>6.9148115130304388E-2</v>
      </c>
      <c r="X31" s="34">
        <f t="shared" si="52"/>
        <v>0.10525067583937364</v>
      </c>
      <c r="Y31" s="34"/>
    </row>
    <row r="32" spans="1:25" x14ac:dyDescent="0.15">
      <c r="J32" s="46"/>
      <c r="K32" s="45"/>
      <c r="L32" s="45"/>
      <c r="M32" s="45"/>
      <c r="N32" s="46"/>
      <c r="O32" s="45"/>
      <c r="P32" s="45"/>
      <c r="Q32" s="45"/>
      <c r="S32" s="45"/>
    </row>
    <row r="33" spans="1:25" s="17" customFormat="1" x14ac:dyDescent="0.15">
      <c r="A33" s="17" t="s">
        <v>26</v>
      </c>
      <c r="B33" s="23"/>
      <c r="C33" s="23"/>
      <c r="D33" s="23"/>
      <c r="E33" s="24">
        <f>E34-E35</f>
        <v>2080.8530000000001</v>
      </c>
      <c r="F33" s="22"/>
      <c r="G33" s="23"/>
      <c r="H33" s="23"/>
      <c r="I33" s="24">
        <f t="shared" ref="I33" si="55">I34-I35</f>
        <v>2859.232</v>
      </c>
      <c r="J33" s="22"/>
      <c r="K33" s="23"/>
      <c r="L33" s="23"/>
      <c r="M33" s="24">
        <f t="shared" ref="M33:P33" si="56">M34-M35</f>
        <v>3938.3530000000001</v>
      </c>
      <c r="N33" s="25">
        <f t="shared" si="56"/>
        <v>4273.1760000000004</v>
      </c>
      <c r="O33" s="24">
        <f t="shared" si="56"/>
        <v>4460.0070000000005</v>
      </c>
      <c r="P33" s="24">
        <f t="shared" si="56"/>
        <v>3069.8160000000003</v>
      </c>
      <c r="Q33" s="24">
        <f t="shared" ref="Q33:S33" si="57">Q34-Q35</f>
        <v>-895.83800000000019</v>
      </c>
      <c r="R33" s="25">
        <f t="shared" si="57"/>
        <v>-903.33000000000038</v>
      </c>
      <c r="S33" s="24">
        <f t="shared" si="57"/>
        <v>-654.62699999999995</v>
      </c>
      <c r="T33" s="24">
        <f t="shared" ref="T33" si="58">T34-T35</f>
        <v>-486.22799999999961</v>
      </c>
      <c r="U33" s="24">
        <f t="shared" ref="U33" si="59">U34-U35</f>
        <v>38.709000000000742</v>
      </c>
      <c r="V33" s="25">
        <f t="shared" ref="V33:X33" si="60">V34-V35</f>
        <v>58</v>
      </c>
      <c r="W33" s="24">
        <f t="shared" si="60"/>
        <v>237</v>
      </c>
      <c r="X33" s="24">
        <f t="shared" si="60"/>
        <v>1148</v>
      </c>
      <c r="Y33" s="47"/>
    </row>
    <row r="34" spans="1:25" s="8" customFormat="1" x14ac:dyDescent="0.15">
      <c r="A34" s="8" t="s">
        <v>27</v>
      </c>
      <c r="B34" s="23"/>
      <c r="C34" s="23"/>
      <c r="D34" s="23"/>
      <c r="E34" s="23">
        <f>876.56+3111.524</f>
        <v>3988.0839999999998</v>
      </c>
      <c r="F34" s="22"/>
      <c r="G34" s="23"/>
      <c r="H34" s="23"/>
      <c r="I34" s="23">
        <f>1011.315+3749.985</f>
        <v>4761.3</v>
      </c>
      <c r="J34" s="22"/>
      <c r="K34" s="23"/>
      <c r="L34" s="23"/>
      <c r="M34" s="23">
        <f>2306.072+3513.702</f>
        <v>5819.7740000000003</v>
      </c>
      <c r="N34" s="22">
        <f>2666.981+3480.989</f>
        <v>6147.97</v>
      </c>
      <c r="O34" s="23">
        <f>2987.986+3346.078</f>
        <v>6334.0640000000003</v>
      </c>
      <c r="P34" s="23">
        <f>1747.144+3197.326</f>
        <v>4944.47</v>
      </c>
      <c r="Q34" s="23">
        <f>1642.775+1586.187</f>
        <v>3228.962</v>
      </c>
      <c r="R34" s="22">
        <f>1738.846+1487.411</f>
        <v>3226.2570000000001</v>
      </c>
      <c r="S34" s="23">
        <f>2082.91+1396.069</f>
        <v>3478.9789999999998</v>
      </c>
      <c r="T34" s="23">
        <f>2209.047+1441.741</f>
        <v>3650.788</v>
      </c>
      <c r="U34" s="23">
        <f>2650.221+1526.755</f>
        <v>4176.9760000000006</v>
      </c>
      <c r="V34" s="22">
        <f>2688+1483</f>
        <v>4171</v>
      </c>
      <c r="W34" s="23">
        <f>3044+1307</f>
        <v>4351</v>
      </c>
      <c r="X34" s="23">
        <f>3767+1497</f>
        <v>5264</v>
      </c>
      <c r="Y34" s="23"/>
    </row>
    <row r="35" spans="1:25" s="8" customFormat="1" x14ac:dyDescent="0.15">
      <c r="A35" s="8" t="s">
        <v>28</v>
      </c>
      <c r="B35" s="23"/>
      <c r="C35" s="23"/>
      <c r="D35" s="23"/>
      <c r="E35" s="23">
        <v>1907.231</v>
      </c>
      <c r="F35" s="22"/>
      <c r="G35" s="23"/>
      <c r="H35" s="23"/>
      <c r="I35" s="23">
        <v>1902.068</v>
      </c>
      <c r="J35" s="22"/>
      <c r="K35" s="23"/>
      <c r="L35" s="23"/>
      <c r="M35" s="23">
        <v>1881.421</v>
      </c>
      <c r="N35" s="22">
        <v>1874.7940000000001</v>
      </c>
      <c r="O35" s="23">
        <v>1874.057</v>
      </c>
      <c r="P35" s="23">
        <v>1874.654</v>
      </c>
      <c r="Q35" s="23">
        <v>4124.8</v>
      </c>
      <c r="R35" s="22">
        <f>892.754+3236.833</f>
        <v>4129.5870000000004</v>
      </c>
      <c r="S35" s="23">
        <f>3145.668+987.938</f>
        <v>4133.6059999999998</v>
      </c>
      <c r="T35" s="23">
        <f>3148.587+988.429</f>
        <v>4137.0159999999996</v>
      </c>
      <c r="U35" s="23">
        <f>3149.343+988.924</f>
        <v>4138.2669999999998</v>
      </c>
      <c r="V35" s="22">
        <v>4113</v>
      </c>
      <c r="W35" s="23">
        <v>4114</v>
      </c>
      <c r="X35" s="23">
        <v>4116</v>
      </c>
      <c r="Y35" s="23"/>
    </row>
    <row r="36" spans="1:25" s="8" customFormat="1" x14ac:dyDescent="0.15">
      <c r="B36" s="23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  <c r="R36" s="22"/>
      <c r="S36" s="23"/>
      <c r="T36" s="23"/>
      <c r="U36" s="23"/>
      <c r="V36" s="22"/>
      <c r="W36" s="23"/>
      <c r="X36" s="23"/>
      <c r="Y36" s="23"/>
    </row>
    <row r="37" spans="1:25" s="8" customFormat="1" x14ac:dyDescent="0.15">
      <c r="A37" s="68" t="s">
        <v>56</v>
      </c>
      <c r="B37" s="23"/>
      <c r="C37" s="23"/>
      <c r="D37" s="23"/>
      <c r="E37" s="38">
        <f>5366.881+510.007</f>
        <v>5876.8879999999999</v>
      </c>
      <c r="F37" s="22"/>
      <c r="G37" s="23"/>
      <c r="H37" s="23"/>
      <c r="I37" s="38">
        <f>5406.474+414.405</f>
        <v>5820.8789999999999</v>
      </c>
      <c r="J37" s="22"/>
      <c r="K37" s="23"/>
      <c r="L37" s="23"/>
      <c r="M37" s="38">
        <f>5821.561+385.658</f>
        <v>6207.2190000000001</v>
      </c>
      <c r="N37" s="22">
        <f>5843.899+353.74</f>
        <v>6197.6390000000001</v>
      </c>
      <c r="O37" s="23">
        <f>5823.792+320.478</f>
        <v>6144.27</v>
      </c>
      <c r="P37" s="23">
        <f>7136.853+669.476</f>
        <v>7806.3289999999997</v>
      </c>
      <c r="Q37" s="23">
        <f>10581.048+2069.001</f>
        <v>12650.049000000001</v>
      </c>
      <c r="R37" s="22">
        <f>10707.715+2017.103</f>
        <v>12724.817999999999</v>
      </c>
      <c r="S37" s="23">
        <f>10697.874+1917.149</f>
        <v>12615.022999999999</v>
      </c>
      <c r="T37" s="23">
        <f>10688.068+1815.625</f>
        <v>12503.692999999999</v>
      </c>
      <c r="U37" s="23">
        <f>10691.199+1720.565</f>
        <v>12411.764000000001</v>
      </c>
      <c r="V37" s="22">
        <f>10691+1626</f>
        <v>12317</v>
      </c>
      <c r="W37" s="23">
        <f>10695+1535</f>
        <v>12230</v>
      </c>
      <c r="X37" s="23">
        <f>10739+1445</f>
        <v>12184</v>
      </c>
      <c r="Y37" s="23"/>
    </row>
    <row r="38" spans="1:25" s="8" customFormat="1" x14ac:dyDescent="0.15">
      <c r="A38" s="68" t="s">
        <v>57</v>
      </c>
      <c r="B38" s="23"/>
      <c r="C38" s="23"/>
      <c r="D38" s="23"/>
      <c r="E38" s="38">
        <v>11726.472</v>
      </c>
      <c r="F38" s="22"/>
      <c r="G38" s="23"/>
      <c r="H38" s="23"/>
      <c r="I38" s="38">
        <v>12707.114</v>
      </c>
      <c r="J38" s="22"/>
      <c r="K38" s="23"/>
      <c r="L38" s="23"/>
      <c r="M38" s="38">
        <v>14535.556</v>
      </c>
      <c r="N38" s="22">
        <v>14973.485000000001</v>
      </c>
      <c r="O38" s="23">
        <v>15163.404</v>
      </c>
      <c r="P38" s="23">
        <v>15395.62</v>
      </c>
      <c r="Q38" s="23">
        <v>18768.682000000001</v>
      </c>
      <c r="R38" s="22">
        <v>19505.536</v>
      </c>
      <c r="S38" s="23">
        <v>19665.909</v>
      </c>
      <c r="T38" s="23">
        <v>20054.88</v>
      </c>
      <c r="U38" s="23">
        <v>20762.400000000001</v>
      </c>
      <c r="V38" s="22">
        <v>21214</v>
      </c>
      <c r="W38" s="23">
        <v>21603</v>
      </c>
      <c r="X38" s="23">
        <v>22414</v>
      </c>
      <c r="Y38" s="23"/>
    </row>
    <row r="39" spans="1:25" s="8" customFormat="1" x14ac:dyDescent="0.15">
      <c r="A39" s="68" t="s">
        <v>58</v>
      </c>
      <c r="B39" s="23"/>
      <c r="C39" s="23"/>
      <c r="D39" s="23"/>
      <c r="E39" s="38">
        <v>4724.8919999999998</v>
      </c>
      <c r="F39" s="22"/>
      <c r="G39" s="23"/>
      <c r="H39" s="23"/>
      <c r="I39" s="38">
        <v>5282.2790000000005</v>
      </c>
      <c r="J39" s="22"/>
      <c r="K39" s="23"/>
      <c r="L39" s="23"/>
      <c r="M39" s="38">
        <v>6075.6869999999999</v>
      </c>
      <c r="N39" s="22">
        <v>6339.4570000000003</v>
      </c>
      <c r="O39" s="23">
        <v>6457.8209999999999</v>
      </c>
      <c r="P39" s="23">
        <v>6533.6949999999997</v>
      </c>
      <c r="Q39" s="23">
        <v>9406.5679999999993</v>
      </c>
      <c r="R39" s="22">
        <v>9634.0509999999995</v>
      </c>
      <c r="S39" s="23">
        <v>9734.2160000000003</v>
      </c>
      <c r="T39" s="23">
        <v>9812.107</v>
      </c>
      <c r="U39" s="23">
        <v>10232.245000000001</v>
      </c>
      <c r="V39" s="22">
        <v>10749</v>
      </c>
      <c r="W39" s="23">
        <v>10722</v>
      </c>
      <c r="X39" s="23">
        <v>10701</v>
      </c>
      <c r="Y39" s="23"/>
    </row>
    <row r="40" spans="1:25" s="8" customFormat="1" x14ac:dyDescent="0.15">
      <c r="B40" s="23"/>
      <c r="C40" s="23"/>
      <c r="D40" s="23"/>
      <c r="E40" s="38"/>
      <c r="F40" s="22"/>
      <c r="G40" s="23"/>
      <c r="H40" s="23"/>
      <c r="I40" s="38"/>
      <c r="J40" s="22"/>
      <c r="K40" s="23"/>
      <c r="L40" s="23"/>
      <c r="M40" s="38"/>
      <c r="N40" s="22"/>
      <c r="O40" s="23"/>
      <c r="P40" s="23"/>
      <c r="Q40" s="23"/>
      <c r="R40" s="22"/>
      <c r="S40" s="23"/>
      <c r="T40" s="23"/>
      <c r="U40" s="23"/>
      <c r="V40" s="22"/>
      <c r="W40" s="23"/>
      <c r="X40" s="23"/>
      <c r="Y40" s="23"/>
    </row>
    <row r="41" spans="1:25" s="8" customFormat="1" x14ac:dyDescent="0.15">
      <c r="A41" s="68" t="s">
        <v>59</v>
      </c>
      <c r="B41" s="23"/>
      <c r="C41" s="23"/>
      <c r="D41" s="23"/>
      <c r="E41" s="27">
        <f>E38-E34-E37</f>
        <v>1861.5</v>
      </c>
      <c r="F41" s="22"/>
      <c r="G41" s="23"/>
      <c r="H41" s="23"/>
      <c r="I41" s="27">
        <f t="shared" ref="I41:O41" si="61">I38-I34-I37</f>
        <v>2124.9349999999995</v>
      </c>
      <c r="J41" s="22"/>
      <c r="K41" s="23"/>
      <c r="L41" s="23"/>
      <c r="M41" s="27">
        <f t="shared" si="61"/>
        <v>2508.5629999999992</v>
      </c>
      <c r="N41" s="28">
        <f t="shared" si="61"/>
        <v>2627.8759999999993</v>
      </c>
      <c r="O41" s="27">
        <f t="shared" si="61"/>
        <v>2685.0699999999997</v>
      </c>
      <c r="P41" s="27">
        <f t="shared" ref="P41:V41" si="62">P38-P34-P37</f>
        <v>2644.8210000000017</v>
      </c>
      <c r="Q41" s="27">
        <f t="shared" si="62"/>
        <v>2889.6710000000003</v>
      </c>
      <c r="R41" s="28">
        <f t="shared" si="62"/>
        <v>3554.4610000000011</v>
      </c>
      <c r="S41" s="27">
        <f t="shared" si="62"/>
        <v>3571.9070000000011</v>
      </c>
      <c r="T41" s="27">
        <f t="shared" si="62"/>
        <v>3900.3990000000013</v>
      </c>
      <c r="U41" s="27">
        <f t="shared" si="62"/>
        <v>4173.659999999998</v>
      </c>
      <c r="V41" s="28">
        <f t="shared" si="62"/>
        <v>4726</v>
      </c>
      <c r="W41" s="27">
        <f t="shared" ref="W41:X41" si="63">W38-W34-W37</f>
        <v>5022</v>
      </c>
      <c r="X41" s="27">
        <f t="shared" si="63"/>
        <v>4966</v>
      </c>
      <c r="Y41" s="23"/>
    </row>
    <row r="42" spans="1:25" s="8" customFormat="1" x14ac:dyDescent="0.15">
      <c r="A42" s="68" t="s">
        <v>60</v>
      </c>
      <c r="B42" s="23"/>
      <c r="C42" s="23"/>
      <c r="D42" s="23"/>
      <c r="E42" s="27">
        <f>E38-E39</f>
        <v>7001.58</v>
      </c>
      <c r="F42" s="22"/>
      <c r="G42" s="23"/>
      <c r="H42" s="23"/>
      <c r="I42" s="27">
        <f>I38-I39</f>
        <v>7424.8349999999991</v>
      </c>
      <c r="J42" s="22"/>
      <c r="K42" s="23"/>
      <c r="L42" s="23"/>
      <c r="M42" s="27">
        <f t="shared" ref="M42:P42" si="64">M38-M39</f>
        <v>8459.8690000000006</v>
      </c>
      <c r="N42" s="28">
        <f t="shared" si="64"/>
        <v>8634.0280000000002</v>
      </c>
      <c r="O42" s="27">
        <f t="shared" si="64"/>
        <v>8705.5830000000005</v>
      </c>
      <c r="P42" s="27">
        <f t="shared" si="64"/>
        <v>8861.9250000000011</v>
      </c>
      <c r="Q42" s="27">
        <f t="shared" ref="Q42:S42" si="65">Q38-Q39</f>
        <v>9362.1140000000014</v>
      </c>
      <c r="R42" s="28">
        <f t="shared" si="65"/>
        <v>9871.4850000000006</v>
      </c>
      <c r="S42" s="27">
        <f t="shared" si="65"/>
        <v>9931.6929999999993</v>
      </c>
      <c r="T42" s="27">
        <f>T38-T39</f>
        <v>10242.773000000001</v>
      </c>
      <c r="U42" s="27">
        <f>U38-U39</f>
        <v>10530.155000000001</v>
      </c>
      <c r="V42" s="28">
        <f t="shared" ref="V42" si="66">V38-V39</f>
        <v>10465</v>
      </c>
      <c r="W42" s="27">
        <f>W38-W39</f>
        <v>10881</v>
      </c>
      <c r="X42" s="27">
        <f>X38-X39</f>
        <v>11713</v>
      </c>
      <c r="Y42" s="23"/>
    </row>
    <row r="43" spans="1:25" s="8" customFormat="1" x14ac:dyDescent="0.15">
      <c r="B43" s="23"/>
      <c r="C43" s="23"/>
      <c r="D43" s="23"/>
      <c r="E43" s="38"/>
      <c r="F43" s="22"/>
      <c r="G43" s="23"/>
      <c r="H43" s="23"/>
      <c r="I43" s="38"/>
      <c r="J43" s="22"/>
      <c r="K43" s="23"/>
      <c r="L43" s="23"/>
      <c r="M43" s="38"/>
      <c r="N43" s="22"/>
      <c r="O43" s="23"/>
      <c r="P43" s="23"/>
      <c r="Q43" s="23"/>
      <c r="R43" s="22"/>
      <c r="S43" s="23"/>
      <c r="T43" s="23"/>
      <c r="U43" s="23"/>
      <c r="V43" s="22"/>
      <c r="W43" s="23"/>
      <c r="X43" s="23"/>
      <c r="Y43" s="23"/>
    </row>
    <row r="44" spans="1:25" s="17" customFormat="1" x14ac:dyDescent="0.15">
      <c r="A44" s="69" t="s">
        <v>61</v>
      </c>
      <c r="B44" s="47"/>
      <c r="C44" s="47"/>
      <c r="D44" s="47"/>
      <c r="E44" s="24">
        <f>SUM(B19:E19)</f>
        <v>629.5509999999997</v>
      </c>
      <c r="F44" s="22"/>
      <c r="G44" s="23"/>
      <c r="H44" s="23"/>
      <c r="I44" s="24">
        <f>SUM(F19:I19)</f>
        <v>1168.7819999999999</v>
      </c>
      <c r="J44" s="22"/>
      <c r="K44" s="23"/>
      <c r="L44" s="23"/>
      <c r="M44" s="24">
        <f t="shared" ref="M44:U44" si="67">SUM(J19:M19)</f>
        <v>1693.9540000000002</v>
      </c>
      <c r="N44" s="25">
        <f t="shared" si="67"/>
        <v>1878.5840000000003</v>
      </c>
      <c r="O44" s="24">
        <f t="shared" si="67"/>
        <v>2167.3610000000003</v>
      </c>
      <c r="P44" s="24">
        <f t="shared" si="67"/>
        <v>2414.0830000000001</v>
      </c>
      <c r="Q44" s="24">
        <f t="shared" si="67"/>
        <v>2590.7740000000003</v>
      </c>
      <c r="R44" s="25">
        <f t="shared" si="67"/>
        <v>2681.9390000000008</v>
      </c>
      <c r="S44" s="24">
        <f t="shared" si="67"/>
        <v>2651.3650000000016</v>
      </c>
      <c r="T44" s="24">
        <f t="shared" si="67"/>
        <v>2777.8370000000004</v>
      </c>
      <c r="U44" s="24">
        <f t="shared" si="67"/>
        <v>2951.458000000001</v>
      </c>
      <c r="V44" s="25">
        <f t="shared" ref="V44" si="68">SUM(S19:V19)</f>
        <v>3232.2170000000006</v>
      </c>
      <c r="W44" s="24">
        <f>SUM(T19:W19)</f>
        <v>3699.6239999999998</v>
      </c>
      <c r="X44" s="24">
        <f>SUM(U19:X19)</f>
        <v>3861.8610000000003</v>
      </c>
      <c r="Y44" s="47"/>
    </row>
    <row r="45" spans="1:25" x14ac:dyDescent="0.15">
      <c r="A45" s="18" t="s">
        <v>62</v>
      </c>
      <c r="E45" s="34">
        <f>E19/E42</f>
        <v>3.1807820520511045E-2</v>
      </c>
      <c r="I45" s="34">
        <f t="shared" ref="I45:O45" si="69">I44/I42</f>
        <v>0.15741521528761246</v>
      </c>
      <c r="J45" s="22"/>
      <c r="K45" s="23"/>
      <c r="L45" s="23"/>
      <c r="M45" s="34">
        <f t="shared" si="69"/>
        <v>0.2002340698183388</v>
      </c>
      <c r="N45" s="35">
        <f t="shared" si="69"/>
        <v>0.21757909518014074</v>
      </c>
      <c r="O45" s="34">
        <f t="shared" si="69"/>
        <v>0.2489621889768899</v>
      </c>
      <c r="P45" s="34">
        <f t="shared" ref="P45:V45" si="70">P44/P42</f>
        <v>0.27241067826685511</v>
      </c>
      <c r="Q45" s="34">
        <f t="shared" si="70"/>
        <v>0.27672959333757313</v>
      </c>
      <c r="R45" s="35">
        <f t="shared" si="70"/>
        <v>0.27168546576325653</v>
      </c>
      <c r="S45" s="34">
        <f t="shared" si="70"/>
        <v>0.2669600238348086</v>
      </c>
      <c r="T45" s="34">
        <f t="shared" si="70"/>
        <v>0.2711997034396838</v>
      </c>
      <c r="U45" s="34">
        <f t="shared" si="70"/>
        <v>0.28028628258558402</v>
      </c>
      <c r="V45" s="35">
        <f t="shared" si="70"/>
        <v>0.30885972288580987</v>
      </c>
      <c r="W45" s="34">
        <f t="shared" ref="W45:X45" si="71">W44/W42</f>
        <v>0.34000771987868761</v>
      </c>
      <c r="X45" s="34">
        <f t="shared" si="71"/>
        <v>0.32970724835652698</v>
      </c>
    </row>
    <row r="46" spans="1:25" x14ac:dyDescent="0.15">
      <c r="A46" s="18" t="s">
        <v>63</v>
      </c>
      <c r="E46" s="34">
        <f>E19/E38</f>
        <v>1.899164556910209E-2</v>
      </c>
      <c r="I46" s="34">
        <f t="shared" ref="I46:O46" si="72">I44/I38</f>
        <v>9.1978556263837719E-2</v>
      </c>
      <c r="J46" s="22"/>
      <c r="K46" s="23"/>
      <c r="L46" s="23"/>
      <c r="M46" s="34">
        <f t="shared" si="72"/>
        <v>0.11653864496136233</v>
      </c>
      <c r="N46" s="35">
        <f t="shared" si="72"/>
        <v>0.12546070604137916</v>
      </c>
      <c r="O46" s="34">
        <f t="shared" si="72"/>
        <v>0.14293367109390478</v>
      </c>
      <c r="P46" s="34">
        <f t="shared" ref="P46:V46" si="73">P44/P38</f>
        <v>0.15680323364697232</v>
      </c>
      <c r="Q46" s="34">
        <f t="shared" si="73"/>
        <v>0.13803707687092787</v>
      </c>
      <c r="R46" s="35">
        <f t="shared" si="73"/>
        <v>0.1374962984867476</v>
      </c>
      <c r="S46" s="34">
        <f t="shared" si="73"/>
        <v>0.13482036350315674</v>
      </c>
      <c r="T46" s="34">
        <f t="shared" si="73"/>
        <v>0.13851177369298645</v>
      </c>
      <c r="U46" s="34">
        <f t="shared" si="73"/>
        <v>0.142153989904828</v>
      </c>
      <c r="V46" s="35">
        <f t="shared" si="73"/>
        <v>0.15236244932591686</v>
      </c>
      <c r="W46" s="34">
        <f t="shared" ref="W46:X46" si="74">W44/W38</f>
        <v>0.17125510345785305</v>
      </c>
      <c r="X46" s="34">
        <f t="shared" si="74"/>
        <v>0.17229682341393773</v>
      </c>
    </row>
    <row r="47" spans="1:25" x14ac:dyDescent="0.15">
      <c r="A47" s="18" t="s">
        <v>64</v>
      </c>
      <c r="E47" s="34">
        <f>E19/(E42-E37)</f>
        <v>0.19801421189089963</v>
      </c>
      <c r="I47" s="34">
        <f t="shared" ref="I47:O47" si="75">I44/(I42-I37)</f>
        <v>0.72868707121641774</v>
      </c>
      <c r="J47" s="22"/>
      <c r="K47" s="23"/>
      <c r="L47" s="23"/>
      <c r="M47" s="34">
        <f t="shared" si="75"/>
        <v>0.75198277584178619</v>
      </c>
      <c r="N47" s="35">
        <f t="shared" si="75"/>
        <v>0.77105257001242422</v>
      </c>
      <c r="O47" s="34">
        <f t="shared" si="75"/>
        <v>0.84619138699565433</v>
      </c>
      <c r="P47" s="34">
        <f t="shared" ref="P47:V47" si="76">P44/(P42-P37)</f>
        <v>2.2869383741507137</v>
      </c>
      <c r="Q47" s="34">
        <f t="shared" si="76"/>
        <v>-0.78796387398169387</v>
      </c>
      <c r="R47" s="35">
        <f t="shared" si="76"/>
        <v>-0.9399320023285056</v>
      </c>
      <c r="S47" s="34">
        <f t="shared" si="76"/>
        <v>-0.98808756284169363</v>
      </c>
      <c r="T47" s="34">
        <f t="shared" si="76"/>
        <v>-1.2286312651487017</v>
      </c>
      <c r="U47" s="34">
        <f t="shared" si="76"/>
        <v>-1.5685819955155405</v>
      </c>
      <c r="V47" s="35">
        <f t="shared" si="76"/>
        <v>-1.7452575593952486</v>
      </c>
      <c r="W47" s="34">
        <f t="shared" ref="W47:X47" si="77">W44/(W42-W37)</f>
        <v>-2.7424936990363231</v>
      </c>
      <c r="X47" s="34">
        <f t="shared" si="77"/>
        <v>-8.1992802547770705</v>
      </c>
    </row>
    <row r="48" spans="1:25" x14ac:dyDescent="0.15">
      <c r="A48" s="18" t="s">
        <v>65</v>
      </c>
      <c r="E48" s="34">
        <f>E19/E41</f>
        <v>0.11963738920225608</v>
      </c>
      <c r="I48" s="34">
        <f t="shared" ref="I48:O48" si="78">I44/I41</f>
        <v>0.55003188332819597</v>
      </c>
      <c r="J48" s="22"/>
      <c r="K48" s="23"/>
      <c r="L48" s="23"/>
      <c r="M48" s="34">
        <f t="shared" si="78"/>
        <v>0.67526866975236444</v>
      </c>
      <c r="N48" s="35">
        <f t="shared" si="78"/>
        <v>0.71486782481365208</v>
      </c>
      <c r="O48" s="34">
        <f t="shared" si="78"/>
        <v>0.80718975669163207</v>
      </c>
      <c r="P48" s="34">
        <f t="shared" ref="P48:V48" si="79">P44/P41</f>
        <v>0.91275855719536347</v>
      </c>
      <c r="Q48" s="34">
        <f t="shared" si="79"/>
        <v>0.89656365724679388</v>
      </c>
      <c r="R48" s="35">
        <f t="shared" si="79"/>
        <v>0.75452762036213084</v>
      </c>
      <c r="S48" s="34">
        <f t="shared" si="79"/>
        <v>0.74228276380096148</v>
      </c>
      <c r="T48" s="34">
        <f t="shared" si="79"/>
        <v>0.71219303461004879</v>
      </c>
      <c r="U48" s="34">
        <f t="shared" si="79"/>
        <v>0.70716301759127542</v>
      </c>
      <c r="V48" s="35">
        <f t="shared" si="79"/>
        <v>0.68392234447735945</v>
      </c>
      <c r="W48" s="34">
        <f t="shared" ref="W48:X48" si="80">W44/W41</f>
        <v>0.7366833930704898</v>
      </c>
      <c r="X48" s="34">
        <f t="shared" si="80"/>
        <v>0.77766028997180836</v>
      </c>
    </row>
    <row r="50" spans="1:25" x14ac:dyDescent="0.15">
      <c r="A50" s="6" t="s">
        <v>76</v>
      </c>
      <c r="F50" s="35">
        <f t="shared" ref="F50:X52" si="81">F3/B3-1</f>
        <v>0.50012194404030041</v>
      </c>
      <c r="G50" s="34">
        <f t="shared" si="81"/>
        <v>0.40020646981832475</v>
      </c>
      <c r="H50" s="34">
        <f t="shared" si="81"/>
        <v>0.40954207450561775</v>
      </c>
      <c r="I50" s="34">
        <f t="shared" si="81"/>
        <v>0.39103560148727068</v>
      </c>
      <c r="J50" s="35">
        <f t="shared" si="81"/>
        <v>0.29302125671572066</v>
      </c>
      <c r="K50" s="34">
        <f t="shared" si="81"/>
        <v>0.36908650669737608</v>
      </c>
      <c r="L50" s="34">
        <f t="shared" si="81"/>
        <v>0.34377315801273656</v>
      </c>
      <c r="M50" s="34">
        <f t="shared" si="81"/>
        <v>0.34359762111682679</v>
      </c>
      <c r="N50" s="35">
        <f t="shared" si="81"/>
        <v>0.29591373668936649</v>
      </c>
      <c r="O50" s="34">
        <f t="shared" si="81"/>
        <v>0.29618114296113074</v>
      </c>
      <c r="P50" s="34">
        <f t="shared" si="81"/>
        <v>0.28730730238624091</v>
      </c>
      <c r="Q50" s="34">
        <f t="shared" si="81"/>
        <v>0.28783888084047793</v>
      </c>
      <c r="R50" s="35">
        <f t="shared" si="81"/>
        <v>0.28527990507193768</v>
      </c>
      <c r="S50" s="34">
        <f t="shared" si="81"/>
        <v>0.2771345269771015</v>
      </c>
      <c r="T50" s="34">
        <f t="shared" si="81"/>
        <v>0.25974014410055868</v>
      </c>
      <c r="U50" s="34">
        <f t="shared" si="81"/>
        <v>0.23014406466931425</v>
      </c>
      <c r="V50" s="35">
        <f t="shared" ref="V50:V52" si="82">V3/R3-1</f>
        <v>0.22561407603666339</v>
      </c>
      <c r="W50" s="34">
        <f t="shared" si="81"/>
        <v>0.17014922456238479</v>
      </c>
      <c r="X50" s="34">
        <f t="shared" si="81"/>
        <v>0.17805472535421174</v>
      </c>
      <c r="Y50" s="34"/>
    </row>
    <row r="51" spans="1:25" x14ac:dyDescent="0.15">
      <c r="A51" s="6" t="s">
        <v>77</v>
      </c>
      <c r="F51" s="35">
        <f t="shared" si="81"/>
        <v>-0.30835631796515506</v>
      </c>
      <c r="G51" s="34">
        <f t="shared" si="81"/>
        <v>-0.284252088964005</v>
      </c>
      <c r="H51" s="34">
        <f t="shared" si="81"/>
        <v>-0.34277143002418853</v>
      </c>
      <c r="I51" s="34">
        <f t="shared" si="81"/>
        <v>-0.21993279343119054</v>
      </c>
      <c r="J51" s="35">
        <f t="shared" si="81"/>
        <v>-8.8144914276621966E-2</v>
      </c>
      <c r="K51" s="34">
        <f t="shared" si="81"/>
        <v>-0.12699745547073793</v>
      </c>
      <c r="L51" s="34">
        <f t="shared" si="81"/>
        <v>-0.1215683023872679</v>
      </c>
      <c r="M51" s="34">
        <f t="shared" si="81"/>
        <v>-0.13089948901886206</v>
      </c>
      <c r="N51" s="35">
        <f t="shared" si="81"/>
        <v>-6.4220083431033026E-2</v>
      </c>
      <c r="O51" s="34">
        <f t="shared" si="81"/>
        <v>-0.11980529890116287</v>
      </c>
      <c r="P51" s="34">
        <f t="shared" si="81"/>
        <v>-6.1864230849076218E-2</v>
      </c>
      <c r="Q51" s="34">
        <f t="shared" si="81"/>
        <v>-0.22009477591820648</v>
      </c>
      <c r="R51" s="35">
        <f t="shared" si="81"/>
        <v>-6.1419048063027226E-3</v>
      </c>
      <c r="S51" s="34">
        <f t="shared" si="81"/>
        <v>1.2073407376500978E-2</v>
      </c>
      <c r="T51" s="34">
        <f t="shared" si="81"/>
        <v>5.4946455034970088E-2</v>
      </c>
      <c r="U51" s="34">
        <f t="shared" si="81"/>
        <v>0.11083264085092237</v>
      </c>
      <c r="V51" s="35">
        <f t="shared" si="82"/>
        <v>-0.16155587086787759</v>
      </c>
      <c r="W51" s="34">
        <f t="shared" si="81"/>
        <v>-0.16239137263113812</v>
      </c>
      <c r="X51" s="34">
        <f t="shared" si="81"/>
        <v>-0.30714907736411545</v>
      </c>
      <c r="Y51" s="34"/>
    </row>
    <row r="52" spans="1:25" x14ac:dyDescent="0.15">
      <c r="A52" s="6" t="s">
        <v>78</v>
      </c>
      <c r="F52" s="35">
        <f t="shared" si="81"/>
        <v>6.6765112180250608E-2</v>
      </c>
      <c r="G52" s="34">
        <f t="shared" si="81"/>
        <v>4.2619460306008605E-2</v>
      </c>
      <c r="H52" s="34">
        <f t="shared" si="81"/>
        <v>9.1739072906100727E-3</v>
      </c>
      <c r="I52" s="34">
        <f t="shared" si="81"/>
        <v>8.5137236403026062E-2</v>
      </c>
      <c r="J52" s="35">
        <f t="shared" si="81"/>
        <v>2.1719521670402697E-2</v>
      </c>
      <c r="K52" s="34">
        <f t="shared" si="81"/>
        <v>-1.3046303406722415E-2</v>
      </c>
      <c r="L52" s="34">
        <f t="shared" si="81"/>
        <v>-2.2971023993706541E-2</v>
      </c>
      <c r="M52" s="34">
        <f t="shared" si="81"/>
        <v>-5.2229914667525357E-2</v>
      </c>
      <c r="N52" s="35">
        <f t="shared" si="81"/>
        <v>-3.7061317250121073E-3</v>
      </c>
      <c r="O52" s="34">
        <f t="shared" si="81"/>
        <v>3.6603821982813978E-2</v>
      </c>
      <c r="P52" s="34">
        <f t="shared" si="81"/>
        <v>7.7538312890845118E-2</v>
      </c>
      <c r="Q52" s="34">
        <f t="shared" si="81"/>
        <v>0.10455950803519865</v>
      </c>
      <c r="R52" s="35">
        <f t="shared" si="81"/>
        <v>0.10040269869539653</v>
      </c>
      <c r="S52" s="34">
        <f t="shared" si="81"/>
        <v>0.11655778811574113</v>
      </c>
      <c r="T52" s="34">
        <f t="shared" si="81"/>
        <v>8.1282587758626512E-2</v>
      </c>
      <c r="U52" s="34">
        <f t="shared" si="81"/>
        <v>6.1334030543978013E-2</v>
      </c>
      <c r="V52" s="35">
        <f t="shared" si="82"/>
        <v>-1.9334263504086069E-2</v>
      </c>
      <c r="W52" s="34">
        <f t="shared" si="81"/>
        <v>-6.9197071664438115E-2</v>
      </c>
      <c r="X52" s="34">
        <f t="shared" si="81"/>
        <v>-0.10929557565612669</v>
      </c>
      <c r="Y52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13"/>
  <sheetViews>
    <sheetView workbookViewId="0">
      <selection activeCell="C21" sqref="C21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2" t="s">
        <v>102</v>
      </c>
    </row>
    <row r="6" spans="2:2" x14ac:dyDescent="0.15">
      <c r="B6" s="3" t="s">
        <v>103</v>
      </c>
    </row>
    <row r="7" spans="2:2" x14ac:dyDescent="0.15">
      <c r="B7" s="3" t="s">
        <v>104</v>
      </c>
    </row>
    <row r="8" spans="2:2" x14ac:dyDescent="0.15">
      <c r="B8" s="3" t="s">
        <v>105</v>
      </c>
    </row>
    <row r="9" spans="2:2" x14ac:dyDescent="0.15">
      <c r="B9" s="3" t="s">
        <v>106</v>
      </c>
    </row>
    <row r="10" spans="2:2" x14ac:dyDescent="0.15">
      <c r="B10" s="3" t="s">
        <v>107</v>
      </c>
    </row>
    <row r="11" spans="2:2" x14ac:dyDescent="0.15">
      <c r="B11" s="3" t="s">
        <v>108</v>
      </c>
    </row>
    <row r="12" spans="2:2" x14ac:dyDescent="0.15">
      <c r="B12" s="3" t="s">
        <v>109</v>
      </c>
    </row>
    <row r="13" spans="2:2" x14ac:dyDescent="0.15">
      <c r="B13" s="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2020-11-18T14:32:45Z</dcterms:modified>
</cp:coreProperties>
</file>