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ichaelsjoeberg/Dropbox/- PROJECTS/- Investing/stocks/"/>
    </mc:Choice>
  </mc:AlternateContent>
  <xr:revisionPtr revIDLastSave="0" documentId="13_ncr:1_{23C44729-B1DE-A94C-98A1-1EA58FCFE6CC}" xr6:coauthVersionLast="45" xr6:coauthVersionMax="45" xr10:uidLastSave="{00000000-0000-0000-0000-000000000000}"/>
  <bookViews>
    <workbookView xWindow="840" yWindow="2460" windowWidth="22440" windowHeight="16540" tabRatio="500" xr2:uid="{00000000-000D-0000-FFFF-FFFF00000000}"/>
  </bookViews>
  <sheets>
    <sheet name="Main" sheetId="2" r:id="rId1"/>
    <sheet name="Reports" sheetId="1" r:id="rId2"/>
  </sheets>
  <externalReferences>
    <externalReference r:id="rId3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E21" i="2" l="1"/>
  <c r="F4" i="2"/>
  <c r="Q9" i="1"/>
  <c r="Q53" i="1" s="1"/>
  <c r="Q8" i="1"/>
  <c r="Q52" i="1" s="1"/>
  <c r="P58" i="1"/>
  <c r="O58" i="1"/>
  <c r="N58" i="1"/>
  <c r="M58" i="1"/>
  <c r="L58" i="1"/>
  <c r="K58" i="1"/>
  <c r="J58" i="1"/>
  <c r="P57" i="1"/>
  <c r="O57" i="1"/>
  <c r="N57" i="1"/>
  <c r="M57" i="1"/>
  <c r="L57" i="1"/>
  <c r="K57" i="1"/>
  <c r="J57" i="1"/>
  <c r="I57" i="1"/>
  <c r="H57" i="1"/>
  <c r="P56" i="1"/>
  <c r="O56" i="1"/>
  <c r="N56" i="1"/>
  <c r="M56" i="1"/>
  <c r="L56" i="1"/>
  <c r="K56" i="1"/>
  <c r="J56" i="1"/>
  <c r="I56" i="1"/>
  <c r="H56" i="1"/>
  <c r="P55" i="1"/>
  <c r="O55" i="1"/>
  <c r="N55" i="1"/>
  <c r="M55" i="1"/>
  <c r="L55" i="1"/>
  <c r="K55" i="1"/>
  <c r="J55" i="1"/>
  <c r="I55" i="1"/>
  <c r="H55" i="1"/>
  <c r="G57" i="1"/>
  <c r="G56" i="1"/>
  <c r="F57" i="1"/>
  <c r="F56" i="1"/>
  <c r="M9" i="1"/>
  <c r="Q31" i="1"/>
  <c r="M11" i="1"/>
  <c r="M30" i="1" s="1"/>
  <c r="Q15" i="1"/>
  <c r="Q14" i="1"/>
  <c r="E22" i="2"/>
  <c r="F22" i="2" s="1"/>
  <c r="C10" i="2"/>
  <c r="C11" i="2"/>
  <c r="C63" i="2" s="1"/>
  <c r="C12" i="2"/>
  <c r="C64" i="2" s="1"/>
  <c r="C13" i="2"/>
  <c r="C15" i="2"/>
  <c r="C16" i="2" s="1"/>
  <c r="B11" i="2"/>
  <c r="B12" i="2"/>
  <c r="B15" i="2"/>
  <c r="D10" i="2"/>
  <c r="D62" i="2" s="1"/>
  <c r="D11" i="2"/>
  <c r="D63" i="2" s="1"/>
  <c r="D12" i="2"/>
  <c r="D64" i="2" s="1"/>
  <c r="D13" i="2"/>
  <c r="D65" i="2" s="1"/>
  <c r="D15" i="2"/>
  <c r="D16" i="2" s="1"/>
  <c r="D59" i="2"/>
  <c r="C59" i="2"/>
  <c r="P35" i="1"/>
  <c r="Q19" i="1" s="1"/>
  <c r="E35" i="1"/>
  <c r="D48" i="2"/>
  <c r="B45" i="2"/>
  <c r="D19" i="2"/>
  <c r="D21" i="2"/>
  <c r="D22" i="2"/>
  <c r="P41" i="1"/>
  <c r="P37" i="1"/>
  <c r="P44" i="1"/>
  <c r="P39" i="1"/>
  <c r="P36" i="1"/>
  <c r="P43" i="1" s="1"/>
  <c r="P19" i="1"/>
  <c r="P16" i="1"/>
  <c r="P17" i="1" s="1"/>
  <c r="P9" i="1"/>
  <c r="P53" i="1" s="1"/>
  <c r="N53" i="1"/>
  <c r="M53" i="1"/>
  <c r="K53" i="1"/>
  <c r="J53" i="1"/>
  <c r="H53" i="1"/>
  <c r="N11" i="1"/>
  <c r="N13" i="1" s="1"/>
  <c r="K11" i="1"/>
  <c r="J11" i="1"/>
  <c r="J30" i="1" s="1"/>
  <c r="I11" i="1"/>
  <c r="G11" i="1"/>
  <c r="F11" i="1"/>
  <c r="F13" i="1" s="1"/>
  <c r="D11" i="1"/>
  <c r="D13" i="1" s="1"/>
  <c r="C11" i="1"/>
  <c r="G30" i="1" s="1"/>
  <c r="O9" i="1"/>
  <c r="O11" i="1" s="1"/>
  <c r="N9" i="1"/>
  <c r="L9" i="1"/>
  <c r="L11" i="1" s="1"/>
  <c r="K9" i="1"/>
  <c r="J9" i="1"/>
  <c r="I9" i="1"/>
  <c r="H9" i="1"/>
  <c r="H11" i="1" s="1"/>
  <c r="G9" i="1"/>
  <c r="G53" i="1" s="1"/>
  <c r="F9" i="1"/>
  <c r="D9" i="1"/>
  <c r="C9" i="1"/>
  <c r="O36" i="1"/>
  <c r="O43" i="1" s="1"/>
  <c r="O37" i="1"/>
  <c r="O35" i="1"/>
  <c r="C3" i="2"/>
  <c r="C4" i="2" s="1"/>
  <c r="N16" i="1"/>
  <c r="N17" i="1"/>
  <c r="N19" i="1"/>
  <c r="O16" i="1"/>
  <c r="O33" i="1" s="1"/>
  <c r="O19" i="1"/>
  <c r="L16" i="1"/>
  <c r="P33" i="1" s="1"/>
  <c r="L19" i="1"/>
  <c r="M16" i="1"/>
  <c r="M17" i="1" s="1"/>
  <c r="M19" i="1"/>
  <c r="J16" i="1"/>
  <c r="N33" i="1" s="1"/>
  <c r="J19" i="1"/>
  <c r="D26" i="2" s="1"/>
  <c r="J21" i="1"/>
  <c r="D28" i="2" s="1"/>
  <c r="K13" i="1"/>
  <c r="K16" i="1"/>
  <c r="K33" i="1" s="1"/>
  <c r="K17" i="1"/>
  <c r="K18" i="1"/>
  <c r="K20" i="1" s="1"/>
  <c r="K19" i="1"/>
  <c r="K21" i="1"/>
  <c r="M39" i="1"/>
  <c r="D47" i="2" s="1"/>
  <c r="M36" i="1"/>
  <c r="D44" i="2" s="1"/>
  <c r="D43" i="2" s="1"/>
  <c r="M41" i="1"/>
  <c r="D49" i="2" s="1"/>
  <c r="D52" i="2" s="1"/>
  <c r="M44" i="1"/>
  <c r="Q24" i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D31" i="2"/>
  <c r="Q32" i="1"/>
  <c r="P61" i="1"/>
  <c r="P52" i="1"/>
  <c r="P32" i="1"/>
  <c r="P31" i="1"/>
  <c r="N39" i="1"/>
  <c r="N36" i="1"/>
  <c r="N43" i="1"/>
  <c r="I13" i="1"/>
  <c r="I18" i="1" s="1"/>
  <c r="I16" i="1"/>
  <c r="I17" i="1"/>
  <c r="I19" i="1"/>
  <c r="I21" i="1"/>
  <c r="L39" i="1"/>
  <c r="L36" i="1"/>
  <c r="L35" i="1" s="1"/>
  <c r="L43" i="1"/>
  <c r="N41" i="1"/>
  <c r="N44" i="1"/>
  <c r="L41" i="1"/>
  <c r="L44" i="1" s="1"/>
  <c r="O39" i="1"/>
  <c r="O41" i="1"/>
  <c r="O44" i="1" s="1"/>
  <c r="B3" i="1"/>
  <c r="B10" i="2" s="1"/>
  <c r="B16" i="2" s="1"/>
  <c r="B18" i="2" s="1"/>
  <c r="B20" i="2" s="1"/>
  <c r="B16" i="1"/>
  <c r="B17" i="1" s="1"/>
  <c r="B19" i="1"/>
  <c r="B21" i="1"/>
  <c r="C3" i="1"/>
  <c r="G55" i="1" s="1"/>
  <c r="C16" i="1"/>
  <c r="B23" i="2" s="1"/>
  <c r="C19" i="1"/>
  <c r="B26" i="2" s="1"/>
  <c r="C21" i="1"/>
  <c r="D3" i="1"/>
  <c r="D16" i="1"/>
  <c r="D17" i="1" s="1"/>
  <c r="D19" i="1"/>
  <c r="D21" i="1"/>
  <c r="E3" i="1"/>
  <c r="E9" i="1" s="1"/>
  <c r="E16" i="1"/>
  <c r="I33" i="1" s="1"/>
  <c r="E17" i="1"/>
  <c r="E19" i="1"/>
  <c r="E21" i="1"/>
  <c r="H16" i="1"/>
  <c r="L33" i="1" s="1"/>
  <c r="H19" i="1"/>
  <c r="H21" i="1"/>
  <c r="G13" i="1"/>
  <c r="G18" i="1" s="1"/>
  <c r="G16" i="1"/>
  <c r="C23" i="2" s="1"/>
  <c r="G17" i="1"/>
  <c r="G19" i="1"/>
  <c r="G21" i="1"/>
  <c r="F16" i="1"/>
  <c r="F17" i="1" s="1"/>
  <c r="F19" i="1"/>
  <c r="C26" i="2" s="1"/>
  <c r="F21" i="1"/>
  <c r="M33" i="1"/>
  <c r="O32" i="1"/>
  <c r="N32" i="1"/>
  <c r="M32" i="1"/>
  <c r="L32" i="1"/>
  <c r="K32" i="1"/>
  <c r="J32" i="1"/>
  <c r="I32" i="1"/>
  <c r="H32" i="1"/>
  <c r="G32" i="1"/>
  <c r="O31" i="1"/>
  <c r="N31" i="1"/>
  <c r="M31" i="1"/>
  <c r="L31" i="1"/>
  <c r="K31" i="1"/>
  <c r="J31" i="1"/>
  <c r="I31" i="1"/>
  <c r="H31" i="1"/>
  <c r="G31" i="1"/>
  <c r="F32" i="1"/>
  <c r="F33" i="1"/>
  <c r="F31" i="1"/>
  <c r="L37" i="1"/>
  <c r="L61" i="1"/>
  <c r="L52" i="1"/>
  <c r="M37" i="1"/>
  <c r="D45" i="2" s="1"/>
  <c r="M61" i="1"/>
  <c r="M52" i="1"/>
  <c r="M35" i="1"/>
  <c r="N37" i="1"/>
  <c r="N35" i="1"/>
  <c r="J61" i="1"/>
  <c r="I61" i="1"/>
  <c r="H61" i="1"/>
  <c r="G61" i="1"/>
  <c r="F61" i="1"/>
  <c r="J52" i="1"/>
  <c r="I52" i="1"/>
  <c r="H52" i="1"/>
  <c r="G52" i="1"/>
  <c r="F52" i="1"/>
  <c r="K61" i="1"/>
  <c r="K52" i="1"/>
  <c r="N52" i="1"/>
  <c r="N61" i="1"/>
  <c r="O61" i="1"/>
  <c r="O52" i="1"/>
  <c r="C19" i="2"/>
  <c r="C21" i="2"/>
  <c r="C38" i="2" s="1"/>
  <c r="C22" i="2"/>
  <c r="D39" i="2" s="1"/>
  <c r="I36" i="1"/>
  <c r="C44" i="2" s="1"/>
  <c r="I37" i="1"/>
  <c r="C45" i="2" s="1"/>
  <c r="I35" i="1"/>
  <c r="K36" i="1"/>
  <c r="K37" i="1"/>
  <c r="K35" i="1"/>
  <c r="C31" i="2"/>
  <c r="E39" i="2"/>
  <c r="D38" i="2"/>
  <c r="B21" i="2"/>
  <c r="B24" i="2" s="1"/>
  <c r="B22" i="2"/>
  <c r="E36" i="1"/>
  <c r="E37" i="1"/>
  <c r="B31" i="2"/>
  <c r="B19" i="2"/>
  <c r="B37" i="1"/>
  <c r="B36" i="1"/>
  <c r="B35" i="1" s="1"/>
  <c r="C37" i="1"/>
  <c r="C36" i="1"/>
  <c r="C35" i="1" s="1"/>
  <c r="D37" i="1"/>
  <c r="D36" i="1"/>
  <c r="F37" i="1"/>
  <c r="F36" i="1"/>
  <c r="G37" i="1"/>
  <c r="G36" i="1"/>
  <c r="J37" i="1"/>
  <c r="J35" i="1" s="1"/>
  <c r="H37" i="1"/>
  <c r="H35" i="1" s="1"/>
  <c r="H36" i="1"/>
  <c r="K30" i="1"/>
  <c r="J36" i="1"/>
  <c r="C28" i="2"/>
  <c r="D35" i="1"/>
  <c r="D9" i="2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F35" i="1"/>
  <c r="G35" i="1"/>
  <c r="K26" i="1"/>
  <c r="G26" i="1"/>
  <c r="G20" i="1" l="1"/>
  <c r="G27" i="1"/>
  <c r="E26" i="2"/>
  <c r="C40" i="2"/>
  <c r="C24" i="2"/>
  <c r="L30" i="1"/>
  <c r="L13" i="1"/>
  <c r="F26" i="1"/>
  <c r="F18" i="1"/>
  <c r="F39" i="2"/>
  <c r="G22" i="2"/>
  <c r="D51" i="2"/>
  <c r="I27" i="1"/>
  <c r="I20" i="1"/>
  <c r="I22" i="1" s="1"/>
  <c r="K22" i="1"/>
  <c r="K28" i="1"/>
  <c r="C43" i="2"/>
  <c r="C60" i="2"/>
  <c r="C18" i="2"/>
  <c r="N18" i="1"/>
  <c r="N26" i="1"/>
  <c r="E11" i="1"/>
  <c r="I53" i="1"/>
  <c r="F53" i="1"/>
  <c r="Q17" i="1"/>
  <c r="D60" i="2"/>
  <c r="D18" i="2"/>
  <c r="O13" i="1"/>
  <c r="O30" i="1"/>
  <c r="H13" i="1"/>
  <c r="H30" i="1"/>
  <c r="D18" i="1"/>
  <c r="D26" i="1"/>
  <c r="B33" i="2"/>
  <c r="B25" i="2"/>
  <c r="B34" i="2" s="1"/>
  <c r="C62" i="2"/>
  <c r="M13" i="1"/>
  <c r="C17" i="1"/>
  <c r="F21" i="2"/>
  <c r="L17" i="1"/>
  <c r="B9" i="1"/>
  <c r="B11" i="1" s="1"/>
  <c r="L53" i="1"/>
  <c r="B44" i="2"/>
  <c r="B43" i="2" s="1"/>
  <c r="P11" i="1"/>
  <c r="G33" i="1"/>
  <c r="Q11" i="1"/>
  <c r="C5" i="2"/>
  <c r="C6" i="2" s="1"/>
  <c r="C7" i="2" s="1"/>
  <c r="K27" i="1"/>
  <c r="H33" i="1"/>
  <c r="C13" i="1"/>
  <c r="E15" i="2"/>
  <c r="B28" i="2"/>
  <c r="M43" i="1"/>
  <c r="O53" i="1"/>
  <c r="J33" i="1"/>
  <c r="E38" i="2"/>
  <c r="H17" i="1"/>
  <c r="J17" i="1"/>
  <c r="O17" i="1"/>
  <c r="D23" i="2"/>
  <c r="F55" i="1"/>
  <c r="I26" i="1"/>
  <c r="C39" i="2"/>
  <c r="J13" i="1"/>
  <c r="N30" i="1"/>
  <c r="Q16" i="1"/>
  <c r="Q33" i="1" s="1"/>
  <c r="E18" i="2"/>
  <c r="G39" i="2" l="1"/>
  <c r="H22" i="2"/>
  <c r="E59" i="2"/>
  <c r="F15" i="2"/>
  <c r="C18" i="1"/>
  <c r="C26" i="1"/>
  <c r="J26" i="1"/>
  <c r="J18" i="1"/>
  <c r="F27" i="1"/>
  <c r="F20" i="1"/>
  <c r="L26" i="1"/>
  <c r="L18" i="1"/>
  <c r="Q30" i="1"/>
  <c r="D40" i="2"/>
  <c r="D24" i="2"/>
  <c r="K23" i="1"/>
  <c r="D20" i="2"/>
  <c r="D37" i="2"/>
  <c r="I4" i="2" s="1"/>
  <c r="I2" i="2"/>
  <c r="G21" i="2"/>
  <c r="F38" i="2"/>
  <c r="E37" i="2"/>
  <c r="E16" i="2"/>
  <c r="I30" i="1"/>
  <c r="E13" i="1"/>
  <c r="N20" i="1"/>
  <c r="N27" i="1"/>
  <c r="E23" i="2"/>
  <c r="I23" i="1"/>
  <c r="G28" i="1"/>
  <c r="G22" i="1"/>
  <c r="M18" i="1"/>
  <c r="M26" i="1"/>
  <c r="C20" i="2"/>
  <c r="C37" i="2"/>
  <c r="D27" i="1"/>
  <c r="D20" i="1"/>
  <c r="P13" i="1"/>
  <c r="P30" i="1"/>
  <c r="H26" i="1"/>
  <c r="H18" i="1"/>
  <c r="B13" i="1"/>
  <c r="F30" i="1"/>
  <c r="O18" i="1"/>
  <c r="O26" i="1"/>
  <c r="I28" i="1"/>
  <c r="P18" i="1" l="1"/>
  <c r="P26" i="1"/>
  <c r="Q13" i="1" s="1"/>
  <c r="L20" i="1"/>
  <c r="L27" i="1"/>
  <c r="D28" i="1"/>
  <c r="D22" i="1"/>
  <c r="F22" i="1"/>
  <c r="F28" i="1"/>
  <c r="C33" i="2"/>
  <c r="C25" i="2"/>
  <c r="J27" i="1"/>
  <c r="J20" i="1"/>
  <c r="H21" i="2"/>
  <c r="G38" i="2"/>
  <c r="H27" i="1"/>
  <c r="H20" i="1"/>
  <c r="M27" i="1"/>
  <c r="M20" i="1"/>
  <c r="E60" i="2"/>
  <c r="F16" i="2"/>
  <c r="G23" i="1"/>
  <c r="C20" i="1"/>
  <c r="C27" i="1"/>
  <c r="D25" i="2"/>
  <c r="D33" i="2"/>
  <c r="I5" i="2" s="1"/>
  <c r="F18" i="2"/>
  <c r="F59" i="2"/>
  <c r="G15" i="2"/>
  <c r="O20" i="1"/>
  <c r="O27" i="1"/>
  <c r="H39" i="2"/>
  <c r="I22" i="2"/>
  <c r="E18" i="1"/>
  <c r="E26" i="1"/>
  <c r="E40" i="2"/>
  <c r="F23" i="2"/>
  <c r="E24" i="2"/>
  <c r="N28" i="1"/>
  <c r="N22" i="1"/>
  <c r="N23" i="1" s="1"/>
  <c r="B18" i="1"/>
  <c r="B26" i="1"/>
  <c r="O28" i="1" l="1"/>
  <c r="O22" i="1"/>
  <c r="O23" i="1" s="1"/>
  <c r="G59" i="2"/>
  <c r="H15" i="2"/>
  <c r="I21" i="2"/>
  <c r="H38" i="2"/>
  <c r="J28" i="1"/>
  <c r="J22" i="1"/>
  <c r="F37" i="2"/>
  <c r="B20" i="1"/>
  <c r="B27" i="1"/>
  <c r="D34" i="2"/>
  <c r="I6" i="2" s="1"/>
  <c r="D27" i="2"/>
  <c r="C34" i="2"/>
  <c r="C27" i="2"/>
  <c r="C22" i="1"/>
  <c r="C28" i="1"/>
  <c r="F23" i="1"/>
  <c r="F40" i="2"/>
  <c r="G23" i="2"/>
  <c r="F24" i="2"/>
  <c r="D23" i="1"/>
  <c r="G16" i="2"/>
  <c r="F60" i="2"/>
  <c r="E20" i="1"/>
  <c r="E27" i="1"/>
  <c r="M28" i="1"/>
  <c r="M22" i="1"/>
  <c r="L28" i="1"/>
  <c r="L22" i="1"/>
  <c r="J22" i="2"/>
  <c r="I39" i="2"/>
  <c r="Q18" i="1"/>
  <c r="Q26" i="1"/>
  <c r="Q12" i="1"/>
  <c r="E19" i="2" s="1"/>
  <c r="E20" i="2" s="1"/>
  <c r="H22" i="1"/>
  <c r="I46" i="1" s="1"/>
  <c r="H28" i="1"/>
  <c r="P20" i="1"/>
  <c r="P27" i="1"/>
  <c r="E22" i="1" l="1"/>
  <c r="E28" i="1"/>
  <c r="H16" i="2"/>
  <c r="G60" i="2"/>
  <c r="M46" i="1"/>
  <c r="J23" i="1"/>
  <c r="L46" i="1"/>
  <c r="G40" i="2"/>
  <c r="H23" i="2"/>
  <c r="G24" i="2"/>
  <c r="H59" i="2"/>
  <c r="H18" i="2"/>
  <c r="I15" i="2"/>
  <c r="B27" i="2"/>
  <c r="B22" i="1"/>
  <c r="B28" i="1"/>
  <c r="P28" i="1"/>
  <c r="P22" i="1"/>
  <c r="P23" i="1" s="1"/>
  <c r="Q27" i="1"/>
  <c r="Q20" i="1"/>
  <c r="J21" i="2"/>
  <c r="I38" i="2"/>
  <c r="E25" i="2"/>
  <c r="E33" i="2"/>
  <c r="F20" i="2" s="1"/>
  <c r="G18" i="2"/>
  <c r="L23" i="1"/>
  <c r="O46" i="1"/>
  <c r="N46" i="1"/>
  <c r="P46" i="1"/>
  <c r="M23" i="1"/>
  <c r="K46" i="1"/>
  <c r="H23" i="1"/>
  <c r="J46" i="1"/>
  <c r="K22" i="2"/>
  <c r="J39" i="2"/>
  <c r="F46" i="1"/>
  <c r="C23" i="1"/>
  <c r="C29" i="2"/>
  <c r="C30" i="2" s="1"/>
  <c r="C35" i="2"/>
  <c r="D29" i="2"/>
  <c r="D35" i="2"/>
  <c r="B23" i="1" l="1"/>
  <c r="E46" i="1"/>
  <c r="H37" i="2"/>
  <c r="F25" i="2"/>
  <c r="F33" i="2"/>
  <c r="F19" i="2"/>
  <c r="I23" i="2"/>
  <c r="H40" i="2"/>
  <c r="H24" i="2"/>
  <c r="B29" i="2"/>
  <c r="B30" i="2" s="1"/>
  <c r="B35" i="2"/>
  <c r="L49" i="1"/>
  <c r="L47" i="1"/>
  <c r="L48" i="1"/>
  <c r="L50" i="1"/>
  <c r="N48" i="1"/>
  <c r="N47" i="1"/>
  <c r="N50" i="1"/>
  <c r="N49" i="1"/>
  <c r="K21" i="2"/>
  <c r="J38" i="2"/>
  <c r="M47" i="1"/>
  <c r="D54" i="2" s="1"/>
  <c r="M50" i="1"/>
  <c r="D57" i="2" s="1"/>
  <c r="M48" i="1"/>
  <c r="D55" i="2" s="1"/>
  <c r="M49" i="1"/>
  <c r="D56" i="2" s="1"/>
  <c r="P49" i="1"/>
  <c r="P50" i="1"/>
  <c r="P48" i="1"/>
  <c r="P47" i="1"/>
  <c r="Q21" i="1"/>
  <c r="Q22" i="1"/>
  <c r="O48" i="1"/>
  <c r="O47" i="1"/>
  <c r="O49" i="1"/>
  <c r="O50" i="1"/>
  <c r="E27" i="2"/>
  <c r="E34" i="2"/>
  <c r="K39" i="2"/>
  <c r="L22" i="2"/>
  <c r="I16" i="2"/>
  <c r="I60" i="2" s="1"/>
  <c r="H60" i="2"/>
  <c r="G37" i="2"/>
  <c r="G20" i="2"/>
  <c r="G19" i="2" s="1"/>
  <c r="I59" i="2"/>
  <c r="I3" i="2"/>
  <c r="D30" i="2"/>
  <c r="H46" i="1"/>
  <c r="E23" i="1"/>
  <c r="G46" i="1"/>
  <c r="I40" i="2" l="1"/>
  <c r="J23" i="2"/>
  <c r="I24" i="2"/>
  <c r="G25" i="2"/>
  <c r="G33" i="2"/>
  <c r="H20" i="2" s="1"/>
  <c r="E29" i="2"/>
  <c r="K38" i="2"/>
  <c r="L21" i="2"/>
  <c r="M22" i="2"/>
  <c r="L39" i="2"/>
  <c r="F34" i="2"/>
  <c r="Q23" i="1"/>
  <c r="Q35" i="1"/>
  <c r="I18" i="2"/>
  <c r="Q28" i="1"/>
  <c r="E28" i="2"/>
  <c r="E35" i="2" s="1"/>
  <c r="I37" i="2" l="1"/>
  <c r="J18" i="2"/>
  <c r="N22" i="2"/>
  <c r="M39" i="2"/>
  <c r="E30" i="2"/>
  <c r="E43" i="2"/>
  <c r="H33" i="2"/>
  <c r="I20" i="2" s="1"/>
  <c r="H25" i="2"/>
  <c r="H19" i="2"/>
  <c r="K23" i="2"/>
  <c r="J40" i="2"/>
  <c r="J24" i="2"/>
  <c r="L38" i="2"/>
  <c r="M21" i="2"/>
  <c r="G34" i="2"/>
  <c r="I25" i="2" l="1"/>
  <c r="I33" i="2"/>
  <c r="I19" i="2"/>
  <c r="L23" i="2"/>
  <c r="K40" i="2"/>
  <c r="K24" i="2"/>
  <c r="H34" i="2"/>
  <c r="F26" i="2"/>
  <c r="F27" i="2" s="1"/>
  <c r="O22" i="2"/>
  <c r="N39" i="2"/>
  <c r="K18" i="2"/>
  <c r="J37" i="2"/>
  <c r="J20" i="2"/>
  <c r="N21" i="2"/>
  <c r="M38" i="2"/>
  <c r="K37" i="2" l="1"/>
  <c r="L18" i="2"/>
  <c r="O39" i="2"/>
  <c r="P22" i="2"/>
  <c r="F28" i="2"/>
  <c r="F35" i="2" s="1"/>
  <c r="F29" i="2"/>
  <c r="M23" i="2"/>
  <c r="L40" i="2"/>
  <c r="L24" i="2"/>
  <c r="J33" i="2"/>
  <c r="K20" i="2" s="1"/>
  <c r="J25" i="2"/>
  <c r="J19" i="2"/>
  <c r="O21" i="2"/>
  <c r="N38" i="2"/>
  <c r="I34" i="2"/>
  <c r="K25" i="2" l="1"/>
  <c r="K33" i="2"/>
  <c r="K19" i="2"/>
  <c r="O38" i="2"/>
  <c r="P21" i="2"/>
  <c r="J34" i="2"/>
  <c r="N23" i="2"/>
  <c r="M40" i="2"/>
  <c r="M24" i="2"/>
  <c r="F30" i="2"/>
  <c r="F43" i="2"/>
  <c r="Q22" i="2"/>
  <c r="Q39" i="2" s="1"/>
  <c r="P39" i="2"/>
  <c r="M18" i="2"/>
  <c r="L37" i="2"/>
  <c r="L19" i="2"/>
  <c r="L20" i="2"/>
  <c r="G26" i="2" l="1"/>
  <c r="G27" i="2" s="1"/>
  <c r="O23" i="2"/>
  <c r="N40" i="2"/>
  <c r="N24" i="2"/>
  <c r="M37" i="2"/>
  <c r="N18" i="2"/>
  <c r="P38" i="2"/>
  <c r="Q21" i="2"/>
  <c r="L33" i="2"/>
  <c r="M20" i="2" s="1"/>
  <c r="L25" i="2"/>
  <c r="K34" i="2"/>
  <c r="M25" i="2" l="1"/>
  <c r="M33" i="2"/>
  <c r="M19" i="2"/>
  <c r="O18" i="2"/>
  <c r="N37" i="2"/>
  <c r="N20" i="2"/>
  <c r="L34" i="2"/>
  <c r="O40" i="2"/>
  <c r="P23" i="2"/>
  <c r="O24" i="2"/>
  <c r="Q38" i="2"/>
  <c r="G28" i="2"/>
  <c r="G35" i="2" s="1"/>
  <c r="G29" i="2"/>
  <c r="G30" i="2" l="1"/>
  <c r="G43" i="2"/>
  <c r="P40" i="2"/>
  <c r="Q23" i="2"/>
  <c r="P24" i="2"/>
  <c r="N33" i="2"/>
  <c r="N25" i="2"/>
  <c r="O20" i="2"/>
  <c r="O19" i="2" s="1"/>
  <c r="O37" i="2"/>
  <c r="P18" i="2"/>
  <c r="N19" i="2"/>
  <c r="M34" i="2"/>
  <c r="Q40" i="2" l="1"/>
  <c r="Q24" i="2"/>
  <c r="H26" i="2"/>
  <c r="H27" i="2" s="1"/>
  <c r="N34" i="2"/>
  <c r="P37" i="2"/>
  <c r="Q18" i="2"/>
  <c r="O25" i="2"/>
  <c r="O33" i="2"/>
  <c r="P20" i="2" s="1"/>
  <c r="P25" i="2" l="1"/>
  <c r="P33" i="2"/>
  <c r="P19" i="2"/>
  <c r="Q20" i="2"/>
  <c r="Q37" i="2"/>
  <c r="O34" i="2"/>
  <c r="H28" i="2"/>
  <c r="H35" i="2" s="1"/>
  <c r="Q33" i="2" l="1"/>
  <c r="Q25" i="2"/>
  <c r="H29" i="2"/>
  <c r="Q19" i="2"/>
  <c r="P34" i="2"/>
  <c r="Q34" i="2" l="1"/>
  <c r="H30" i="2"/>
  <c r="H43" i="2"/>
  <c r="I26" i="2" l="1"/>
  <c r="I27" i="2" s="1"/>
  <c r="I28" i="2" l="1"/>
  <c r="I35" i="2" s="1"/>
  <c r="I29" i="2"/>
  <c r="I30" i="2" l="1"/>
  <c r="I43" i="2"/>
  <c r="J26" i="2" l="1"/>
  <c r="J27" i="2" s="1"/>
  <c r="J28" i="2" l="1"/>
  <c r="J35" i="2" s="1"/>
  <c r="J29" i="2"/>
  <c r="J30" i="2" l="1"/>
  <c r="J43" i="2"/>
  <c r="K26" i="2" l="1"/>
  <c r="K27" i="2" s="1"/>
  <c r="K28" i="2" l="1"/>
  <c r="K35" i="2" s="1"/>
  <c r="K29" i="2"/>
  <c r="K30" i="2" l="1"/>
  <c r="K43" i="2"/>
  <c r="L26" i="2" l="1"/>
  <c r="L27" i="2" s="1"/>
  <c r="L28" i="2" l="1"/>
  <c r="L35" i="2" s="1"/>
  <c r="L29" i="2" l="1"/>
  <c r="L30" i="2" l="1"/>
  <c r="L43" i="2"/>
  <c r="M26" i="2" l="1"/>
  <c r="M27" i="2" s="1"/>
  <c r="M28" i="2" l="1"/>
  <c r="M35" i="2" s="1"/>
  <c r="M29" i="2"/>
  <c r="M30" i="2" l="1"/>
  <c r="M43" i="2"/>
  <c r="N26" i="2" l="1"/>
  <c r="N27" i="2" s="1"/>
  <c r="N28" i="2" l="1"/>
  <c r="N35" i="2" s="1"/>
  <c r="N29" i="2"/>
  <c r="N30" i="2" l="1"/>
  <c r="N43" i="2"/>
  <c r="O26" i="2" l="1"/>
  <c r="O27" i="2" s="1"/>
  <c r="O28" i="2" l="1"/>
  <c r="O35" i="2" s="1"/>
  <c r="O29" i="2"/>
  <c r="O30" i="2" l="1"/>
  <c r="O43" i="2"/>
  <c r="P26" i="2" l="1"/>
  <c r="P27" i="2" s="1"/>
  <c r="P28" i="2" l="1"/>
  <c r="P35" i="2" s="1"/>
  <c r="P29" i="2"/>
  <c r="P30" i="2" l="1"/>
  <c r="P43" i="2"/>
  <c r="Q26" i="2" l="1"/>
  <c r="Q27" i="2" s="1"/>
  <c r="Q28" i="2" l="1"/>
  <c r="Q35" i="2" s="1"/>
  <c r="Q29" i="2" l="1"/>
  <c r="R29" i="2" l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F5" i="2" s="1"/>
  <c r="F6" i="2" s="1"/>
  <c r="Q30" i="2"/>
  <c r="Q43" i="2"/>
  <c r="F7" i="2" l="1"/>
  <c r="G7" i="2" l="1"/>
</calcChain>
</file>

<file path=xl/sharedStrings.xml><?xml version="1.0" encoding="utf-8"?>
<sst xmlns="http://schemas.openxmlformats.org/spreadsheetml/2006/main" count="155" uniqueCount="104">
  <si>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</si>
  <si>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</si>
  <si>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</si>
  <si>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</si>
  <si>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</si>
  <si>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</si>
  <si>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</si>
  <si>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</si>
  <si>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</si>
  <si>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</si>
  <si>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</si>
  <si>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</si>
  <si>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</si>
  <si>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</si>
  <si>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</si>
  <si>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</si>
  <si>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</si>
  <si>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</si>
  <si>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</si>
  <si>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</si>
  <si>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</si>
  <si>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</si>
  <si>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</si>
  <si>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</si>
  <si>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</si>
  <si>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</si>
  <si>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</si>
  <si>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</si>
  <si>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</si>
  <si>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</si>
  <si>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</si>
  <si>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</si>
  <si>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</si>
  <si>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</si>
  <si>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</si>
  <si>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</si>
  <si>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</si>
  <si>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</si>
  <si>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</si>
  <si>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</si>
  <si>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</si>
  <si>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</si>
  <si>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</si>
  <si>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</si>
  <si>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</si>
  <si>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</si>
  <si>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</si>
  <si>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</si>
  <si>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</si>
  <si>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</si>
  <si>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30/6/2015</t>
  </si>
  <si>
    <t>30/9/2015</t>
  </si>
  <si>
    <t>31/12/2015</t>
  </si>
  <si>
    <t>Commerce</t>
  </si>
  <si>
    <t>Cloud computing</t>
  </si>
  <si>
    <t>Digital media</t>
  </si>
  <si>
    <t>Other</t>
  </si>
  <si>
    <t>31/3/2019</t>
  </si>
  <si>
    <t>Mobile MAU</t>
  </si>
  <si>
    <t>Alibaba Group Holding Ltd (BABA)</t>
  </si>
  <si>
    <t>Investor Relations</t>
  </si>
  <si>
    <t>CEO</t>
  </si>
  <si>
    <t>Founder</t>
  </si>
  <si>
    <t>Jack Ma</t>
  </si>
  <si>
    <t>Daniel Zhang</t>
  </si>
  <si>
    <t>Peng Lei</t>
  </si>
  <si>
    <t>Price</t>
  </si>
  <si>
    <t>Market Cap</t>
  </si>
  <si>
    <t>EV</t>
  </si>
  <si>
    <t>per share</t>
  </si>
  <si>
    <t>Expected return on invested cash</t>
  </si>
  <si>
    <t>Inflation + risk premium (opportunity cost)</t>
  </si>
  <si>
    <t>NPV on net income (terminal value)</t>
  </si>
  <si>
    <t>R&amp;D y/y</t>
  </si>
  <si>
    <t>S&amp;M y/y</t>
  </si>
  <si>
    <t>G&amp;A y/y</t>
  </si>
  <si>
    <t>EDGAR</t>
  </si>
  <si>
    <t>Commerce y/y</t>
  </si>
  <si>
    <t>Cloud computing y/y</t>
  </si>
  <si>
    <t>Digital media y/y</t>
  </si>
  <si>
    <t>Other y/y</t>
  </si>
  <si>
    <t>Active consumers</t>
  </si>
  <si>
    <t>Active consumers y/y</t>
  </si>
  <si>
    <t>Mobile MAU y/y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</si>
  <si>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</si>
  <si>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</si>
  <si>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</si>
  <si>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</si>
  <si>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</si>
  <si>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</si>
  <si>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</si>
  <si>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</si>
  <si>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</si>
  <si>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</si>
  <si>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ARPU</t>
  </si>
  <si>
    <t>ARPU y/y</t>
  </si>
  <si>
    <t>Q119</t>
  </si>
  <si>
    <t>Q219</t>
  </si>
  <si>
    <t>Q319</t>
  </si>
  <si>
    <t>Q419</t>
  </si>
  <si>
    <t>Earnings</t>
  </si>
  <si>
    <t>Growth</t>
  </si>
  <si>
    <t>GM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</si>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</sst>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4" applyFont="1"/>
    <xf numFmtId="0" fontId="5" fillId="0" borderId="0" xfId="0" applyFont="1"/>
    <xf numFmtId="0" fontId="6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/>
    <xf numFmtId="3" fontId="6" fillId="2" borderId="0" xfId="0" applyNumberFormat="1" applyFont="1" applyFill="1"/>
    <xf numFmtId="164" fontId="6" fillId="2" borderId="0" xfId="0" applyNumberFormat="1" applyFont="1" applyFill="1"/>
    <xf numFmtId="0" fontId="7" fillId="0" borderId="0" xfId="0" applyFont="1"/>
    <xf numFmtId="4" fontId="6" fillId="2" borderId="0" xfId="0" applyNumberFormat="1" applyFont="1" applyFill="1"/>
    <xf numFmtId="0" fontId="5" fillId="0" borderId="0" xfId="0" applyFont="1" applyBorder="1"/>
    <xf numFmtId="164" fontId="6" fillId="0" borderId="0" xfId="0" applyNumberFormat="1" applyFont="1"/>
    <xf numFmtId="3" fontId="6" fillId="0" borderId="0" xfId="0" applyNumberFormat="1" applyFont="1" applyBorder="1"/>
    <xf numFmtId="3" fontId="5" fillId="0" borderId="0" xfId="0" applyNumberFormat="1" applyFont="1" applyBorder="1"/>
    <xf numFmtId="3" fontId="6" fillId="2" borderId="0" xfId="0" applyNumberFormat="1" applyFont="1" applyFill="1" applyBorder="1"/>
    <xf numFmtId="2" fontId="6" fillId="0" borderId="0" xfId="0" applyNumberFormat="1" applyFont="1" applyBorder="1"/>
    <xf numFmtId="9" fontId="5" fillId="0" borderId="0" xfId="1" applyFont="1" applyBorder="1"/>
    <xf numFmtId="9" fontId="6" fillId="0" borderId="0" xfId="0" applyNumberFormat="1" applyFont="1" applyBorder="1"/>
    <xf numFmtId="9" fontId="6" fillId="0" borderId="0" xfId="1" applyFont="1" applyBorder="1"/>
    <xf numFmtId="164" fontId="5" fillId="2" borderId="0" xfId="0" applyNumberFormat="1" applyFont="1" applyFill="1"/>
    <xf numFmtId="0" fontId="7" fillId="0" borderId="0" xfId="0" applyFont="1" applyBorder="1"/>
    <xf numFmtId="2" fontId="6" fillId="2" borderId="0" xfId="0" applyNumberFormat="1" applyFont="1" applyFill="1"/>
    <xf numFmtId="3" fontId="5" fillId="2" borderId="0" xfId="0" applyNumberFormat="1" applyFont="1" applyFill="1" applyBorder="1"/>
    <xf numFmtId="165" fontId="6" fillId="0" borderId="0" xfId="0" applyNumberFormat="1" applyFont="1"/>
    <xf numFmtId="9" fontId="6" fillId="0" borderId="0" xfId="0" applyNumberFormat="1" applyFont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9" fontId="6" fillId="0" borderId="0" xfId="1" applyFont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0" fontId="6" fillId="0" borderId="1" xfId="0" applyFont="1" applyBorder="1"/>
    <xf numFmtId="0" fontId="5" fillId="0" borderId="1" xfId="0" applyFont="1" applyBorder="1"/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9" fontId="5" fillId="0" borderId="0" xfId="1" applyNumberFormat="1" applyFont="1" applyFill="1" applyBorder="1" applyAlignment="1">
      <alignment horizontal="right"/>
    </xf>
    <xf numFmtId="9" fontId="6" fillId="0" borderId="0" xfId="1" applyNumberFormat="1" applyFont="1" applyFill="1" applyBorder="1" applyAlignment="1">
      <alignment horizontal="right"/>
    </xf>
    <xf numFmtId="9" fontId="6" fillId="0" borderId="0" xfId="0" applyNumberFormat="1" applyFont="1" applyFill="1" applyBorder="1" applyAlignment="1">
      <alignment horizontal="right"/>
    </xf>
    <xf numFmtId="9" fontId="6" fillId="0" borderId="0" xfId="1" applyFont="1" applyFill="1" applyBorder="1" applyAlignment="1">
      <alignment horizontal="right"/>
    </xf>
    <xf numFmtId="3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9" fontId="6" fillId="0" borderId="0" xfId="0" applyNumberFormat="1" applyFont="1" applyFill="1" applyAlignment="1">
      <alignment horizontal="right"/>
    </xf>
    <xf numFmtId="0" fontId="6" fillId="0" borderId="0" xfId="0" applyFont="1" applyFill="1"/>
    <xf numFmtId="3" fontId="5" fillId="0" borderId="0" xfId="0" applyNumberFormat="1" applyFont="1" applyFill="1" applyBorder="1"/>
    <xf numFmtId="3" fontId="6" fillId="0" borderId="0" xfId="0" applyNumberFormat="1" applyFont="1" applyFill="1"/>
    <xf numFmtId="3" fontId="6" fillId="0" borderId="0" xfId="0" applyNumberFormat="1" applyFont="1" applyFill="1" applyBorder="1"/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left"/>
    </xf>
    <xf numFmtId="4" fontId="6" fillId="0" borderId="0" xfId="0" applyNumberFormat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8</xdr:row>
      <xdr:rowOff>12700</xdr:rowOff>
    </xdr:from>
    <xdr:to>
      <xdr:col>4</xdr:col>
      <xdr:colOff>127000</xdr:colOff>
      <xdr:row>66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279900" y="1333500"/>
          <a:ext cx="0" cy="7099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101600</xdr:colOff>
      <xdr:row>1</xdr:row>
      <xdr:rowOff>0</xdr:rowOff>
    </xdr:from>
    <xdr:to>
      <xdr:col>16</xdr:col>
      <xdr:colOff>101600</xdr:colOff>
      <xdr:row>62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4147800" y="165100"/>
          <a:ext cx="0" cy="9258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sjoeberg/Dropbox/-%20PROJECTS/-%20Investing/stoc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NPV-Internet-Software"/>
      <sheetName val="Largest-Defensive"/>
      <sheetName val="REIT-Speciality-Commercial"/>
      <sheetName val="Upcoming IPOs"/>
    </sheetNames>
    <sheetDataSet>
      <sheetData sheetId="0">
        <row r="5">
          <cell r="J5">
            <v>212.81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Jack_Ma" TargetMode="External"/><Relationship Id="rId2" Type="http://schemas.openxmlformats.org/officeDocument/2006/relationships/hyperlink" Target="https://en.wikipedia.org/wiki/Daniel_Zhang" TargetMode="External"/><Relationship Id="rId1" Type="http://schemas.openxmlformats.org/officeDocument/2006/relationships/hyperlink" Target="https://www.alibabagroup.com/en/ir/home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Peng_Lei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577552&amp;owner=exclude&amp;count=40&amp;hidefilings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5"/>
  <sheetViews>
    <sheetView tabSelected="1" workbookViewId="0">
      <pane xSplit="1" ySplit="9" topLeftCell="B13" activePane="bottomRight" state="frozen"/>
      <selection pane="topRight" activeCell="B1" sqref="B1"/>
      <selection pane="bottomLeft" activeCell="A11" sqref="A11"/>
      <selection pane="bottomRight" activeCell="C3" sqref="C3"/>
    </sheetView>
  </sheetViews>
  <sheetFormatPr baseColWidth="10" defaultRowHeight="13" x14ac:dyDescent="0.15"/>
  <cols>
    <col min="1" max="1" width="22" style="3" bestFit="1" customWidth="1"/>
    <col min="2" max="16384" width="10.83203125" style="3"/>
  </cols>
  <sheetData>
    <row r="1" spans="1:16" x14ac:dyDescent="0.15">
      <c r="A1" s="1" t="s">
        <v>60</v>
      </c>
      <c r="B1" s="2" t="s">
        <v>59</v>
      </c>
    </row>
    <row r="2" spans="1:16" x14ac:dyDescent="0.15">
      <c r="B2" s="3" t="s">
        <v>66</v>
      </c>
      <c r="C2" s="69">
        <f>[1]MAIN!$J$5</f>
        <v>212.81</v>
      </c>
      <c r="D2" s="68"/>
      <c r="E2" s="4" t="s">
        <v>37</v>
      </c>
      <c r="F2" s="5">
        <v>-0.02</v>
      </c>
      <c r="H2" s="3" t="s">
        <v>4</v>
      </c>
      <c r="I2" s="6">
        <f>D18</f>
        <v>38322</v>
      </c>
    </row>
    <row r="3" spans="1:16" x14ac:dyDescent="0.15">
      <c r="A3" s="2" t="s">
        <v>61</v>
      </c>
      <c r="B3" s="3" t="s">
        <v>17</v>
      </c>
      <c r="C3" s="6">
        <f>Reports!O24</f>
        <v>2628</v>
      </c>
      <c r="D3" s="3" t="s">
        <v>98</v>
      </c>
      <c r="E3" s="4" t="s">
        <v>38</v>
      </c>
      <c r="F3" s="5">
        <v>0.05</v>
      </c>
      <c r="G3" s="9" t="s">
        <v>70</v>
      </c>
      <c r="H3" s="3" t="s">
        <v>100</v>
      </c>
      <c r="I3" s="6">
        <f>D29</f>
        <v>9331</v>
      </c>
    </row>
    <row r="4" spans="1:16" x14ac:dyDescent="0.15">
      <c r="A4" s="1" t="s">
        <v>64</v>
      </c>
      <c r="B4" s="3" t="s">
        <v>67</v>
      </c>
      <c r="C4" s="7">
        <f>C3*C2</f>
        <v>559264.68000000005</v>
      </c>
      <c r="E4" s="4" t="s">
        <v>39</v>
      </c>
      <c r="F4" s="5">
        <f>2%+6%</f>
        <v>0.08</v>
      </c>
      <c r="G4" s="9" t="s">
        <v>71</v>
      </c>
      <c r="H4" s="3" t="s">
        <v>101</v>
      </c>
      <c r="I4" s="25">
        <f>D37</f>
        <v>0.64797454201427707</v>
      </c>
    </row>
    <row r="5" spans="1:16" x14ac:dyDescent="0.15">
      <c r="B5" s="3" t="s">
        <v>33</v>
      </c>
      <c r="C5" s="6">
        <f>Reports!P35</f>
        <v>29313</v>
      </c>
      <c r="D5" s="3" t="s">
        <v>98</v>
      </c>
      <c r="E5" s="4" t="s">
        <v>40</v>
      </c>
      <c r="F5" s="8">
        <f>NPV(F4,E29:DR29)</f>
        <v>711670.55155267846</v>
      </c>
      <c r="G5" s="9" t="s">
        <v>72</v>
      </c>
      <c r="H5" s="3" t="s">
        <v>102</v>
      </c>
      <c r="I5" s="25">
        <f>D33</f>
        <v>0.57061218099264133</v>
      </c>
    </row>
    <row r="6" spans="1:16" x14ac:dyDescent="0.15">
      <c r="A6" s="2" t="s">
        <v>62</v>
      </c>
      <c r="B6" s="3" t="s">
        <v>68</v>
      </c>
      <c r="C6" s="7">
        <f>C4-C5</f>
        <v>529951.68000000005</v>
      </c>
      <c r="E6" s="11" t="s">
        <v>41</v>
      </c>
      <c r="F6" s="20">
        <f>F5+C5</f>
        <v>740983.55155267846</v>
      </c>
      <c r="H6" s="3" t="s">
        <v>103</v>
      </c>
      <c r="I6" s="25">
        <f>D34</f>
        <v>0.2750900266165649</v>
      </c>
    </row>
    <row r="7" spans="1:16" x14ac:dyDescent="0.15">
      <c r="A7" s="1" t="s">
        <v>63</v>
      </c>
      <c r="B7" s="9" t="s">
        <v>69</v>
      </c>
      <c r="C7" s="10">
        <f>C6/C3</f>
        <v>201.65589041095893</v>
      </c>
      <c r="E7" s="21" t="s">
        <v>69</v>
      </c>
      <c r="F7" s="22">
        <f>F6/C3</f>
        <v>281.95721139751845</v>
      </c>
      <c r="G7" s="25">
        <f>F7/C2-1</f>
        <v>0.3249246341690637</v>
      </c>
    </row>
    <row r="8" spans="1:16" x14ac:dyDescent="0.15">
      <c r="A8" s="1" t="s">
        <v>65</v>
      </c>
      <c r="E8" s="4"/>
      <c r="F8" s="12"/>
    </row>
    <row r="9" spans="1:16" x14ac:dyDescent="0.15">
      <c r="B9" s="3">
        <v>2016</v>
      </c>
      <c r="C9" s="3">
        <v>2017</v>
      </c>
      <c r="D9" s="3">
        <f>C9+1</f>
        <v>2018</v>
      </c>
      <c r="E9" s="3">
        <f t="shared" ref="E9:P9" si="0">D9+1</f>
        <v>2019</v>
      </c>
      <c r="F9" s="3">
        <f t="shared" si="0"/>
        <v>2020</v>
      </c>
      <c r="G9" s="3">
        <f t="shared" si="0"/>
        <v>2021</v>
      </c>
      <c r="H9" s="3">
        <f t="shared" si="0"/>
        <v>2022</v>
      </c>
      <c r="I9" s="3">
        <f t="shared" si="0"/>
        <v>2023</v>
      </c>
      <c r="J9" s="3">
        <f t="shared" si="0"/>
        <v>2024</v>
      </c>
      <c r="K9" s="3">
        <f t="shared" si="0"/>
        <v>2025</v>
      </c>
      <c r="L9" s="3">
        <f t="shared" si="0"/>
        <v>2026</v>
      </c>
      <c r="M9" s="3">
        <f t="shared" si="0"/>
        <v>2027</v>
      </c>
      <c r="N9" s="3">
        <f t="shared" si="0"/>
        <v>2028</v>
      </c>
      <c r="O9" s="3">
        <f t="shared" si="0"/>
        <v>2029</v>
      </c>
      <c r="P9" s="3">
        <f t="shared" si="0"/>
        <v>2030</v>
      </c>
    </row>
    <row r="10" spans="1:16" x14ac:dyDescent="0.15">
      <c r="A10" s="3" t="s">
        <v>53</v>
      </c>
      <c r="B10" s="13">
        <f>SUM(Reports!B3:E3)</f>
        <v>14397</v>
      </c>
      <c r="C10" s="13">
        <f>SUM(Reports!F3:I3)</f>
        <v>19667</v>
      </c>
      <c r="D10" s="6">
        <f>SUM(Reports!J3:M3)</f>
        <v>32763</v>
      </c>
      <c r="E10" s="6"/>
    </row>
    <row r="11" spans="1:16" x14ac:dyDescent="0.15">
      <c r="A11" s="3" t="s">
        <v>54</v>
      </c>
      <c r="B11" s="13">
        <f>SUM(Reports!B4:E4)</f>
        <v>471</v>
      </c>
      <c r="C11" s="13">
        <f>SUM(Reports!F4:I4)</f>
        <v>979</v>
      </c>
      <c r="D11" s="6">
        <f>SUM(Reports!J4:M4)</f>
        <v>2058</v>
      </c>
      <c r="E11" s="6"/>
    </row>
    <row r="12" spans="1:16" x14ac:dyDescent="0.15">
      <c r="A12" s="3" t="s">
        <v>55</v>
      </c>
      <c r="B12" s="13">
        <f>SUM(Reports!B5:E5)</f>
        <v>969</v>
      </c>
      <c r="C12" s="13">
        <f>SUM(Reports!F5:I5)</f>
        <v>2169</v>
      </c>
      <c r="D12" s="6">
        <f>SUM(Reports!J5:M5)</f>
        <v>2995</v>
      </c>
      <c r="E12" s="6"/>
    </row>
    <row r="13" spans="1:16" x14ac:dyDescent="0.15">
      <c r="A13" s="3" t="s">
        <v>56</v>
      </c>
      <c r="B13" s="13"/>
      <c r="C13" s="13">
        <f>SUM(Reports!F6:I6)</f>
        <v>439</v>
      </c>
      <c r="D13" s="6">
        <f>SUM(Reports!J6:M6)</f>
        <v>506</v>
      </c>
      <c r="E13" s="6"/>
    </row>
    <row r="14" spans="1:16" x14ac:dyDescent="0.15">
      <c r="B14" s="13"/>
      <c r="C14" s="13"/>
      <c r="D14" s="6"/>
      <c r="E14" s="6"/>
    </row>
    <row r="15" spans="1:16" x14ac:dyDescent="0.15">
      <c r="A15" s="3" t="s">
        <v>81</v>
      </c>
      <c r="B15" s="13">
        <f>Reports!E8</f>
        <v>423</v>
      </c>
      <c r="C15" s="13">
        <f>Reports!I8</f>
        <v>454</v>
      </c>
      <c r="D15" s="6">
        <f>Reports!M8</f>
        <v>515</v>
      </c>
      <c r="E15" s="6">
        <f>Reports!Q8</f>
        <v>667.80000000000007</v>
      </c>
      <c r="F15" s="6">
        <f>E15*1.2</f>
        <v>801.36</v>
      </c>
      <c r="G15" s="6">
        <f t="shared" ref="G15:I15" si="1">F15*1.2</f>
        <v>961.63199999999995</v>
      </c>
      <c r="H15" s="6">
        <f t="shared" si="1"/>
        <v>1153.9584</v>
      </c>
      <c r="I15" s="6">
        <f t="shared" si="1"/>
        <v>1384.75008</v>
      </c>
    </row>
    <row r="16" spans="1:16" s="6" customFormat="1" x14ac:dyDescent="0.15">
      <c r="A16" s="6" t="s">
        <v>94</v>
      </c>
      <c r="B16" s="15">
        <f>SUM(B10:B13)/B15</f>
        <v>37.439716312056738</v>
      </c>
      <c r="C16" s="15">
        <f>SUM(C10:C13)/C15</f>
        <v>51.220264317180614</v>
      </c>
      <c r="D16" s="15">
        <f>SUM(D10:D13)/D15</f>
        <v>74.411650485436894</v>
      </c>
      <c r="E16" s="13">
        <f>E18/E15</f>
        <v>83.875232105420778</v>
      </c>
      <c r="F16" s="6">
        <f>E16*1.15</f>
        <v>96.456516921233884</v>
      </c>
      <c r="G16" s="6">
        <f t="shared" ref="G16:I16" si="2">F16*1.15</f>
        <v>110.92499445941895</v>
      </c>
      <c r="H16" s="6">
        <f t="shared" si="2"/>
        <v>127.56374362833179</v>
      </c>
      <c r="I16" s="6">
        <f t="shared" si="2"/>
        <v>146.69830517258154</v>
      </c>
    </row>
    <row r="17" spans="1:122" x14ac:dyDescent="0.15">
      <c r="E17" s="62"/>
    </row>
    <row r="18" spans="1:122" x14ac:dyDescent="0.15">
      <c r="A18" s="2" t="s">
        <v>4</v>
      </c>
      <c r="B18" s="23">
        <f>B15*B16</f>
        <v>15837</v>
      </c>
      <c r="C18" s="23">
        <f>C15*C16</f>
        <v>23254</v>
      </c>
      <c r="D18" s="23">
        <f>D15*D16</f>
        <v>38322</v>
      </c>
      <c r="E18" s="63">
        <f>SUM(Reports!N11:Q11)</f>
        <v>56011.880000000005</v>
      </c>
      <c r="F18" s="14">
        <f>F15*F16</f>
        <v>77296.39439999999</v>
      </c>
      <c r="G18" s="14">
        <f t="shared" ref="G18:I18" si="3">G15*G16</f>
        <v>106669.02427199997</v>
      </c>
      <c r="H18" s="14">
        <f t="shared" si="3"/>
        <v>147203.25349535994</v>
      </c>
      <c r="I18" s="14">
        <f t="shared" si="3"/>
        <v>203140.4898235967</v>
      </c>
      <c r="J18" s="14">
        <f>I18*1.05</f>
        <v>213297.51431477655</v>
      </c>
      <c r="K18" s="14">
        <f t="shared" ref="K18:Q18" si="4">J18*1.05</f>
        <v>223962.39003051538</v>
      </c>
      <c r="L18" s="14">
        <f t="shared" si="4"/>
        <v>235160.50953204115</v>
      </c>
      <c r="M18" s="14">
        <f t="shared" si="4"/>
        <v>246918.53500864323</v>
      </c>
      <c r="N18" s="14">
        <f t="shared" si="4"/>
        <v>259264.46175907541</v>
      </c>
      <c r="O18" s="14">
        <f t="shared" si="4"/>
        <v>272227.68484702916</v>
      </c>
      <c r="P18" s="14">
        <f t="shared" si="4"/>
        <v>285839.06908938062</v>
      </c>
      <c r="Q18" s="14">
        <f t="shared" si="4"/>
        <v>300131.02254384966</v>
      </c>
      <c r="R18" s="14"/>
      <c r="S18" s="14"/>
      <c r="T18" s="14"/>
      <c r="U18" s="14"/>
      <c r="V18" s="14"/>
    </row>
    <row r="19" spans="1:122" x14ac:dyDescent="0.15">
      <c r="A19" s="3" t="s">
        <v>5</v>
      </c>
      <c r="B19" s="13">
        <f>SUM(Reports!B12:E12)</f>
        <v>5379</v>
      </c>
      <c r="C19" s="13">
        <f>SUM(Reports!F12:I12)</f>
        <v>8740</v>
      </c>
      <c r="D19" s="6">
        <f>SUM(Reports!J12:M12)</f>
        <v>16455</v>
      </c>
      <c r="E19" s="64">
        <f>SUM(Reports!N12:Q12)</f>
        <v>29693.800000000003</v>
      </c>
      <c r="F19" s="13">
        <f t="shared" ref="F19:G19" si="5">F18-F20</f>
        <v>40977.443999999996</v>
      </c>
      <c r="G19" s="13">
        <f t="shared" si="5"/>
        <v>56548.872719999985</v>
      </c>
      <c r="H19" s="13">
        <f t="shared" ref="H19:Q19" si="6">H18-H20</f>
        <v>78037.444353599974</v>
      </c>
      <c r="I19" s="13">
        <f t="shared" ref="I19" si="7">I18-I20</f>
        <v>107691.67320796795</v>
      </c>
      <c r="J19" s="13">
        <f t="shared" ref="J19" si="8">J18-J20</f>
        <v>113076.25686836636</v>
      </c>
      <c r="K19" s="13">
        <f t="shared" ref="K19" si="9">K18-K20</f>
        <v>118730.06971178467</v>
      </c>
      <c r="L19" s="13">
        <f t="shared" ref="L19" si="10">L18-L20</f>
        <v>124666.57319737392</v>
      </c>
      <c r="M19" s="13">
        <f t="shared" si="6"/>
        <v>130899.90185724261</v>
      </c>
      <c r="N19" s="13">
        <f t="shared" si="6"/>
        <v>137444.89695010474</v>
      </c>
      <c r="O19" s="13">
        <f t="shared" si="6"/>
        <v>144317.14179760998</v>
      </c>
      <c r="P19" s="13">
        <f t="shared" si="6"/>
        <v>151532.99888749048</v>
      </c>
      <c r="Q19" s="13">
        <f t="shared" si="6"/>
        <v>159109.64883186502</v>
      </c>
      <c r="R19" s="13"/>
      <c r="S19" s="13"/>
      <c r="T19" s="13"/>
      <c r="U19" s="13"/>
      <c r="V19" s="13"/>
    </row>
    <row r="20" spans="1:122" x14ac:dyDescent="0.15">
      <c r="A20" s="3" t="s">
        <v>6</v>
      </c>
      <c r="B20" s="15">
        <f>B18-B19</f>
        <v>10458</v>
      </c>
      <c r="C20" s="15">
        <f>C18-C19</f>
        <v>14514</v>
      </c>
      <c r="D20" s="15">
        <f>D18-D19</f>
        <v>21867</v>
      </c>
      <c r="E20" s="65">
        <f>E18-E19</f>
        <v>26318.080000000002</v>
      </c>
      <c r="F20" s="13">
        <f t="shared" ref="F20:Q20" si="11">F18*E33</f>
        <v>36318.950399999994</v>
      </c>
      <c r="G20" s="13">
        <f t="shared" si="11"/>
        <v>50120.151551999981</v>
      </c>
      <c r="H20" s="13">
        <f t="shared" si="11"/>
        <v>69165.809141759964</v>
      </c>
      <c r="I20" s="13">
        <f t="shared" si="11"/>
        <v>95448.816615628748</v>
      </c>
      <c r="J20" s="13">
        <f t="shared" si="11"/>
        <v>100221.25744641019</v>
      </c>
      <c r="K20" s="13">
        <f t="shared" si="11"/>
        <v>105232.32031873071</v>
      </c>
      <c r="L20" s="13">
        <f t="shared" si="11"/>
        <v>110493.93633466723</v>
      </c>
      <c r="M20" s="13">
        <f t="shared" si="11"/>
        <v>116018.63315140062</v>
      </c>
      <c r="N20" s="13">
        <f t="shared" si="11"/>
        <v>121819.56480897065</v>
      </c>
      <c r="O20" s="13">
        <f t="shared" si="11"/>
        <v>127910.54304941917</v>
      </c>
      <c r="P20" s="13">
        <f t="shared" si="11"/>
        <v>134306.07020189014</v>
      </c>
      <c r="Q20" s="13">
        <f t="shared" si="11"/>
        <v>141021.37371198463</v>
      </c>
      <c r="R20" s="13"/>
      <c r="S20" s="13"/>
      <c r="T20" s="13"/>
      <c r="U20" s="13"/>
      <c r="V20" s="13"/>
    </row>
    <row r="21" spans="1:122" x14ac:dyDescent="0.15">
      <c r="A21" s="3" t="s">
        <v>7</v>
      </c>
      <c r="B21" s="13">
        <f>SUM(Reports!B14:E14)</f>
        <v>2163</v>
      </c>
      <c r="C21" s="13">
        <f>SUM(Reports!F14:I14)</f>
        <v>2513</v>
      </c>
      <c r="D21" s="6">
        <f>SUM(Reports!J14:M14)</f>
        <v>3490</v>
      </c>
      <c r="E21" s="64">
        <f>SUM(Reports!N14:Q14)</f>
        <v>5806</v>
      </c>
      <c r="F21" s="13">
        <f>E21*1.3</f>
        <v>7547.8</v>
      </c>
      <c r="G21" s="13">
        <f t="shared" ref="G21:I21" si="12">F21*1.3</f>
        <v>9812.1400000000012</v>
      </c>
      <c r="H21" s="13">
        <f t="shared" si="12"/>
        <v>12755.782000000003</v>
      </c>
      <c r="I21" s="13">
        <f t="shared" si="12"/>
        <v>16582.516600000003</v>
      </c>
      <c r="J21" s="13">
        <f t="shared" ref="J21:Q21" si="13">I21*0.98</f>
        <v>16250.866268000002</v>
      </c>
      <c r="K21" s="13">
        <f t="shared" si="13"/>
        <v>15925.848942640001</v>
      </c>
      <c r="L21" s="13">
        <f t="shared" si="13"/>
        <v>15607.331963787201</v>
      </c>
      <c r="M21" s="13">
        <f t="shared" si="13"/>
        <v>15295.185324511456</v>
      </c>
      <c r="N21" s="13">
        <f t="shared" si="13"/>
        <v>14989.281618021227</v>
      </c>
      <c r="O21" s="13">
        <f t="shared" si="13"/>
        <v>14689.495985660802</v>
      </c>
      <c r="P21" s="13">
        <f t="shared" si="13"/>
        <v>14395.706065947586</v>
      </c>
      <c r="Q21" s="13">
        <f t="shared" si="13"/>
        <v>14107.791944628634</v>
      </c>
      <c r="R21" s="13"/>
      <c r="S21" s="13"/>
      <c r="T21" s="13"/>
      <c r="U21" s="13"/>
      <c r="V21" s="13"/>
    </row>
    <row r="22" spans="1:122" x14ac:dyDescent="0.15">
      <c r="A22" s="3" t="s">
        <v>8</v>
      </c>
      <c r="B22" s="13">
        <f>SUM(Reports!B15:E15)</f>
        <v>1770</v>
      </c>
      <c r="C22" s="13">
        <f>SUM(Reports!F15:I15)</f>
        <v>2401</v>
      </c>
      <c r="D22" s="6">
        <f>SUM(Reports!J15:M15)</f>
        <v>4188</v>
      </c>
      <c r="E22" s="64">
        <f>SUM(Reports!N15:Q15)</f>
        <v>6018</v>
      </c>
      <c r="F22" s="13">
        <f>E22*1.4</f>
        <v>8425.1999999999989</v>
      </c>
      <c r="G22" s="13">
        <f t="shared" ref="G22:I22" si="14">F22*1.4</f>
        <v>11795.279999999997</v>
      </c>
      <c r="H22" s="13">
        <f t="shared" si="14"/>
        <v>16513.391999999996</v>
      </c>
      <c r="I22" s="13">
        <f t="shared" si="14"/>
        <v>23118.748799999994</v>
      </c>
      <c r="J22" s="13">
        <f t="shared" ref="J22:Q22" si="15">I22*1.05</f>
        <v>24274.686239999995</v>
      </c>
      <c r="K22" s="13">
        <f t="shared" si="15"/>
        <v>25488.420551999996</v>
      </c>
      <c r="L22" s="13">
        <f t="shared" si="15"/>
        <v>26762.841579599997</v>
      </c>
      <c r="M22" s="13">
        <f t="shared" si="15"/>
        <v>28100.983658579997</v>
      </c>
      <c r="N22" s="13">
        <f t="shared" si="15"/>
        <v>29506.032841508997</v>
      </c>
      <c r="O22" s="13">
        <f t="shared" si="15"/>
        <v>30981.334483584447</v>
      </c>
      <c r="P22" s="13">
        <f t="shared" si="15"/>
        <v>32530.401207763673</v>
      </c>
      <c r="Q22" s="13">
        <f t="shared" si="15"/>
        <v>34156.921268151855</v>
      </c>
      <c r="R22" s="13"/>
      <c r="S22" s="13"/>
      <c r="T22" s="13"/>
      <c r="U22" s="13"/>
      <c r="V22" s="13"/>
    </row>
    <row r="23" spans="1:122" x14ac:dyDescent="0.15">
      <c r="A23" s="3" t="s">
        <v>9</v>
      </c>
      <c r="B23" s="13">
        <f>SUM(Reports!B16:E16)</f>
        <v>1975</v>
      </c>
      <c r="C23" s="13">
        <f>SUM(Reports!F16:I16)</f>
        <v>2557</v>
      </c>
      <c r="D23" s="6">
        <f>SUM(Reports!J16:M16)</f>
        <v>3647</v>
      </c>
      <c r="E23" s="64">
        <f>SUM(Reports!N16:Q16)</f>
        <v>4665.2</v>
      </c>
      <c r="F23" s="13">
        <f t="shared" ref="F23" si="16">E23*1.2</f>
        <v>5598.24</v>
      </c>
      <c r="G23" s="13">
        <f t="shared" ref="G23" si="17">F23*1.2</f>
        <v>6717.8879999999999</v>
      </c>
      <c r="H23" s="13">
        <f t="shared" ref="H23" si="18">G23*1.2</f>
        <v>8061.4655999999995</v>
      </c>
      <c r="I23" s="13">
        <f t="shared" ref="I23" si="19">H23*1.2</f>
        <v>9673.7587199999998</v>
      </c>
      <c r="J23" s="13">
        <f t="shared" ref="J23:Q23" si="20">I23*0.98</f>
        <v>9480.2835455999993</v>
      </c>
      <c r="K23" s="13">
        <f t="shared" si="20"/>
        <v>9290.6778746879991</v>
      </c>
      <c r="L23" s="13">
        <f t="shared" si="20"/>
        <v>9104.8643171942385</v>
      </c>
      <c r="M23" s="13">
        <f t="shared" si="20"/>
        <v>8922.767030850353</v>
      </c>
      <c r="N23" s="13">
        <f t="shared" si="20"/>
        <v>8744.3116902333459</v>
      </c>
      <c r="O23" s="13">
        <f t="shared" si="20"/>
        <v>8569.4254564286784</v>
      </c>
      <c r="P23" s="13">
        <f t="shared" si="20"/>
        <v>8398.0369473001047</v>
      </c>
      <c r="Q23" s="13">
        <f t="shared" si="20"/>
        <v>8230.0762083541031</v>
      </c>
      <c r="R23" s="13"/>
      <c r="S23" s="13"/>
      <c r="T23" s="13"/>
      <c r="U23" s="13"/>
      <c r="V23" s="13"/>
    </row>
    <row r="24" spans="1:122" x14ac:dyDescent="0.15">
      <c r="A24" s="3" t="s">
        <v>10</v>
      </c>
      <c r="B24" s="15">
        <f>SUM(B21:B23)</f>
        <v>5908</v>
      </c>
      <c r="C24" s="15">
        <f>SUM(C21:C23)</f>
        <v>7471</v>
      </c>
      <c r="D24" s="15">
        <f>SUM(D21:D23)</f>
        <v>11325</v>
      </c>
      <c r="E24" s="65">
        <f>SUM(E21:E23)</f>
        <v>16489.2</v>
      </c>
      <c r="F24" s="13">
        <f t="shared" ref="F24:G24" si="21">SUM(F21:F23)</f>
        <v>21571.239999999998</v>
      </c>
      <c r="G24" s="13">
        <f t="shared" si="21"/>
        <v>28325.307999999997</v>
      </c>
      <c r="H24" s="13">
        <f t="shared" ref="H24:Q24" si="22">SUM(H21:H23)</f>
        <v>37330.639599999995</v>
      </c>
      <c r="I24" s="13">
        <f t="shared" ref="I24" si="23">SUM(I21:I23)</f>
        <v>49375.024119999995</v>
      </c>
      <c r="J24" s="13">
        <f t="shared" ref="J24" si="24">SUM(J21:J23)</f>
        <v>50005.836053599996</v>
      </c>
      <c r="K24" s="13">
        <f t="shared" ref="K24" si="25">SUM(K21:K23)</f>
        <v>50704.947369328002</v>
      </c>
      <c r="L24" s="13">
        <f t="shared" ref="L24" si="26">SUM(L21:L23)</f>
        <v>51475.037860581433</v>
      </c>
      <c r="M24" s="13">
        <f t="shared" si="22"/>
        <v>52318.936013941806</v>
      </c>
      <c r="N24" s="13">
        <f t="shared" si="22"/>
        <v>53239.626149763571</v>
      </c>
      <c r="O24" s="13">
        <f t="shared" si="22"/>
        <v>54240.255925673933</v>
      </c>
      <c r="P24" s="13">
        <f t="shared" si="22"/>
        <v>55324.14422101136</v>
      </c>
      <c r="Q24" s="13">
        <f t="shared" si="22"/>
        <v>56494.789421134592</v>
      </c>
      <c r="R24" s="13"/>
      <c r="S24" s="13"/>
      <c r="T24" s="13"/>
      <c r="U24" s="13"/>
      <c r="V24" s="13"/>
    </row>
    <row r="25" spans="1:122" x14ac:dyDescent="0.15">
      <c r="A25" s="3" t="s">
        <v>11</v>
      </c>
      <c r="B25" s="15">
        <f>B20-B24</f>
        <v>4550</v>
      </c>
      <c r="C25" s="15">
        <f>C20-C24</f>
        <v>7043</v>
      </c>
      <c r="D25" s="15">
        <f>D20-D24</f>
        <v>10542</v>
      </c>
      <c r="E25" s="65">
        <f>E20-E24</f>
        <v>9828.880000000001</v>
      </c>
      <c r="F25" s="13">
        <f t="shared" ref="F25:G25" si="27">F20-F24</f>
        <v>14747.710399999996</v>
      </c>
      <c r="G25" s="13">
        <f t="shared" si="27"/>
        <v>21794.843551999984</v>
      </c>
      <c r="H25" s="13">
        <f t="shared" ref="H25:Q25" si="28">H20-H24</f>
        <v>31835.169541759969</v>
      </c>
      <c r="I25" s="13">
        <f t="shared" ref="I25" si="29">I20-I24</f>
        <v>46073.792495628753</v>
      </c>
      <c r="J25" s="13">
        <f t="shared" ref="J25" si="30">J20-J24</f>
        <v>50215.421392810196</v>
      </c>
      <c r="K25" s="13">
        <f t="shared" ref="K25" si="31">K20-K24</f>
        <v>54527.372949402707</v>
      </c>
      <c r="L25" s="13">
        <f t="shared" ref="L25" si="32">L20-L24</f>
        <v>59018.8984740858</v>
      </c>
      <c r="M25" s="13">
        <f t="shared" si="28"/>
        <v>63699.69713745881</v>
      </c>
      <c r="N25" s="13">
        <f t="shared" si="28"/>
        <v>68579.93865920708</v>
      </c>
      <c r="O25" s="13">
        <f t="shared" si="28"/>
        <v>73670.287123745235</v>
      </c>
      <c r="P25" s="13">
        <f t="shared" si="28"/>
        <v>78981.925980878776</v>
      </c>
      <c r="Q25" s="13">
        <f t="shared" si="28"/>
        <v>84526.584290850034</v>
      </c>
      <c r="R25" s="13"/>
      <c r="S25" s="13"/>
      <c r="T25" s="13"/>
      <c r="U25" s="13"/>
      <c r="V25" s="13"/>
    </row>
    <row r="26" spans="1:122" x14ac:dyDescent="0.15">
      <c r="A26" s="3" t="s">
        <v>12</v>
      </c>
      <c r="B26" s="13">
        <f>SUM(Reports!B19:E19)</f>
        <v>8331</v>
      </c>
      <c r="C26" s="13">
        <f>SUM(Reports!F19:I19)</f>
        <v>1749</v>
      </c>
      <c r="D26" s="6">
        <f>SUM(Reports!J19:M19)</f>
        <v>1910</v>
      </c>
      <c r="E26" s="64">
        <f>SUM(Reports!N19:Q19)</f>
        <v>3534.26</v>
      </c>
      <c r="F26" s="13">
        <f t="shared" ref="F26:Q26" si="33">E43*$F$3</f>
        <v>1550.0549149736646</v>
      </c>
      <c r="G26" s="13">
        <f t="shared" si="33"/>
        <v>2242.7099408600452</v>
      </c>
      <c r="H26" s="13">
        <f t="shared" si="33"/>
        <v>3264.3059643065967</v>
      </c>
      <c r="I26" s="13">
        <f t="shared" si="33"/>
        <v>4756.0336733144259</v>
      </c>
      <c r="J26" s="13">
        <f t="shared" si="33"/>
        <v>6916.3012854945118</v>
      </c>
      <c r="K26" s="13">
        <f t="shared" si="33"/>
        <v>9344.3994993224624</v>
      </c>
      <c r="L26" s="13">
        <f t="shared" si="33"/>
        <v>12058.949828393284</v>
      </c>
      <c r="M26" s="13">
        <f t="shared" si="33"/>
        <v>15079.758381248645</v>
      </c>
      <c r="N26" s="13">
        <f t="shared" si="33"/>
        <v>18427.885240793712</v>
      </c>
      <c r="O26" s="13">
        <f t="shared" si="33"/>
        <v>22125.717756543745</v>
      </c>
      <c r="P26" s="13">
        <f t="shared" si="33"/>
        <v>26197.047963956029</v>
      </c>
      <c r="Q26" s="13">
        <f t="shared" si="33"/>
        <v>30667.154356611511</v>
      </c>
      <c r="R26" s="13"/>
      <c r="S26" s="13"/>
      <c r="T26" s="13"/>
      <c r="U26" s="13"/>
      <c r="V26" s="13"/>
    </row>
    <row r="27" spans="1:122" x14ac:dyDescent="0.15">
      <c r="A27" s="3" t="s">
        <v>13</v>
      </c>
      <c r="B27" s="15">
        <f>SUM(Reports!B20:E20)</f>
        <v>12881</v>
      </c>
      <c r="C27" s="15">
        <f>C25+C26</f>
        <v>8792</v>
      </c>
      <c r="D27" s="15">
        <f>D25+D26</f>
        <v>12452</v>
      </c>
      <c r="E27" s="65">
        <f>E25+E26</f>
        <v>13363.140000000001</v>
      </c>
      <c r="F27" s="13">
        <f t="shared" ref="F27:G27" si="34">F25+F26</f>
        <v>16297.765314973662</v>
      </c>
      <c r="G27" s="13">
        <f t="shared" si="34"/>
        <v>24037.553492860028</v>
      </c>
      <c r="H27" s="13">
        <f t="shared" ref="H27:Q27" si="35">H25+H26</f>
        <v>35099.475506066563</v>
      </c>
      <c r="I27" s="13">
        <f t="shared" ref="I27" si="36">I25+I26</f>
        <v>50829.826168943182</v>
      </c>
      <c r="J27" s="13">
        <f t="shared" ref="J27" si="37">J25+J26</f>
        <v>57131.722678304708</v>
      </c>
      <c r="K27" s="13">
        <f t="shared" ref="K27" si="38">K25+K26</f>
        <v>63871.772448725169</v>
      </c>
      <c r="L27" s="13">
        <f t="shared" ref="L27" si="39">L25+L26</f>
        <v>71077.848302479077</v>
      </c>
      <c r="M27" s="13">
        <f t="shared" si="35"/>
        <v>78779.455518707458</v>
      </c>
      <c r="N27" s="13">
        <f t="shared" si="35"/>
        <v>87007.823900000789</v>
      </c>
      <c r="O27" s="13">
        <f t="shared" si="35"/>
        <v>95796.00488028898</v>
      </c>
      <c r="P27" s="13">
        <f t="shared" si="35"/>
        <v>105178.97394483481</v>
      </c>
      <c r="Q27" s="13">
        <f t="shared" si="35"/>
        <v>115193.73864746155</v>
      </c>
      <c r="R27" s="13"/>
      <c r="S27" s="13"/>
      <c r="T27" s="13"/>
      <c r="U27" s="13"/>
      <c r="V27" s="13"/>
    </row>
    <row r="28" spans="1:122" x14ac:dyDescent="0.15">
      <c r="A28" s="3" t="s">
        <v>14</v>
      </c>
      <c r="B28" s="13">
        <f>SUM(Reports!B21:E21)</f>
        <v>1592</v>
      </c>
      <c r="C28" s="13">
        <f>SUM(Reports!F21:I21)</f>
        <v>2754</v>
      </c>
      <c r="D28" s="6">
        <f>SUM(Reports!J21:M21)</f>
        <v>3121</v>
      </c>
      <c r="E28" s="64">
        <f>SUM(Reports!N21:Q21)</f>
        <v>2218.0417005267118</v>
      </c>
      <c r="F28" s="13">
        <f>F27*0.15</f>
        <v>2444.6647972460491</v>
      </c>
      <c r="G28" s="13">
        <f t="shared" ref="G28:Q28" si="40">G27*0.15</f>
        <v>3605.6330239290041</v>
      </c>
      <c r="H28" s="13">
        <f t="shared" si="40"/>
        <v>5264.9213259099843</v>
      </c>
      <c r="I28" s="13">
        <f t="shared" si="40"/>
        <v>7624.4739253414773</v>
      </c>
      <c r="J28" s="13">
        <f t="shared" si="40"/>
        <v>8569.7584017457066</v>
      </c>
      <c r="K28" s="13">
        <f t="shared" si="40"/>
        <v>9580.7658673087753</v>
      </c>
      <c r="L28" s="13">
        <f t="shared" si="40"/>
        <v>10661.67724537186</v>
      </c>
      <c r="M28" s="13">
        <f t="shared" si="40"/>
        <v>11816.918327806119</v>
      </c>
      <c r="N28" s="13">
        <f t="shared" si="40"/>
        <v>13051.173585000119</v>
      </c>
      <c r="O28" s="13">
        <f t="shared" si="40"/>
        <v>14369.400732043347</v>
      </c>
      <c r="P28" s="13">
        <f t="shared" si="40"/>
        <v>15776.846091725221</v>
      </c>
      <c r="Q28" s="13">
        <f t="shared" si="40"/>
        <v>17279.060797119233</v>
      </c>
      <c r="R28" s="13"/>
      <c r="S28" s="13"/>
      <c r="T28" s="13"/>
      <c r="U28" s="13"/>
      <c r="V28" s="13"/>
    </row>
    <row r="29" spans="1:122" s="2" customFormat="1" x14ac:dyDescent="0.15">
      <c r="A29" s="2" t="s">
        <v>15</v>
      </c>
      <c r="B29" s="23">
        <f>B27-B28</f>
        <v>11289</v>
      </c>
      <c r="C29" s="23">
        <f>C27-C28</f>
        <v>6038</v>
      </c>
      <c r="D29" s="23">
        <f>D27-D28</f>
        <v>9331</v>
      </c>
      <c r="E29" s="23">
        <f t="shared" ref="E29:G29" si="41">E27-E28</f>
        <v>11145.098299473289</v>
      </c>
      <c r="F29" s="23">
        <f t="shared" si="41"/>
        <v>13853.100517727613</v>
      </c>
      <c r="G29" s="23">
        <f t="shared" si="41"/>
        <v>20431.920468931025</v>
      </c>
      <c r="H29" s="23">
        <f t="shared" ref="H29:Q29" si="42">H27-H28</f>
        <v>29834.554180156578</v>
      </c>
      <c r="I29" s="23">
        <f t="shared" ref="I29" si="43">I27-I28</f>
        <v>43205.352243601708</v>
      </c>
      <c r="J29" s="23">
        <f t="shared" ref="J29" si="44">J27-J28</f>
        <v>48561.964276559003</v>
      </c>
      <c r="K29" s="23">
        <f t="shared" ref="K29" si="45">K27-K28</f>
        <v>54291.006581416397</v>
      </c>
      <c r="L29" s="23">
        <f t="shared" ref="L29" si="46">L27-L28</f>
        <v>60416.171057107218</v>
      </c>
      <c r="M29" s="23">
        <f t="shared" si="42"/>
        <v>66962.537190901334</v>
      </c>
      <c r="N29" s="23">
        <f t="shared" si="42"/>
        <v>73956.650315000676</v>
      </c>
      <c r="O29" s="23">
        <f t="shared" si="42"/>
        <v>81426.604148245635</v>
      </c>
      <c r="P29" s="23">
        <f t="shared" si="42"/>
        <v>89402.127853109589</v>
      </c>
      <c r="Q29" s="23">
        <f t="shared" si="42"/>
        <v>97914.677850342312</v>
      </c>
      <c r="R29" s="23">
        <f>Q29*($F$2+1)</f>
        <v>95956.384293335461</v>
      </c>
      <c r="S29" s="23">
        <f t="shared" ref="S29:CD29" si="47">R29*($F$2+1)</f>
        <v>94037.256607468749</v>
      </c>
      <c r="T29" s="23">
        <f t="shared" si="47"/>
        <v>92156.511475319377</v>
      </c>
      <c r="U29" s="23">
        <f t="shared" si="47"/>
        <v>90313.381245812983</v>
      </c>
      <c r="V29" s="23">
        <f t="shared" si="47"/>
        <v>88507.113620896722</v>
      </c>
      <c r="W29" s="23">
        <f t="shared" si="47"/>
        <v>86736.971348478779</v>
      </c>
      <c r="X29" s="23">
        <f t="shared" si="47"/>
        <v>85002.231921509199</v>
      </c>
      <c r="Y29" s="23">
        <f t="shared" si="47"/>
        <v>83302.187283079009</v>
      </c>
      <c r="Z29" s="23">
        <f t="shared" si="47"/>
        <v>81636.143537417433</v>
      </c>
      <c r="AA29" s="23">
        <f t="shared" si="47"/>
        <v>80003.420666669088</v>
      </c>
      <c r="AB29" s="23">
        <f t="shared" si="47"/>
        <v>78403.352253335703</v>
      </c>
      <c r="AC29" s="23">
        <f t="shared" si="47"/>
        <v>76835.285208268993</v>
      </c>
      <c r="AD29" s="23">
        <f t="shared" si="47"/>
        <v>75298.579504103618</v>
      </c>
      <c r="AE29" s="23">
        <f t="shared" si="47"/>
        <v>73792.607914021544</v>
      </c>
      <c r="AF29" s="23">
        <f t="shared" si="47"/>
        <v>72316.755755741106</v>
      </c>
      <c r="AG29" s="23">
        <f t="shared" si="47"/>
        <v>70870.420640626282</v>
      </c>
      <c r="AH29" s="23">
        <f t="shared" si="47"/>
        <v>69453.012227813757</v>
      </c>
      <c r="AI29" s="23">
        <f t="shared" si="47"/>
        <v>68063.951983257473</v>
      </c>
      <c r="AJ29" s="23">
        <f t="shared" si="47"/>
        <v>66702.672943592319</v>
      </c>
      <c r="AK29" s="23">
        <f t="shared" si="47"/>
        <v>65368.619484720468</v>
      </c>
      <c r="AL29" s="23">
        <f t="shared" si="47"/>
        <v>64061.247095026054</v>
      </c>
      <c r="AM29" s="23">
        <f t="shared" si="47"/>
        <v>62780.02215312553</v>
      </c>
      <c r="AN29" s="23">
        <f t="shared" si="47"/>
        <v>61524.421710063019</v>
      </c>
      <c r="AO29" s="23">
        <f t="shared" si="47"/>
        <v>60293.93327586176</v>
      </c>
      <c r="AP29" s="23">
        <f t="shared" si="47"/>
        <v>59088.054610344523</v>
      </c>
      <c r="AQ29" s="23">
        <f t="shared" si="47"/>
        <v>57906.293518137631</v>
      </c>
      <c r="AR29" s="23">
        <f t="shared" si="47"/>
        <v>56748.167647774877</v>
      </c>
      <c r="AS29" s="23">
        <f t="shared" si="47"/>
        <v>55613.204294819378</v>
      </c>
      <c r="AT29" s="23">
        <f t="shared" si="47"/>
        <v>54500.940208922992</v>
      </c>
      <c r="AU29" s="23">
        <f t="shared" si="47"/>
        <v>53410.921404744528</v>
      </c>
      <c r="AV29" s="23">
        <f t="shared" si="47"/>
        <v>52342.702976649634</v>
      </c>
      <c r="AW29" s="23">
        <f t="shared" si="47"/>
        <v>51295.848917116644</v>
      </c>
      <c r="AX29" s="23">
        <f t="shared" si="47"/>
        <v>50269.931938774309</v>
      </c>
      <c r="AY29" s="23">
        <f t="shared" si="47"/>
        <v>49264.533299998824</v>
      </c>
      <c r="AZ29" s="23">
        <f t="shared" si="47"/>
        <v>48279.242633998845</v>
      </c>
      <c r="BA29" s="23">
        <f t="shared" si="47"/>
        <v>47313.657781318871</v>
      </c>
      <c r="BB29" s="23">
        <f t="shared" si="47"/>
        <v>46367.384625692495</v>
      </c>
      <c r="BC29" s="23">
        <f t="shared" si="47"/>
        <v>45440.036933178642</v>
      </c>
      <c r="BD29" s="23">
        <f t="shared" si="47"/>
        <v>44531.23619451507</v>
      </c>
      <c r="BE29" s="23">
        <f t="shared" si="47"/>
        <v>43640.611470624768</v>
      </c>
      <c r="BF29" s="23">
        <f t="shared" si="47"/>
        <v>42767.799241212269</v>
      </c>
      <c r="BG29" s="23">
        <f t="shared" si="47"/>
        <v>41912.443256388025</v>
      </c>
      <c r="BH29" s="23">
        <f t="shared" si="47"/>
        <v>41074.194391260266</v>
      </c>
      <c r="BI29" s="23">
        <f t="shared" si="47"/>
        <v>40252.710503435061</v>
      </c>
      <c r="BJ29" s="23">
        <f t="shared" si="47"/>
        <v>39447.656293366359</v>
      </c>
      <c r="BK29" s="23">
        <f t="shared" si="47"/>
        <v>38658.703167499028</v>
      </c>
      <c r="BL29" s="23">
        <f t="shared" si="47"/>
        <v>37885.529104149049</v>
      </c>
      <c r="BM29" s="23">
        <f t="shared" si="47"/>
        <v>37127.818522066067</v>
      </c>
      <c r="BN29" s="23">
        <f t="shared" si="47"/>
        <v>36385.262151624745</v>
      </c>
      <c r="BO29" s="23">
        <f t="shared" si="47"/>
        <v>35657.556908592247</v>
      </c>
      <c r="BP29" s="23">
        <f t="shared" si="47"/>
        <v>34944.405770420402</v>
      </c>
      <c r="BQ29" s="23">
        <f t="shared" si="47"/>
        <v>34245.517655011994</v>
      </c>
      <c r="BR29" s="23">
        <f t="shared" si="47"/>
        <v>33560.607301911754</v>
      </c>
      <c r="BS29" s="23">
        <f t="shared" si="47"/>
        <v>32889.395155873521</v>
      </c>
      <c r="BT29" s="23">
        <f t="shared" si="47"/>
        <v>32231.60725275605</v>
      </c>
      <c r="BU29" s="23">
        <f t="shared" si="47"/>
        <v>31586.975107700928</v>
      </c>
      <c r="BV29" s="23">
        <f t="shared" si="47"/>
        <v>30955.23560554691</v>
      </c>
      <c r="BW29" s="23">
        <f t="shared" si="47"/>
        <v>30336.130893435969</v>
      </c>
      <c r="BX29" s="23">
        <f t="shared" si="47"/>
        <v>29729.40827556725</v>
      </c>
      <c r="BY29" s="23">
        <f t="shared" si="47"/>
        <v>29134.820110055905</v>
      </c>
      <c r="BZ29" s="23">
        <f t="shared" si="47"/>
        <v>28552.123707854786</v>
      </c>
      <c r="CA29" s="23">
        <f t="shared" si="47"/>
        <v>27981.081233697689</v>
      </c>
      <c r="CB29" s="23">
        <f t="shared" si="47"/>
        <v>27421.459609023736</v>
      </c>
      <c r="CC29" s="23">
        <f t="shared" si="47"/>
        <v>26873.030416843259</v>
      </c>
      <c r="CD29" s="23">
        <f t="shared" si="47"/>
        <v>26335.569808506392</v>
      </c>
      <c r="CE29" s="23">
        <f t="shared" ref="CE29:DR29" si="48">CD29*($F$2+1)</f>
        <v>25808.858412336263</v>
      </c>
      <c r="CF29" s="23">
        <f t="shared" si="48"/>
        <v>25292.681244089537</v>
      </c>
      <c r="CG29" s="23">
        <f t="shared" si="48"/>
        <v>24786.827619207746</v>
      </c>
      <c r="CH29" s="23">
        <f t="shared" si="48"/>
        <v>24291.091066823592</v>
      </c>
      <c r="CI29" s="23">
        <f t="shared" si="48"/>
        <v>23805.269245487121</v>
      </c>
      <c r="CJ29" s="23">
        <f t="shared" si="48"/>
        <v>23329.163860577377</v>
      </c>
      <c r="CK29" s="23">
        <f t="shared" si="48"/>
        <v>22862.580583365831</v>
      </c>
      <c r="CL29" s="23">
        <f t="shared" si="48"/>
        <v>22405.328971698513</v>
      </c>
      <c r="CM29" s="23">
        <f t="shared" si="48"/>
        <v>21957.222392264543</v>
      </c>
      <c r="CN29" s="23">
        <f t="shared" si="48"/>
        <v>21518.077944419252</v>
      </c>
      <c r="CO29" s="23">
        <f t="shared" si="48"/>
        <v>21087.716385530868</v>
      </c>
      <c r="CP29" s="23">
        <f t="shared" si="48"/>
        <v>20665.962057820252</v>
      </c>
      <c r="CQ29" s="23">
        <f t="shared" si="48"/>
        <v>20252.642816663847</v>
      </c>
      <c r="CR29" s="23">
        <f t="shared" si="48"/>
        <v>19847.58996033057</v>
      </c>
      <c r="CS29" s="23">
        <f t="shared" si="48"/>
        <v>19450.638161123959</v>
      </c>
      <c r="CT29" s="23">
        <f t="shared" si="48"/>
        <v>19061.62539790148</v>
      </c>
      <c r="CU29" s="23">
        <f t="shared" si="48"/>
        <v>18680.39288994345</v>
      </c>
      <c r="CV29" s="23">
        <f t="shared" si="48"/>
        <v>18306.78503214458</v>
      </c>
      <c r="CW29" s="23">
        <f t="shared" si="48"/>
        <v>17940.649331501689</v>
      </c>
      <c r="CX29" s="23">
        <f t="shared" si="48"/>
        <v>17581.836344871655</v>
      </c>
      <c r="CY29" s="23">
        <f t="shared" si="48"/>
        <v>17230.199617974224</v>
      </c>
      <c r="CZ29" s="23">
        <f t="shared" si="48"/>
        <v>16885.59562561474</v>
      </c>
      <c r="DA29" s="23">
        <f t="shared" si="48"/>
        <v>16547.883713102445</v>
      </c>
      <c r="DB29" s="23">
        <f t="shared" si="48"/>
        <v>16216.926038840396</v>
      </c>
      <c r="DC29" s="23">
        <f t="shared" si="48"/>
        <v>15892.587518063589</v>
      </c>
      <c r="DD29" s="23">
        <f t="shared" si="48"/>
        <v>15574.735767702316</v>
      </c>
      <c r="DE29" s="23">
        <f t="shared" si="48"/>
        <v>15263.241052348269</v>
      </c>
      <c r="DF29" s="23">
        <f t="shared" si="48"/>
        <v>14957.976231301303</v>
      </c>
      <c r="DG29" s="23">
        <f t="shared" si="48"/>
        <v>14658.816706675278</v>
      </c>
      <c r="DH29" s="23">
        <f t="shared" si="48"/>
        <v>14365.640372541771</v>
      </c>
      <c r="DI29" s="23">
        <f t="shared" si="48"/>
        <v>14078.327565090936</v>
      </c>
      <c r="DJ29" s="23">
        <f t="shared" si="48"/>
        <v>13796.761013789117</v>
      </c>
      <c r="DK29" s="23">
        <f t="shared" si="48"/>
        <v>13520.825793513335</v>
      </c>
      <c r="DL29" s="23">
        <f t="shared" si="48"/>
        <v>13250.409277643068</v>
      </c>
      <c r="DM29" s="23">
        <f t="shared" si="48"/>
        <v>12985.401092090206</v>
      </c>
      <c r="DN29" s="23">
        <f t="shared" si="48"/>
        <v>12725.693070248401</v>
      </c>
      <c r="DO29" s="23">
        <f t="shared" si="48"/>
        <v>12471.179208843432</v>
      </c>
      <c r="DP29" s="23">
        <f t="shared" si="48"/>
        <v>12221.755624666563</v>
      </c>
      <c r="DQ29" s="23">
        <f t="shared" si="48"/>
        <v>11977.320512173232</v>
      </c>
      <c r="DR29" s="23">
        <f t="shared" si="48"/>
        <v>11737.774101929766</v>
      </c>
    </row>
    <row r="30" spans="1:122" x14ac:dyDescent="0.15">
      <c r="A30" s="3" t="s">
        <v>16</v>
      </c>
      <c r="B30" s="16">
        <f>B29/B31</f>
        <v>4.4340141398271795</v>
      </c>
      <c r="C30" s="16">
        <f>C29/C31</f>
        <v>2.3394033320418441</v>
      </c>
      <c r="D30" s="16">
        <f>D29/D31</f>
        <v>3.5628102329133258</v>
      </c>
      <c r="E30" s="16">
        <f>E29/E31</f>
        <v>4.2636183242055434</v>
      </c>
      <c r="F30" s="16">
        <f t="shared" ref="F30:G30" si="49">F29/F31</f>
        <v>5.2995793870419332</v>
      </c>
      <c r="G30" s="16">
        <f t="shared" si="49"/>
        <v>7.8163429490937357</v>
      </c>
      <c r="H30" s="16">
        <f t="shared" ref="H30:Q30" si="50">H29/H31</f>
        <v>11.413371912837253</v>
      </c>
      <c r="I30" s="16">
        <f t="shared" ref="I30" si="51">I29/I31</f>
        <v>16.528443857536995</v>
      </c>
      <c r="J30" s="16">
        <f t="shared" ref="J30" si="52">J29/J31</f>
        <v>18.577645094322495</v>
      </c>
      <c r="K30" s="16">
        <f t="shared" ref="K30" si="53">K29/K31</f>
        <v>20.769321569019279</v>
      </c>
      <c r="L30" s="16">
        <f t="shared" ref="L30" si="54">L29/L31</f>
        <v>23.112536747171852</v>
      </c>
      <c r="M30" s="16">
        <f t="shared" si="50"/>
        <v>25.616884923833716</v>
      </c>
      <c r="N30" s="16">
        <f t="shared" si="50"/>
        <v>28.292521161056111</v>
      </c>
      <c r="O30" s="16">
        <f t="shared" si="50"/>
        <v>31.150192864669332</v>
      </c>
      <c r="P30" s="16">
        <f t="shared" si="50"/>
        <v>34.201273088412236</v>
      </c>
      <c r="Q30" s="16">
        <f t="shared" si="50"/>
        <v>37.457795658126365</v>
      </c>
      <c r="R30" s="16"/>
      <c r="S30" s="16"/>
      <c r="T30" s="16"/>
      <c r="U30" s="16"/>
      <c r="V30" s="16"/>
    </row>
    <row r="31" spans="1:122" x14ac:dyDescent="0.15">
      <c r="A31" s="3" t="s">
        <v>17</v>
      </c>
      <c r="B31" s="13">
        <f>Reports!E24</f>
        <v>2546</v>
      </c>
      <c r="C31" s="13">
        <f>Reports!I24</f>
        <v>2581</v>
      </c>
      <c r="D31" s="13">
        <f>Reports!M24</f>
        <v>2619</v>
      </c>
      <c r="E31" s="13">
        <f>Reports!Q24</f>
        <v>2614</v>
      </c>
      <c r="F31" s="13">
        <f t="shared" ref="F31:G31" si="55">E31</f>
        <v>2614</v>
      </c>
      <c r="G31" s="13">
        <f t="shared" si="55"/>
        <v>2614</v>
      </c>
      <c r="H31" s="13">
        <f t="shared" ref="H31:Q31" si="56">G31</f>
        <v>2614</v>
      </c>
      <c r="I31" s="13">
        <f t="shared" ref="I31:L31" si="57">H31</f>
        <v>2614</v>
      </c>
      <c r="J31" s="13">
        <f t="shared" si="57"/>
        <v>2614</v>
      </c>
      <c r="K31" s="13">
        <f t="shared" si="57"/>
        <v>2614</v>
      </c>
      <c r="L31" s="13">
        <f t="shared" si="57"/>
        <v>2614</v>
      </c>
      <c r="M31" s="13">
        <f t="shared" si="56"/>
        <v>2614</v>
      </c>
      <c r="N31" s="13">
        <f t="shared" si="56"/>
        <v>2614</v>
      </c>
      <c r="O31" s="13">
        <f t="shared" si="56"/>
        <v>2614</v>
      </c>
      <c r="P31" s="13">
        <f t="shared" si="56"/>
        <v>2614</v>
      </c>
      <c r="Q31" s="13">
        <f t="shared" si="56"/>
        <v>2614</v>
      </c>
      <c r="R31" s="13"/>
      <c r="S31" s="13"/>
      <c r="T31" s="13"/>
      <c r="U31" s="13"/>
      <c r="V31" s="13"/>
    </row>
    <row r="32" spans="1:122" x14ac:dyDescent="0.1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122" x14ac:dyDescent="0.15">
      <c r="A33" s="3" t="s">
        <v>19</v>
      </c>
      <c r="B33" s="18">
        <f t="shared" ref="B33:Q33" si="58">IFERROR(B20/B18,0)</f>
        <v>0.66035233945823069</v>
      </c>
      <c r="C33" s="18">
        <f t="shared" si="58"/>
        <v>0.62415068375333271</v>
      </c>
      <c r="D33" s="18">
        <f t="shared" si="58"/>
        <v>0.57061218099264133</v>
      </c>
      <c r="E33" s="18">
        <f t="shared" si="58"/>
        <v>0.46986603556245565</v>
      </c>
      <c r="F33" s="18">
        <f t="shared" si="58"/>
        <v>0.46986603556245565</v>
      </c>
      <c r="G33" s="18">
        <f t="shared" si="58"/>
        <v>0.46986603556245565</v>
      </c>
      <c r="H33" s="18">
        <f t="shared" si="58"/>
        <v>0.46986603556245565</v>
      </c>
      <c r="I33" s="18">
        <f t="shared" si="58"/>
        <v>0.46986603556245565</v>
      </c>
      <c r="J33" s="18">
        <f t="shared" si="58"/>
        <v>0.46986603556245565</v>
      </c>
      <c r="K33" s="18">
        <f t="shared" si="58"/>
        <v>0.46986603556245565</v>
      </c>
      <c r="L33" s="18">
        <f t="shared" si="58"/>
        <v>0.46986603556245565</v>
      </c>
      <c r="M33" s="18">
        <f t="shared" si="58"/>
        <v>0.46986603556245565</v>
      </c>
      <c r="N33" s="18">
        <f t="shared" si="58"/>
        <v>0.46986603556245565</v>
      </c>
      <c r="O33" s="18">
        <f t="shared" si="58"/>
        <v>0.46986603556245565</v>
      </c>
      <c r="P33" s="18">
        <f t="shared" si="58"/>
        <v>0.46986603556245565</v>
      </c>
      <c r="Q33" s="18">
        <f t="shared" si="58"/>
        <v>0.46986603556245565</v>
      </c>
      <c r="R33" s="18"/>
      <c r="S33" s="18"/>
      <c r="T33" s="18"/>
      <c r="U33" s="18"/>
      <c r="V33" s="18"/>
    </row>
    <row r="34" spans="1:122" x14ac:dyDescent="0.15">
      <c r="A34" s="3" t="s">
        <v>20</v>
      </c>
      <c r="B34" s="19">
        <f t="shared" ref="B34:Q34" si="59">IFERROR(B25/B18,0)</f>
        <v>0.28730188798383532</v>
      </c>
      <c r="C34" s="19">
        <f t="shared" si="59"/>
        <v>0.30287262406467702</v>
      </c>
      <c r="D34" s="19">
        <f t="shared" si="59"/>
        <v>0.2750900266165649</v>
      </c>
      <c r="E34" s="19">
        <f t="shared" si="59"/>
        <v>0.17547848777794997</v>
      </c>
      <c r="F34" s="19">
        <f t="shared" si="59"/>
        <v>0.1907942862597482</v>
      </c>
      <c r="G34" s="19">
        <f t="shared" si="59"/>
        <v>0.20432214225963452</v>
      </c>
      <c r="H34" s="19">
        <f t="shared" si="59"/>
        <v>0.21626675216634025</v>
      </c>
      <c r="I34" s="19">
        <f t="shared" si="59"/>
        <v>0.2268075287976235</v>
      </c>
      <c r="J34" s="19">
        <f t="shared" si="59"/>
        <v>0.2354243159097679</v>
      </c>
      <c r="K34" s="19">
        <f t="shared" si="59"/>
        <v>0.24346665054776934</v>
      </c>
      <c r="L34" s="19">
        <f t="shared" si="59"/>
        <v>0.25097282954323735</v>
      </c>
      <c r="M34" s="19">
        <f t="shared" si="59"/>
        <v>0.25797859660567418</v>
      </c>
      <c r="N34" s="19">
        <f t="shared" si="59"/>
        <v>0.26451731253061517</v>
      </c>
      <c r="O34" s="19">
        <f t="shared" si="59"/>
        <v>0.27062011406056008</v>
      </c>
      <c r="P34" s="19">
        <f t="shared" si="59"/>
        <v>0.2763160621551754</v>
      </c>
      <c r="Q34" s="19">
        <f t="shared" si="59"/>
        <v>0.28163228037681626</v>
      </c>
      <c r="R34" s="19"/>
      <c r="S34" s="19"/>
      <c r="T34" s="19"/>
      <c r="U34" s="19"/>
      <c r="V34" s="19"/>
    </row>
    <row r="35" spans="1:122" x14ac:dyDescent="0.15">
      <c r="A35" s="3" t="s">
        <v>21</v>
      </c>
      <c r="B35" s="19">
        <f t="shared" ref="B35:Q35" si="60">IFERROR(B28/B27,0)</f>
        <v>0.12359288875087338</v>
      </c>
      <c r="C35" s="19">
        <f t="shared" si="60"/>
        <v>0.31323930846223841</v>
      </c>
      <c r="D35" s="19">
        <f t="shared" si="60"/>
        <v>0.25064246707356247</v>
      </c>
      <c r="E35" s="19">
        <f t="shared" si="60"/>
        <v>0.16598207461170889</v>
      </c>
      <c r="F35" s="19">
        <f t="shared" si="60"/>
        <v>0.15</v>
      </c>
      <c r="G35" s="19">
        <f t="shared" si="60"/>
        <v>0.15</v>
      </c>
      <c r="H35" s="19">
        <f t="shared" si="60"/>
        <v>0.15</v>
      </c>
      <c r="I35" s="19">
        <f t="shared" si="60"/>
        <v>0.15</v>
      </c>
      <c r="J35" s="19">
        <f t="shared" si="60"/>
        <v>0.15</v>
      </c>
      <c r="K35" s="19">
        <f t="shared" si="60"/>
        <v>0.15</v>
      </c>
      <c r="L35" s="19">
        <f t="shared" si="60"/>
        <v>0.15</v>
      </c>
      <c r="M35" s="19">
        <f t="shared" si="60"/>
        <v>0.15</v>
      </c>
      <c r="N35" s="19">
        <f t="shared" si="60"/>
        <v>0.15</v>
      </c>
      <c r="O35" s="19">
        <f t="shared" si="60"/>
        <v>0.15</v>
      </c>
      <c r="P35" s="19">
        <f t="shared" si="60"/>
        <v>0.15</v>
      </c>
      <c r="Q35" s="19">
        <f t="shared" si="60"/>
        <v>0.15</v>
      </c>
      <c r="R35" s="19"/>
      <c r="S35" s="19"/>
      <c r="T35" s="19"/>
      <c r="U35" s="19"/>
      <c r="V35" s="19"/>
    </row>
    <row r="36" spans="1:122" x14ac:dyDescent="0.1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122" x14ac:dyDescent="0.15">
      <c r="A37" s="2" t="s">
        <v>18</v>
      </c>
      <c r="B37" s="11"/>
      <c r="C37" s="17">
        <f t="shared" ref="C37:Q37" si="61">C18/B18-1</f>
        <v>0.46833364904969366</v>
      </c>
      <c r="D37" s="17">
        <f t="shared" si="61"/>
        <v>0.64797454201427707</v>
      </c>
      <c r="E37" s="17">
        <f t="shared" si="61"/>
        <v>0.46161160690986902</v>
      </c>
      <c r="F37" s="17">
        <f t="shared" si="61"/>
        <v>0.37999999999999967</v>
      </c>
      <c r="G37" s="17">
        <f t="shared" si="61"/>
        <v>0.37999999999999967</v>
      </c>
      <c r="H37" s="17">
        <f t="shared" si="61"/>
        <v>0.37999999999999989</v>
      </c>
      <c r="I37" s="17">
        <f t="shared" si="61"/>
        <v>0.37999999999999989</v>
      </c>
      <c r="J37" s="17">
        <f t="shared" si="61"/>
        <v>5.0000000000000044E-2</v>
      </c>
      <c r="K37" s="17">
        <f t="shared" si="61"/>
        <v>5.0000000000000044E-2</v>
      </c>
      <c r="L37" s="17">
        <f t="shared" si="61"/>
        <v>5.0000000000000044E-2</v>
      </c>
      <c r="M37" s="17">
        <f t="shared" si="61"/>
        <v>5.0000000000000044E-2</v>
      </c>
      <c r="N37" s="17">
        <f t="shared" si="61"/>
        <v>5.0000000000000044E-2</v>
      </c>
      <c r="O37" s="17">
        <f t="shared" si="61"/>
        <v>4.9999999999999822E-2</v>
      </c>
      <c r="P37" s="17">
        <f t="shared" si="61"/>
        <v>5.0000000000000044E-2</v>
      </c>
      <c r="Q37" s="17">
        <f t="shared" si="61"/>
        <v>5.0000000000000044E-2</v>
      </c>
      <c r="R37" s="17"/>
      <c r="S37" s="17"/>
      <c r="T37" s="17"/>
      <c r="U37" s="17"/>
      <c r="V37" s="17"/>
    </row>
    <row r="38" spans="1:122" x14ac:dyDescent="0.15">
      <c r="A38" s="3" t="s">
        <v>73</v>
      </c>
      <c r="B38" s="4"/>
      <c r="C38" s="19">
        <f t="shared" ref="C38:Q38" si="62">C21/B21-1</f>
        <v>0.16181229773462791</v>
      </c>
      <c r="D38" s="19">
        <f t="shared" si="62"/>
        <v>0.3887783525666535</v>
      </c>
      <c r="E38" s="19">
        <f t="shared" si="62"/>
        <v>0.66361031518624647</v>
      </c>
      <c r="F38" s="19">
        <f t="shared" si="62"/>
        <v>0.30000000000000004</v>
      </c>
      <c r="G38" s="19">
        <f t="shared" si="62"/>
        <v>0.30000000000000004</v>
      </c>
      <c r="H38" s="19">
        <f t="shared" si="62"/>
        <v>0.30000000000000004</v>
      </c>
      <c r="I38" s="19">
        <f t="shared" si="62"/>
        <v>0.29999999999999982</v>
      </c>
      <c r="J38" s="19">
        <f t="shared" si="62"/>
        <v>-2.0000000000000018E-2</v>
      </c>
      <c r="K38" s="19">
        <f t="shared" si="62"/>
        <v>-2.0000000000000018E-2</v>
      </c>
      <c r="L38" s="19">
        <f t="shared" si="62"/>
        <v>-2.0000000000000018E-2</v>
      </c>
      <c r="M38" s="19">
        <f t="shared" si="62"/>
        <v>-2.0000000000000018E-2</v>
      </c>
      <c r="N38" s="19">
        <f t="shared" si="62"/>
        <v>-2.0000000000000018E-2</v>
      </c>
      <c r="O38" s="19">
        <f t="shared" si="62"/>
        <v>-2.0000000000000018E-2</v>
      </c>
      <c r="P38" s="19">
        <f t="shared" si="62"/>
        <v>-2.0000000000000018E-2</v>
      </c>
      <c r="Q38" s="19">
        <f t="shared" si="62"/>
        <v>-2.0000000000000018E-2</v>
      </c>
      <c r="R38" s="19"/>
      <c r="S38" s="19"/>
      <c r="T38" s="19"/>
      <c r="U38" s="19"/>
      <c r="V38" s="19"/>
    </row>
    <row r="39" spans="1:122" x14ac:dyDescent="0.15">
      <c r="A39" s="3" t="s">
        <v>74</v>
      </c>
      <c r="B39" s="4"/>
      <c r="C39" s="19">
        <f t="shared" ref="C39:Q39" si="63">C22/B22-1</f>
        <v>0.35649717514124291</v>
      </c>
      <c r="D39" s="19">
        <f t="shared" si="63"/>
        <v>0.74427321949187841</v>
      </c>
      <c r="E39" s="19">
        <f t="shared" si="63"/>
        <v>0.43696275071633228</v>
      </c>
      <c r="F39" s="19">
        <f t="shared" si="63"/>
        <v>0.39999999999999991</v>
      </c>
      <c r="G39" s="19">
        <f t="shared" si="63"/>
        <v>0.39999999999999991</v>
      </c>
      <c r="H39" s="19">
        <f t="shared" si="63"/>
        <v>0.40000000000000013</v>
      </c>
      <c r="I39" s="19">
        <f t="shared" si="63"/>
        <v>0.39999999999999991</v>
      </c>
      <c r="J39" s="19">
        <f t="shared" si="63"/>
        <v>5.0000000000000044E-2</v>
      </c>
      <c r="K39" s="19">
        <f t="shared" si="63"/>
        <v>5.0000000000000044E-2</v>
      </c>
      <c r="L39" s="19">
        <f t="shared" si="63"/>
        <v>5.0000000000000044E-2</v>
      </c>
      <c r="M39" s="19">
        <f t="shared" si="63"/>
        <v>5.0000000000000044E-2</v>
      </c>
      <c r="N39" s="19">
        <f t="shared" si="63"/>
        <v>5.0000000000000044E-2</v>
      </c>
      <c r="O39" s="19">
        <f t="shared" si="63"/>
        <v>5.0000000000000044E-2</v>
      </c>
      <c r="P39" s="19">
        <f t="shared" si="63"/>
        <v>5.0000000000000044E-2</v>
      </c>
      <c r="Q39" s="19">
        <f t="shared" si="63"/>
        <v>5.0000000000000044E-2</v>
      </c>
      <c r="R39" s="19"/>
      <c r="S39" s="19"/>
      <c r="T39" s="19"/>
      <c r="U39" s="19"/>
      <c r="V39" s="19"/>
    </row>
    <row r="40" spans="1:122" x14ac:dyDescent="0.15">
      <c r="A40" s="3" t="s">
        <v>75</v>
      </c>
      <c r="B40" s="4"/>
      <c r="C40" s="19">
        <f t="shared" ref="C40:Q40" si="64">C23/B23-1</f>
        <v>0.2946835443037974</v>
      </c>
      <c r="D40" s="19">
        <f t="shared" si="64"/>
        <v>0.42628079780993344</v>
      </c>
      <c r="E40" s="19">
        <f t="shared" si="64"/>
        <v>0.27918837400603236</v>
      </c>
      <c r="F40" s="19">
        <f t="shared" si="64"/>
        <v>0.19999999999999996</v>
      </c>
      <c r="G40" s="19">
        <f t="shared" si="64"/>
        <v>0.19999999999999996</v>
      </c>
      <c r="H40" s="19">
        <f t="shared" si="64"/>
        <v>0.19999999999999996</v>
      </c>
      <c r="I40" s="19">
        <f t="shared" si="64"/>
        <v>0.19999999999999996</v>
      </c>
      <c r="J40" s="19">
        <f t="shared" si="64"/>
        <v>-2.0000000000000018E-2</v>
      </c>
      <c r="K40" s="19">
        <f t="shared" si="64"/>
        <v>-2.0000000000000018E-2</v>
      </c>
      <c r="L40" s="19">
        <f t="shared" si="64"/>
        <v>-2.0000000000000018E-2</v>
      </c>
      <c r="M40" s="19">
        <f t="shared" si="64"/>
        <v>-2.0000000000000129E-2</v>
      </c>
      <c r="N40" s="19">
        <f t="shared" si="64"/>
        <v>-2.0000000000000018E-2</v>
      </c>
      <c r="O40" s="19">
        <f t="shared" si="64"/>
        <v>-2.0000000000000018E-2</v>
      </c>
      <c r="P40" s="19">
        <f t="shared" si="64"/>
        <v>-2.0000000000000018E-2</v>
      </c>
      <c r="Q40" s="19">
        <f t="shared" si="64"/>
        <v>-1.9999999999999907E-2</v>
      </c>
      <c r="R40" s="19"/>
      <c r="S40" s="19"/>
      <c r="T40" s="19"/>
      <c r="U40" s="19"/>
      <c r="V40" s="19"/>
    </row>
    <row r="41" spans="1:122" x14ac:dyDescent="0.1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122" x14ac:dyDescent="0.1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122" x14ac:dyDescent="0.15">
      <c r="A43" s="2" t="s">
        <v>33</v>
      </c>
      <c r="B43" s="23">
        <f>B44-B45</f>
        <v>18359</v>
      </c>
      <c r="C43" s="23">
        <f>C44-C45</f>
        <v>15246</v>
      </c>
      <c r="D43" s="23">
        <f>D44-D45</f>
        <v>19856</v>
      </c>
      <c r="E43" s="63">
        <f t="shared" ref="E43:Q43" si="65">D43+E29</f>
        <v>31001.098299473291</v>
      </c>
      <c r="F43" s="63">
        <f t="shared" si="65"/>
        <v>44854.198817200901</v>
      </c>
      <c r="G43" s="63">
        <f t="shared" si="65"/>
        <v>65286.119286131929</v>
      </c>
      <c r="H43" s="63">
        <f t="shared" si="65"/>
        <v>95120.673466288514</v>
      </c>
      <c r="I43" s="63">
        <f t="shared" si="65"/>
        <v>138326.02570989024</v>
      </c>
      <c r="J43" s="63">
        <f t="shared" si="65"/>
        <v>186887.98998644925</v>
      </c>
      <c r="K43" s="63">
        <f t="shared" si="65"/>
        <v>241178.99656786566</v>
      </c>
      <c r="L43" s="63">
        <f t="shared" si="65"/>
        <v>301595.16762497288</v>
      </c>
      <c r="M43" s="63">
        <f t="shared" si="65"/>
        <v>368557.70481587423</v>
      </c>
      <c r="N43" s="63">
        <f t="shared" si="65"/>
        <v>442514.3551308749</v>
      </c>
      <c r="O43" s="63">
        <f t="shared" si="65"/>
        <v>523940.95927912055</v>
      </c>
      <c r="P43" s="63">
        <f t="shared" si="65"/>
        <v>613343.08713223017</v>
      </c>
      <c r="Q43" s="63">
        <f t="shared" si="65"/>
        <v>711257.76498257252</v>
      </c>
      <c r="R43" s="14"/>
      <c r="S43" s="14"/>
      <c r="T43" s="14"/>
      <c r="U43" s="14"/>
      <c r="V43" s="14"/>
    </row>
    <row r="44" spans="1:122" x14ac:dyDescent="0.15">
      <c r="A44" s="3" t="s">
        <v>34</v>
      </c>
      <c r="B44" s="6">
        <f>Reports!B36</f>
        <v>18997</v>
      </c>
      <c r="C44" s="6">
        <f>Reports!I36</f>
        <v>21908</v>
      </c>
      <c r="D44" s="6">
        <f>Reports!M36</f>
        <v>39602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 spans="1:122" x14ac:dyDescent="0.15">
      <c r="A45" s="3" t="s">
        <v>35</v>
      </c>
      <c r="B45" s="6">
        <f>Reports!B37</f>
        <v>638</v>
      </c>
      <c r="C45" s="6">
        <f>Reports!I37</f>
        <v>6662</v>
      </c>
      <c r="D45" s="6">
        <f>Reports!M37</f>
        <v>19746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 spans="1:122" x14ac:dyDescent="0.15">
      <c r="B46" s="24"/>
      <c r="C46" s="2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 spans="1:122" x14ac:dyDescent="0.15">
      <c r="A47" s="3" t="s">
        <v>84</v>
      </c>
      <c r="B47" s="24"/>
      <c r="C47" s="24"/>
      <c r="D47" s="6">
        <f>Reports!M39</f>
        <v>30228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 spans="1:122" x14ac:dyDescent="0.15">
      <c r="A48" s="3" t="s">
        <v>85</v>
      </c>
      <c r="B48" s="24"/>
      <c r="C48" s="24"/>
      <c r="D48" s="6">
        <f>Reports!M40</f>
        <v>114326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 spans="1:122" x14ac:dyDescent="0.15">
      <c r="A49" s="3" t="s">
        <v>86</v>
      </c>
      <c r="B49" s="24"/>
      <c r="C49" s="24"/>
      <c r="D49" s="6">
        <f>Reports!M41</f>
        <v>44748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 spans="1:122" x14ac:dyDescent="0.15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</row>
    <row r="51" spans="1:122" x14ac:dyDescent="0.15">
      <c r="A51" s="3" t="s">
        <v>87</v>
      </c>
      <c r="B51" s="24"/>
      <c r="C51" s="24"/>
      <c r="D51" s="36">
        <f>D48-D47-D44</f>
        <v>44496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  <row r="52" spans="1:122" x14ac:dyDescent="0.15">
      <c r="A52" s="3" t="s">
        <v>88</v>
      </c>
      <c r="B52" s="24"/>
      <c r="C52" s="24"/>
      <c r="D52" s="36">
        <f t="shared" ref="D52" si="66">D48-D49</f>
        <v>69578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3" spans="1:122" x14ac:dyDescent="0.1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</row>
    <row r="54" spans="1:122" x14ac:dyDescent="0.15">
      <c r="A54" s="3" t="s">
        <v>90</v>
      </c>
      <c r="B54" s="24"/>
      <c r="C54" s="24"/>
      <c r="D54" s="25">
        <f>Reports!M47</f>
        <v>0.13410848256632843</v>
      </c>
      <c r="E54" s="25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</row>
    <row r="55" spans="1:122" x14ac:dyDescent="0.15">
      <c r="A55" s="3" t="s">
        <v>91</v>
      </c>
      <c r="B55" s="24"/>
      <c r="C55" s="24"/>
      <c r="D55" s="25">
        <f>Reports!M48</f>
        <v>8.1617479838356974E-2</v>
      </c>
      <c r="E55" s="25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1:122" x14ac:dyDescent="0.15">
      <c r="A56" s="3" t="s">
        <v>92</v>
      </c>
      <c r="B56" s="24"/>
      <c r="C56" s="24"/>
      <c r="D56" s="25">
        <f>Reports!M49</f>
        <v>0.23712833545108006</v>
      </c>
      <c r="E56" s="25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</row>
    <row r="57" spans="1:122" x14ac:dyDescent="0.15">
      <c r="A57" s="3" t="s">
        <v>93</v>
      </c>
      <c r="B57" s="24"/>
      <c r="C57" s="24"/>
      <c r="D57" s="25">
        <f>Reports!M50</f>
        <v>0.20970424307802948</v>
      </c>
      <c r="E57" s="25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spans="1:122" x14ac:dyDescent="0.15">
      <c r="B58" s="24"/>
      <c r="C58" s="24"/>
      <c r="D58" s="25"/>
      <c r="E58" s="25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22" x14ac:dyDescent="0.15">
      <c r="A59" s="3" t="s">
        <v>82</v>
      </c>
      <c r="B59" s="24"/>
      <c r="C59" s="25">
        <f>C15/B15-1</f>
        <v>7.328605200945626E-2</v>
      </c>
      <c r="D59" s="25">
        <f>D15/C15-1</f>
        <v>0.13436123348017626</v>
      </c>
      <c r="E59" s="25">
        <f t="shared" ref="E59:H59" si="67">E15/D15-1</f>
        <v>0.29669902912621371</v>
      </c>
      <c r="F59" s="25">
        <f t="shared" si="67"/>
        <v>0.19999999999999996</v>
      </c>
      <c r="G59" s="25">
        <f t="shared" si="67"/>
        <v>0.19999999999999996</v>
      </c>
      <c r="H59" s="25">
        <f t="shared" si="67"/>
        <v>0.19999999999999996</v>
      </c>
      <c r="I59" s="25">
        <f>I15/H15-1</f>
        <v>0.19999999999999996</v>
      </c>
      <c r="J59" s="24"/>
      <c r="K59" s="24"/>
      <c r="L59" s="24"/>
      <c r="M59" s="24"/>
      <c r="N59" s="24"/>
      <c r="O59" s="24"/>
      <c r="P59" s="24"/>
      <c r="Q59" s="24"/>
    </row>
    <row r="60" spans="1:122" x14ac:dyDescent="0.15">
      <c r="A60" s="3" t="s">
        <v>95</v>
      </c>
      <c r="B60" s="24"/>
      <c r="C60" s="25">
        <f>C16/B16-1</f>
        <v>0.3680729813833048</v>
      </c>
      <c r="D60" s="25">
        <f>D16/C16-1</f>
        <v>0.45277755742617831</v>
      </c>
      <c r="E60" s="25">
        <f t="shared" ref="E60:I60" si="68">E16/D16-1</f>
        <v>0.12717876244172288</v>
      </c>
      <c r="F60" s="25">
        <f t="shared" si="68"/>
        <v>0.14999999999999991</v>
      </c>
      <c r="G60" s="25">
        <f t="shared" si="68"/>
        <v>0.14999999999999991</v>
      </c>
      <c r="H60" s="25">
        <f t="shared" si="68"/>
        <v>0.14999999999999991</v>
      </c>
      <c r="I60" s="25">
        <f t="shared" si="68"/>
        <v>0.14999999999999991</v>
      </c>
      <c r="J60" s="24"/>
      <c r="K60" s="24"/>
      <c r="L60" s="24"/>
      <c r="M60" s="24"/>
      <c r="N60" s="24"/>
      <c r="O60" s="24"/>
      <c r="P60" s="24"/>
      <c r="Q60" s="24"/>
    </row>
    <row r="62" spans="1:122" x14ac:dyDescent="0.15">
      <c r="A62" s="3" t="s">
        <v>77</v>
      </c>
      <c r="C62" s="25">
        <f t="shared" ref="C62:D64" si="69">C10/B10-1</f>
        <v>0.36604848232270615</v>
      </c>
      <c r="D62" s="25">
        <f t="shared" si="69"/>
        <v>0.66588701886408708</v>
      </c>
      <c r="E62" s="25"/>
    </row>
    <row r="63" spans="1:122" x14ac:dyDescent="0.15">
      <c r="A63" s="3" t="s">
        <v>78</v>
      </c>
      <c r="C63" s="25">
        <f t="shared" si="69"/>
        <v>1.0785562632696393</v>
      </c>
      <c r="D63" s="25">
        <f t="shared" si="69"/>
        <v>1.1021450459652709</v>
      </c>
      <c r="E63" s="25"/>
    </row>
    <row r="64" spans="1:122" x14ac:dyDescent="0.15">
      <c r="A64" s="3" t="s">
        <v>79</v>
      </c>
      <c r="C64" s="25">
        <f t="shared" si="69"/>
        <v>1.2383900928792571</v>
      </c>
      <c r="D64" s="25">
        <f t="shared" si="69"/>
        <v>0.38082065467957582</v>
      </c>
      <c r="E64" s="25"/>
    </row>
    <row r="65" spans="1:5" x14ac:dyDescent="0.15">
      <c r="A65" s="3" t="s">
        <v>80</v>
      </c>
      <c r="C65" s="25"/>
      <c r="D65" s="25">
        <f>D13/C13-1</f>
        <v>0.15261958997722092</v>
      </c>
      <c r="E65" s="25"/>
    </row>
  </sheetData>
  <hyperlinks>
    <hyperlink ref="A1" r:id="rId1" xr:uid="{00000000-0004-0000-0000-000000000000}"/>
    <hyperlink ref="A4" r:id="rId2" xr:uid="{00000000-0004-0000-0000-000001000000}"/>
    <hyperlink ref="A7" r:id="rId3" xr:uid="{00000000-0004-0000-0000-000002000000}"/>
    <hyperlink ref="A8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1"/>
  <sheetViews>
    <sheetView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R15" sqref="R15"/>
    </sheetView>
  </sheetViews>
  <sheetFormatPr baseColWidth="10" defaultRowHeight="13" x14ac:dyDescent="0.15"/>
  <cols>
    <col min="1" max="1" width="21.83203125" style="3" bestFit="1" customWidth="1"/>
    <col min="2" max="5" width="10.83203125" style="26" customWidth="1"/>
    <col min="6" max="6" width="10.83203125" style="27" customWidth="1"/>
    <col min="7" max="8" width="10.83203125" style="26" customWidth="1"/>
    <col min="9" max="9" width="10.83203125" style="26"/>
    <col min="10" max="10" width="10.83203125" style="27"/>
    <col min="11" max="13" width="10.83203125" style="26"/>
    <col min="14" max="14" width="10.83203125" style="27"/>
    <col min="15" max="17" width="10.83203125" style="26"/>
    <col min="18" max="18" width="10.83203125" style="49"/>
    <col min="19" max="16384" width="10.83203125" style="3"/>
  </cols>
  <sheetData>
    <row r="1" spans="1:19" x14ac:dyDescent="0.15">
      <c r="A1" s="1" t="s">
        <v>76</v>
      </c>
      <c r="B1" s="27" t="s">
        <v>22</v>
      </c>
      <c r="C1" s="26" t="s">
        <v>23</v>
      </c>
      <c r="D1" s="26" t="s">
        <v>24</v>
      </c>
      <c r="E1" s="26" t="s">
        <v>25</v>
      </c>
      <c r="F1" s="28" t="s">
        <v>0</v>
      </c>
      <c r="G1" s="29" t="s">
        <v>1</v>
      </c>
      <c r="H1" s="29" t="s">
        <v>2</v>
      </c>
      <c r="I1" s="29" t="s">
        <v>3</v>
      </c>
      <c r="J1" s="28" t="s">
        <v>42</v>
      </c>
      <c r="K1" s="29" t="s">
        <v>43</v>
      </c>
      <c r="L1" s="29" t="s">
        <v>44</v>
      </c>
      <c r="M1" s="29" t="s">
        <v>45</v>
      </c>
      <c r="N1" s="27" t="s">
        <v>96</v>
      </c>
      <c r="O1" s="26" t="s">
        <v>97</v>
      </c>
      <c r="P1" s="26" t="s">
        <v>98</v>
      </c>
      <c r="Q1" s="26" t="s">
        <v>99</v>
      </c>
    </row>
    <row r="2" spans="1:19" x14ac:dyDescent="0.15">
      <c r="A2" s="1"/>
      <c r="B2" s="26" t="s">
        <v>50</v>
      </c>
      <c r="C2" s="26" t="s">
        <v>51</v>
      </c>
      <c r="D2" s="26" t="s">
        <v>52</v>
      </c>
      <c r="E2" s="26" t="s">
        <v>29</v>
      </c>
      <c r="F2" s="27" t="s">
        <v>28</v>
      </c>
      <c r="G2" s="26" t="s">
        <v>27</v>
      </c>
      <c r="H2" s="26" t="s">
        <v>32</v>
      </c>
      <c r="I2" s="26" t="s">
        <v>31</v>
      </c>
      <c r="J2" s="27" t="s">
        <v>30</v>
      </c>
      <c r="K2" s="26" t="s">
        <v>26</v>
      </c>
      <c r="L2" s="26" t="s">
        <v>36</v>
      </c>
      <c r="M2" s="26" t="s">
        <v>46</v>
      </c>
      <c r="N2" s="27" t="s">
        <v>47</v>
      </c>
      <c r="O2" s="26" t="s">
        <v>48</v>
      </c>
      <c r="P2" s="26" t="s">
        <v>49</v>
      </c>
      <c r="Q2" s="26" t="s">
        <v>57</v>
      </c>
    </row>
    <row r="3" spans="1:19" x14ac:dyDescent="0.15">
      <c r="A3" s="3" t="s">
        <v>53</v>
      </c>
      <c r="B3" s="29">
        <f>2695+282</f>
        <v>2977</v>
      </c>
      <c r="C3" s="29">
        <f>2881+289</f>
        <v>3170</v>
      </c>
      <c r="D3" s="29">
        <f>4612+318</f>
        <v>4930</v>
      </c>
      <c r="E3" s="29">
        <f>3012+308</f>
        <v>3320</v>
      </c>
      <c r="F3" s="28">
        <v>4099</v>
      </c>
      <c r="G3" s="29">
        <v>4273</v>
      </c>
      <c r="H3" s="29">
        <v>6708</v>
      </c>
      <c r="I3" s="29">
        <v>4587</v>
      </c>
      <c r="J3" s="28">
        <v>6347</v>
      </c>
      <c r="K3" s="30">
        <v>6983</v>
      </c>
      <c r="L3" s="30">
        <v>11257</v>
      </c>
      <c r="M3" s="30">
        <v>8176</v>
      </c>
      <c r="N3" s="28">
        <v>10456</v>
      </c>
      <c r="O3" s="30">
        <v>10553</v>
      </c>
      <c r="P3" s="30">
        <v>14958</v>
      </c>
      <c r="Q3" s="30"/>
    </row>
    <row r="4" spans="1:19" x14ac:dyDescent="0.15">
      <c r="A4" s="3" t="s">
        <v>54</v>
      </c>
      <c r="B4" s="29">
        <v>78</v>
      </c>
      <c r="C4" s="29">
        <v>102</v>
      </c>
      <c r="D4" s="29">
        <v>126</v>
      </c>
      <c r="E4" s="29">
        <v>165</v>
      </c>
      <c r="F4" s="28">
        <v>187</v>
      </c>
      <c r="G4" s="29">
        <v>224</v>
      </c>
      <c r="H4" s="29">
        <v>254</v>
      </c>
      <c r="I4" s="29">
        <v>314</v>
      </c>
      <c r="J4" s="28">
        <v>359</v>
      </c>
      <c r="K4" s="30">
        <v>447</v>
      </c>
      <c r="L4" s="30">
        <v>553</v>
      </c>
      <c r="M4" s="30">
        <v>699</v>
      </c>
      <c r="N4" s="28">
        <v>710</v>
      </c>
      <c r="O4" s="30">
        <v>825</v>
      </c>
      <c r="P4" s="30">
        <v>962</v>
      </c>
      <c r="Q4" s="30"/>
    </row>
    <row r="5" spans="1:19" x14ac:dyDescent="0.15">
      <c r="A5" s="3" t="s">
        <v>55</v>
      </c>
      <c r="B5" s="29">
        <v>210</v>
      </c>
      <c r="C5" s="29">
        <v>216</v>
      </c>
      <c r="D5" s="29">
        <v>277</v>
      </c>
      <c r="E5" s="29">
        <v>266</v>
      </c>
      <c r="F5" s="28">
        <v>472</v>
      </c>
      <c r="G5" s="29">
        <v>541</v>
      </c>
      <c r="H5" s="29">
        <v>585</v>
      </c>
      <c r="I5" s="29">
        <v>571</v>
      </c>
      <c r="J5" s="28">
        <v>602</v>
      </c>
      <c r="K5" s="30">
        <v>721</v>
      </c>
      <c r="L5" s="30">
        <v>832</v>
      </c>
      <c r="M5" s="30">
        <v>840</v>
      </c>
      <c r="N5" s="28">
        <v>903</v>
      </c>
      <c r="O5" s="30">
        <v>865</v>
      </c>
      <c r="P5" s="30">
        <v>944</v>
      </c>
      <c r="Q5" s="30"/>
    </row>
    <row r="6" spans="1:19" x14ac:dyDescent="0.15">
      <c r="A6" s="3" t="s">
        <v>56</v>
      </c>
      <c r="B6" s="29"/>
      <c r="C6" s="29"/>
      <c r="D6" s="29"/>
      <c r="E6" s="29"/>
      <c r="F6" s="28">
        <v>80</v>
      </c>
      <c r="G6" s="29">
        <v>104</v>
      </c>
      <c r="H6" s="29">
        <v>122</v>
      </c>
      <c r="I6" s="29">
        <v>133</v>
      </c>
      <c r="J6" s="28">
        <v>95</v>
      </c>
      <c r="K6" s="30">
        <v>134</v>
      </c>
      <c r="L6" s="30">
        <v>119</v>
      </c>
      <c r="M6" s="30">
        <v>158</v>
      </c>
      <c r="N6" s="28">
        <v>160</v>
      </c>
      <c r="O6" s="30">
        <v>155</v>
      </c>
      <c r="P6" s="30">
        <v>193</v>
      </c>
      <c r="Q6" s="30"/>
    </row>
    <row r="7" spans="1:19" x14ac:dyDescent="0.15">
      <c r="B7" s="29"/>
      <c r="C7" s="29"/>
      <c r="D7" s="29"/>
      <c r="E7" s="29"/>
      <c r="F7" s="28"/>
      <c r="G7" s="29"/>
      <c r="H7" s="29"/>
      <c r="I7" s="29"/>
      <c r="J7" s="28"/>
      <c r="K7" s="30"/>
      <c r="L7" s="30"/>
      <c r="M7" s="30"/>
      <c r="N7" s="28"/>
      <c r="O7" s="30"/>
      <c r="P7" s="30"/>
      <c r="Q7" s="30"/>
    </row>
    <row r="8" spans="1:19" s="2" customFormat="1" x14ac:dyDescent="0.15">
      <c r="A8" s="3" t="s">
        <v>81</v>
      </c>
      <c r="B8" s="29">
        <v>367</v>
      </c>
      <c r="C8" s="29">
        <v>386</v>
      </c>
      <c r="D8" s="29">
        <v>407</v>
      </c>
      <c r="E8" s="29">
        <v>423</v>
      </c>
      <c r="F8" s="28">
        <v>434</v>
      </c>
      <c r="G8" s="29">
        <v>439</v>
      </c>
      <c r="H8" s="29">
        <v>443</v>
      </c>
      <c r="I8" s="29">
        <v>454</v>
      </c>
      <c r="J8" s="28">
        <v>466</v>
      </c>
      <c r="K8" s="29">
        <v>488</v>
      </c>
      <c r="L8" s="29">
        <v>488</v>
      </c>
      <c r="M8" s="29">
        <v>515</v>
      </c>
      <c r="N8" s="28">
        <v>576</v>
      </c>
      <c r="O8" s="29">
        <v>601</v>
      </c>
      <c r="P8" s="59">
        <v>636</v>
      </c>
      <c r="Q8" s="59">
        <f>P8*1.05</f>
        <v>667.80000000000007</v>
      </c>
      <c r="R8" s="50"/>
    </row>
    <row r="9" spans="1:19" x14ac:dyDescent="0.15">
      <c r="A9" s="3" t="s">
        <v>94</v>
      </c>
      <c r="B9" s="38">
        <f>SUM(B3:B6)/B8</f>
        <v>8.8964577656675754</v>
      </c>
      <c r="C9" s="38">
        <f t="shared" ref="C9:P9" si="0">SUM(C3:C6)/C8</f>
        <v>9.0362694300518136</v>
      </c>
      <c r="D9" s="38">
        <f t="shared" si="0"/>
        <v>13.103194103194102</v>
      </c>
      <c r="E9" s="38">
        <f t="shared" si="0"/>
        <v>8.8676122931442087</v>
      </c>
      <c r="F9" s="37">
        <f t="shared" si="0"/>
        <v>11.147465437788018</v>
      </c>
      <c r="G9" s="38">
        <f t="shared" si="0"/>
        <v>11.712984054669704</v>
      </c>
      <c r="H9" s="38">
        <f t="shared" si="0"/>
        <v>17.311512415349888</v>
      </c>
      <c r="I9" s="38">
        <f t="shared" si="0"/>
        <v>12.345814977973568</v>
      </c>
      <c r="J9" s="37">
        <f t="shared" si="0"/>
        <v>15.8862660944206</v>
      </c>
      <c r="K9" s="38">
        <f t="shared" si="0"/>
        <v>16.977459016393443</v>
      </c>
      <c r="L9" s="38">
        <f t="shared" si="0"/>
        <v>26.149590163934427</v>
      </c>
      <c r="M9" s="38">
        <f>SUM(M3:M6)/M8</f>
        <v>19.170873786407768</v>
      </c>
      <c r="N9" s="37">
        <f t="shared" si="0"/>
        <v>21.230902777777779</v>
      </c>
      <c r="O9" s="38">
        <f t="shared" si="0"/>
        <v>20.628951747088188</v>
      </c>
      <c r="P9" s="38">
        <f t="shared" si="0"/>
        <v>26.819182389937108</v>
      </c>
      <c r="Q9" s="30">
        <f>P9*0.8</f>
        <v>21.455345911949689</v>
      </c>
    </row>
    <row r="10" spans="1:19" x14ac:dyDescent="0.15">
      <c r="B10" s="29"/>
      <c r="F10" s="28"/>
      <c r="I10" s="29"/>
      <c r="K10" s="31"/>
      <c r="L10" s="31"/>
      <c r="M10" s="31"/>
      <c r="O10" s="31"/>
      <c r="P10" s="31"/>
      <c r="Q10" s="31"/>
    </row>
    <row r="11" spans="1:19" s="2" customFormat="1" x14ac:dyDescent="0.15">
      <c r="A11" s="2" t="s">
        <v>4</v>
      </c>
      <c r="B11" s="32">
        <f>B8*B9</f>
        <v>3265</v>
      </c>
      <c r="C11" s="32">
        <f t="shared" ref="C11:O11" si="1">C8*C9</f>
        <v>3488</v>
      </c>
      <c r="D11" s="32">
        <f t="shared" si="1"/>
        <v>5333</v>
      </c>
      <c r="E11" s="32">
        <f t="shared" si="1"/>
        <v>3751.0000000000005</v>
      </c>
      <c r="F11" s="33">
        <f t="shared" si="1"/>
        <v>4838</v>
      </c>
      <c r="G11" s="32">
        <f t="shared" si="1"/>
        <v>5142</v>
      </c>
      <c r="H11" s="32">
        <f t="shared" si="1"/>
        <v>7669.0000000000009</v>
      </c>
      <c r="I11" s="32">
        <f t="shared" si="1"/>
        <v>5605</v>
      </c>
      <c r="J11" s="33">
        <f t="shared" si="1"/>
        <v>7403</v>
      </c>
      <c r="K11" s="32">
        <f t="shared" si="1"/>
        <v>8285</v>
      </c>
      <c r="L11" s="32">
        <f t="shared" si="1"/>
        <v>12761</v>
      </c>
      <c r="M11" s="32">
        <f>M8*M9</f>
        <v>9873</v>
      </c>
      <c r="N11" s="33">
        <f t="shared" si="1"/>
        <v>12229</v>
      </c>
      <c r="O11" s="32">
        <f t="shared" si="1"/>
        <v>12398</v>
      </c>
      <c r="P11" s="32">
        <f>P8*P9</f>
        <v>17057</v>
      </c>
      <c r="Q11" s="51">
        <f>Q8*Q9</f>
        <v>14327.880000000003</v>
      </c>
      <c r="R11" s="50"/>
    </row>
    <row r="12" spans="1:19" x14ac:dyDescent="0.15">
      <c r="A12" s="3" t="s">
        <v>5</v>
      </c>
      <c r="B12" s="30">
        <v>1083</v>
      </c>
      <c r="C12" s="30">
        <v>1122</v>
      </c>
      <c r="D12" s="30">
        <v>1691</v>
      </c>
      <c r="E12" s="30">
        <v>1483</v>
      </c>
      <c r="F12" s="28">
        <v>1767</v>
      </c>
      <c r="G12" s="29">
        <v>1968</v>
      </c>
      <c r="H12" s="29">
        <v>2755</v>
      </c>
      <c r="I12" s="29">
        <v>2250</v>
      </c>
      <c r="J12" s="28">
        <v>2576</v>
      </c>
      <c r="K12" s="30">
        <v>3307</v>
      </c>
      <c r="L12" s="30">
        <v>5390</v>
      </c>
      <c r="M12" s="30">
        <v>5182</v>
      </c>
      <c r="N12" s="28">
        <v>6607</v>
      </c>
      <c r="O12" s="30">
        <v>6812</v>
      </c>
      <c r="P12" s="52">
        <v>8845</v>
      </c>
      <c r="Q12" s="52">
        <f>Q11-Q13</f>
        <v>7429.800000000002</v>
      </c>
    </row>
    <row r="13" spans="1:19" x14ac:dyDescent="0.15">
      <c r="A13" s="3" t="s">
        <v>6</v>
      </c>
      <c r="B13" s="36">
        <f>B11-B12</f>
        <v>2182</v>
      </c>
      <c r="C13" s="36">
        <f>C11-C12</f>
        <v>2366</v>
      </c>
      <c r="D13" s="36">
        <f>D11-D12</f>
        <v>3642</v>
      </c>
      <c r="E13" s="36">
        <f>E11-E12</f>
        <v>2268.0000000000005</v>
      </c>
      <c r="F13" s="37">
        <f>F11-F12</f>
        <v>3071</v>
      </c>
      <c r="G13" s="38">
        <f t="shared" ref="G13:K13" si="2">G11-G12</f>
        <v>3174</v>
      </c>
      <c r="H13" s="38">
        <f t="shared" si="2"/>
        <v>4914.0000000000009</v>
      </c>
      <c r="I13" s="38">
        <f t="shared" si="2"/>
        <v>3355</v>
      </c>
      <c r="J13" s="37">
        <f t="shared" si="2"/>
        <v>4827</v>
      </c>
      <c r="K13" s="36">
        <f t="shared" si="2"/>
        <v>4978</v>
      </c>
      <c r="L13" s="36">
        <f t="shared" ref="L13" si="3">L11-L12</f>
        <v>7371</v>
      </c>
      <c r="M13" s="36">
        <f t="shared" ref="M13" si="4">M11-M12</f>
        <v>4691</v>
      </c>
      <c r="N13" s="37">
        <f t="shared" ref="N13:P13" si="5">N11-N12</f>
        <v>5622</v>
      </c>
      <c r="O13" s="36">
        <f t="shared" si="5"/>
        <v>5586</v>
      </c>
      <c r="P13" s="36">
        <f t="shared" si="5"/>
        <v>8212</v>
      </c>
      <c r="Q13" s="52">
        <f>Q11*P26</f>
        <v>6898.0800000000008</v>
      </c>
      <c r="S13" s="6"/>
    </row>
    <row r="14" spans="1:19" x14ac:dyDescent="0.15">
      <c r="A14" s="3" t="s">
        <v>7</v>
      </c>
      <c r="B14" s="30">
        <v>523</v>
      </c>
      <c r="C14" s="30">
        <v>507</v>
      </c>
      <c r="D14" s="30">
        <v>579</v>
      </c>
      <c r="E14" s="30">
        <v>554</v>
      </c>
      <c r="F14" s="28">
        <v>600</v>
      </c>
      <c r="G14" s="29">
        <v>620</v>
      </c>
      <c r="H14" s="29">
        <v>636</v>
      </c>
      <c r="I14" s="29">
        <v>657</v>
      </c>
      <c r="J14" s="28">
        <v>693</v>
      </c>
      <c r="K14" s="30">
        <v>764</v>
      </c>
      <c r="L14" s="30">
        <v>967</v>
      </c>
      <c r="M14" s="30">
        <v>1066</v>
      </c>
      <c r="N14" s="28">
        <v>1739</v>
      </c>
      <c r="O14" s="30">
        <v>1218</v>
      </c>
      <c r="P14" s="52">
        <v>1295</v>
      </c>
      <c r="Q14" s="52">
        <f>P14*1.2</f>
        <v>1554</v>
      </c>
    </row>
    <row r="15" spans="1:19" x14ac:dyDescent="0.15">
      <c r="A15" s="3" t="s">
        <v>8</v>
      </c>
      <c r="B15" s="30">
        <v>361</v>
      </c>
      <c r="C15" s="30">
        <v>403</v>
      </c>
      <c r="D15" s="30">
        <v>562</v>
      </c>
      <c r="E15" s="30">
        <v>444</v>
      </c>
      <c r="F15" s="28">
        <v>544</v>
      </c>
      <c r="G15" s="29">
        <v>581</v>
      </c>
      <c r="H15" s="29">
        <v>647</v>
      </c>
      <c r="I15" s="29">
        <v>629</v>
      </c>
      <c r="J15" s="28">
        <v>715</v>
      </c>
      <c r="K15" s="30">
        <v>942</v>
      </c>
      <c r="L15" s="30">
        <v>1313</v>
      </c>
      <c r="M15" s="30">
        <v>1218</v>
      </c>
      <c r="N15" s="28">
        <v>1348</v>
      </c>
      <c r="O15" s="30">
        <v>1326</v>
      </c>
      <c r="P15" s="52">
        <v>1760</v>
      </c>
      <c r="Q15" s="52">
        <f>P15*0.9</f>
        <v>1584</v>
      </c>
    </row>
    <row r="16" spans="1:19" x14ac:dyDescent="0.15">
      <c r="A16" s="3" t="s">
        <v>9</v>
      </c>
      <c r="B16" s="30">
        <f>361+105</f>
        <v>466</v>
      </c>
      <c r="C16" s="30">
        <f>335+115</f>
        <v>450</v>
      </c>
      <c r="D16" s="30">
        <f>386+126+70</f>
        <v>582</v>
      </c>
      <c r="E16" s="30">
        <f>362+115</f>
        <v>477</v>
      </c>
      <c r="F16" s="28">
        <f>413+188</f>
        <v>601</v>
      </c>
      <c r="G16" s="29">
        <f>422+195</f>
        <v>617</v>
      </c>
      <c r="H16" s="29">
        <f>473+182</f>
        <v>655</v>
      </c>
      <c r="I16" s="29">
        <f>493+191</f>
        <v>684</v>
      </c>
      <c r="J16" s="28">
        <f>543+293</f>
        <v>836</v>
      </c>
      <c r="K16" s="30">
        <f>516+263</f>
        <v>779</v>
      </c>
      <c r="L16" s="30">
        <f>703+316+76</f>
        <v>1095</v>
      </c>
      <c r="M16" s="30">
        <f>725+212</f>
        <v>937</v>
      </c>
      <c r="N16" s="28">
        <f>1005+318</f>
        <v>1323</v>
      </c>
      <c r="O16" s="30">
        <f>696+380</f>
        <v>1076</v>
      </c>
      <c r="P16" s="52">
        <f>851+408</f>
        <v>1259</v>
      </c>
      <c r="Q16" s="52">
        <f>P16*0.8</f>
        <v>1007.2</v>
      </c>
    </row>
    <row r="17" spans="1:18" x14ac:dyDescent="0.15">
      <c r="A17" s="3" t="s">
        <v>10</v>
      </c>
      <c r="B17" s="36">
        <f>SUM(B14:B16)</f>
        <v>1350</v>
      </c>
      <c r="C17" s="36">
        <f>SUM(C14:C16)</f>
        <v>1360</v>
      </c>
      <c r="D17" s="36">
        <f>SUM(D14:D16)</f>
        <v>1723</v>
      </c>
      <c r="E17" s="36">
        <f>SUM(E14:E16)</f>
        <v>1475</v>
      </c>
      <c r="F17" s="37">
        <f>SUM(F14:F16)</f>
        <v>1745</v>
      </c>
      <c r="G17" s="38">
        <f t="shared" ref="G17:K17" si="6">SUM(G14:G16)</f>
        <v>1818</v>
      </c>
      <c r="H17" s="38">
        <f t="shared" si="6"/>
        <v>1938</v>
      </c>
      <c r="I17" s="38">
        <f t="shared" si="6"/>
        <v>1970</v>
      </c>
      <c r="J17" s="37">
        <f t="shared" si="6"/>
        <v>2244</v>
      </c>
      <c r="K17" s="36">
        <f t="shared" si="6"/>
        <v>2485</v>
      </c>
      <c r="L17" s="36">
        <f t="shared" ref="L17" si="7">SUM(L14:L16)</f>
        <v>3375</v>
      </c>
      <c r="M17" s="36">
        <f t="shared" ref="M17" si="8">SUM(M14:M16)</f>
        <v>3221</v>
      </c>
      <c r="N17" s="37">
        <f t="shared" ref="N17:O17" si="9">SUM(N14:N16)</f>
        <v>4410</v>
      </c>
      <c r="O17" s="36">
        <f t="shared" si="9"/>
        <v>3620</v>
      </c>
      <c r="P17" s="36">
        <f t="shared" ref="P17" si="10">SUM(P14:P16)</f>
        <v>4314</v>
      </c>
      <c r="Q17" s="52">
        <f>SUM(Q14:Q16)</f>
        <v>4145.2</v>
      </c>
    </row>
    <row r="18" spans="1:18" x14ac:dyDescent="0.15">
      <c r="A18" s="3" t="s">
        <v>11</v>
      </c>
      <c r="B18" s="36">
        <f>B13-B17</f>
        <v>832</v>
      </c>
      <c r="C18" s="36">
        <f>C13-C17</f>
        <v>1006</v>
      </c>
      <c r="D18" s="36">
        <f>D13-D17</f>
        <v>1919</v>
      </c>
      <c r="E18" s="36">
        <f>E13-E17</f>
        <v>793.00000000000045</v>
      </c>
      <c r="F18" s="37">
        <f>F13-F17</f>
        <v>1326</v>
      </c>
      <c r="G18" s="38">
        <f t="shared" ref="G18:H18" si="11">G13-G17</f>
        <v>1356</v>
      </c>
      <c r="H18" s="38">
        <f t="shared" si="11"/>
        <v>2976.0000000000009</v>
      </c>
      <c r="I18" s="38">
        <f t="shared" ref="I18:O18" si="12">I13-I17</f>
        <v>1385</v>
      </c>
      <c r="J18" s="37">
        <f t="shared" si="12"/>
        <v>2583</v>
      </c>
      <c r="K18" s="36">
        <f t="shared" si="12"/>
        <v>2493</v>
      </c>
      <c r="L18" s="36">
        <f t="shared" si="12"/>
        <v>3996</v>
      </c>
      <c r="M18" s="36">
        <f t="shared" si="12"/>
        <v>1470</v>
      </c>
      <c r="N18" s="37">
        <f t="shared" si="12"/>
        <v>1212</v>
      </c>
      <c r="O18" s="36">
        <f t="shared" si="12"/>
        <v>1966</v>
      </c>
      <c r="P18" s="36">
        <f t="shared" ref="P18" si="13">P13-P17</f>
        <v>3898</v>
      </c>
      <c r="Q18" s="52">
        <f>Q13-Q17</f>
        <v>2752.880000000001</v>
      </c>
    </row>
    <row r="19" spans="1:18" x14ac:dyDescent="0.15">
      <c r="A19" s="3" t="s">
        <v>12</v>
      </c>
      <c r="B19" s="30">
        <f>4417-77+89</f>
        <v>4429</v>
      </c>
      <c r="C19" s="30">
        <f>2856-76+67</f>
        <v>2847</v>
      </c>
      <c r="D19" s="30">
        <f>455-73+248</f>
        <v>630</v>
      </c>
      <c r="E19" s="30">
        <f>586-79-82</f>
        <v>425</v>
      </c>
      <c r="F19" s="28">
        <f>113-94+265</f>
        <v>284</v>
      </c>
      <c r="G19" s="29">
        <f>63-100+130</f>
        <v>93</v>
      </c>
      <c r="H19" s="29">
        <f>121-101+434</f>
        <v>454</v>
      </c>
      <c r="I19" s="29">
        <f>952-98+64</f>
        <v>918</v>
      </c>
      <c r="J19" s="28">
        <f>217-118+279</f>
        <v>378</v>
      </c>
      <c r="K19" s="30">
        <f>516-112+261</f>
        <v>665</v>
      </c>
      <c r="L19" s="30">
        <f>3634-130-54-2836</f>
        <v>614</v>
      </c>
      <c r="M19" s="30">
        <f>310-187+141-11</f>
        <v>253</v>
      </c>
      <c r="N19" s="28">
        <f>1095-183-13-99</f>
        <v>800</v>
      </c>
      <c r="O19" s="30">
        <f>966-195-223+182</f>
        <v>730</v>
      </c>
      <c r="P19" s="52">
        <f>1681-194+56-125</f>
        <v>1418</v>
      </c>
      <c r="Q19" s="52">
        <f>P35*0.02</f>
        <v>586.26</v>
      </c>
    </row>
    <row r="20" spans="1:18" x14ac:dyDescent="0.15">
      <c r="A20" s="3" t="s">
        <v>13</v>
      </c>
      <c r="B20" s="36">
        <f>B18+B19</f>
        <v>5261</v>
      </c>
      <c r="C20" s="36">
        <f>C18+C19</f>
        <v>3853</v>
      </c>
      <c r="D20" s="36">
        <f>D18+D19</f>
        <v>2549</v>
      </c>
      <c r="E20" s="36">
        <f>E18+E19</f>
        <v>1218.0000000000005</v>
      </c>
      <c r="F20" s="37">
        <f>F18+F19</f>
        <v>1610</v>
      </c>
      <c r="G20" s="38">
        <f t="shared" ref="G20:I20" si="14">G18+G19</f>
        <v>1449</v>
      </c>
      <c r="H20" s="38">
        <f t="shared" si="14"/>
        <v>3430.0000000000009</v>
      </c>
      <c r="I20" s="38">
        <f t="shared" si="14"/>
        <v>2303</v>
      </c>
      <c r="J20" s="37">
        <f t="shared" ref="J20:K20" si="15">J18+J19</f>
        <v>2961</v>
      </c>
      <c r="K20" s="36">
        <f t="shared" si="15"/>
        <v>3158</v>
      </c>
      <c r="L20" s="36">
        <f t="shared" ref="L20" si="16">L18+L19</f>
        <v>4610</v>
      </c>
      <c r="M20" s="36">
        <f t="shared" ref="M20" si="17">M18+M19</f>
        <v>1723</v>
      </c>
      <c r="N20" s="37">
        <f t="shared" ref="N20:P20" si="18">N18+N19</f>
        <v>2012</v>
      </c>
      <c r="O20" s="36">
        <f t="shared" si="18"/>
        <v>2696</v>
      </c>
      <c r="P20" s="36">
        <f t="shared" si="18"/>
        <v>5316</v>
      </c>
      <c r="Q20" s="52">
        <f>Q18+Q19</f>
        <v>3339.1400000000012</v>
      </c>
    </row>
    <row r="21" spans="1:18" x14ac:dyDescent="0.15">
      <c r="A21" s="3" t="s">
        <v>14</v>
      </c>
      <c r="B21" s="30">
        <f>225+66</f>
        <v>291</v>
      </c>
      <c r="C21" s="30">
        <f>263+18</f>
        <v>281</v>
      </c>
      <c r="D21" s="30">
        <f>549+77</f>
        <v>626</v>
      </c>
      <c r="E21" s="30">
        <f>283+111</f>
        <v>394</v>
      </c>
      <c r="F21" s="28">
        <f>314+221</f>
        <v>535</v>
      </c>
      <c r="G21" s="29">
        <f>303+85</f>
        <v>388</v>
      </c>
      <c r="H21" s="29">
        <f>736+223</f>
        <v>959</v>
      </c>
      <c r="I21" s="29">
        <f>662+210</f>
        <v>872</v>
      </c>
      <c r="J21" s="28">
        <f>686+205</f>
        <v>891</v>
      </c>
      <c r="K21" s="30">
        <f>409+133</f>
        <v>542</v>
      </c>
      <c r="L21" s="30">
        <v>1024</v>
      </c>
      <c r="M21" s="30">
        <v>664</v>
      </c>
      <c r="N21" s="28">
        <v>856</v>
      </c>
      <c r="O21" s="30">
        <v>40</v>
      </c>
      <c r="P21" s="52">
        <v>812</v>
      </c>
      <c r="Q21" s="52">
        <f>Q20*P28</f>
        <v>510.04170052671202</v>
      </c>
    </row>
    <row r="22" spans="1:18" s="2" customFormat="1" x14ac:dyDescent="0.15">
      <c r="A22" s="2" t="s">
        <v>15</v>
      </c>
      <c r="B22" s="32">
        <f>B20-B21</f>
        <v>4970</v>
      </c>
      <c r="C22" s="32">
        <f>C20-C21</f>
        <v>3572</v>
      </c>
      <c r="D22" s="32">
        <f>D20-D21</f>
        <v>1923</v>
      </c>
      <c r="E22" s="32">
        <f>E20-E21</f>
        <v>824.00000000000045</v>
      </c>
      <c r="F22" s="33">
        <f>F20-F21</f>
        <v>1075</v>
      </c>
      <c r="G22" s="34">
        <f t="shared" ref="G22:H22" si="19">G20-G21</f>
        <v>1061</v>
      </c>
      <c r="H22" s="34">
        <f t="shared" si="19"/>
        <v>2471.0000000000009</v>
      </c>
      <c r="I22" s="34">
        <f t="shared" ref="I22:Q22" si="20">I20-I21</f>
        <v>1431</v>
      </c>
      <c r="J22" s="33">
        <f t="shared" si="20"/>
        <v>2070</v>
      </c>
      <c r="K22" s="32">
        <f t="shared" si="20"/>
        <v>2616</v>
      </c>
      <c r="L22" s="32">
        <f t="shared" si="20"/>
        <v>3586</v>
      </c>
      <c r="M22" s="32">
        <f t="shared" si="20"/>
        <v>1059</v>
      </c>
      <c r="N22" s="33">
        <f t="shared" si="20"/>
        <v>1156</v>
      </c>
      <c r="O22" s="32">
        <f t="shared" si="20"/>
        <v>2656</v>
      </c>
      <c r="P22" s="32">
        <f t="shared" si="20"/>
        <v>4504</v>
      </c>
      <c r="Q22" s="51">
        <f t="shared" si="20"/>
        <v>2829.0982994732894</v>
      </c>
      <c r="R22" s="50"/>
    </row>
    <row r="23" spans="1:18" x14ac:dyDescent="0.15">
      <c r="A23" s="3" t="s">
        <v>16</v>
      </c>
      <c r="B23" s="66">
        <f>B22/B24</f>
        <v>1.9204018547140649</v>
      </c>
      <c r="C23" s="66">
        <f>C22/C24</f>
        <v>1.3931357254290171</v>
      </c>
      <c r="D23" s="66">
        <f t="shared" ref="D23:L23" si="21">D22/D24</f>
        <v>0.75411764705882356</v>
      </c>
      <c r="E23" s="66">
        <f t="shared" si="21"/>
        <v>0.32364493322859406</v>
      </c>
      <c r="F23" s="67">
        <f t="shared" si="21"/>
        <v>0.41861370716510904</v>
      </c>
      <c r="G23" s="66">
        <f t="shared" si="21"/>
        <v>0.41348402182385036</v>
      </c>
      <c r="H23" s="66">
        <f t="shared" si="21"/>
        <v>0.96110462854920298</v>
      </c>
      <c r="I23" s="66">
        <f t="shared" si="21"/>
        <v>0.55443626501356058</v>
      </c>
      <c r="J23" s="67">
        <f t="shared" si="21"/>
        <v>0.79646017699115046</v>
      </c>
      <c r="K23" s="66">
        <f t="shared" si="21"/>
        <v>1.0034522439585731</v>
      </c>
      <c r="L23" s="66">
        <f t="shared" si="21"/>
        <v>1.3713193116634799</v>
      </c>
      <c r="M23" s="66">
        <f t="shared" ref="M23:Q23" si="22">M22/M24</f>
        <v>0.40435280641466209</v>
      </c>
      <c r="N23" s="67">
        <f t="shared" si="22"/>
        <v>0.44004567948229922</v>
      </c>
      <c r="O23" s="66">
        <f t="shared" si="22"/>
        <v>1.0106544901065448</v>
      </c>
      <c r="P23" s="66">
        <f t="shared" si="22"/>
        <v>1.7230298393267023</v>
      </c>
      <c r="Q23" s="53">
        <f t="shared" si="22"/>
        <v>1.0822870311680526</v>
      </c>
    </row>
    <row r="24" spans="1:18" x14ac:dyDescent="0.15">
      <c r="A24" s="3" t="s">
        <v>17</v>
      </c>
      <c r="B24" s="30">
        <v>2588</v>
      </c>
      <c r="C24" s="30">
        <v>2564</v>
      </c>
      <c r="D24" s="30">
        <v>2550</v>
      </c>
      <c r="E24" s="30">
        <v>2546</v>
      </c>
      <c r="F24" s="28">
        <v>2568</v>
      </c>
      <c r="G24" s="30">
        <v>2566</v>
      </c>
      <c r="H24" s="29">
        <v>2571</v>
      </c>
      <c r="I24" s="29">
        <v>2581</v>
      </c>
      <c r="J24" s="28">
        <v>2599</v>
      </c>
      <c r="K24" s="30">
        <v>2607</v>
      </c>
      <c r="L24" s="30">
        <v>2615</v>
      </c>
      <c r="M24" s="30">
        <v>2619</v>
      </c>
      <c r="N24" s="28">
        <v>2627</v>
      </c>
      <c r="O24" s="30">
        <v>2628</v>
      </c>
      <c r="P24" s="52">
        <v>2614</v>
      </c>
      <c r="Q24" s="52">
        <f>P24</f>
        <v>2614</v>
      </c>
    </row>
    <row r="25" spans="1:18" x14ac:dyDescent="0.15">
      <c r="B25" s="31"/>
      <c r="C25" s="31"/>
      <c r="D25" s="31"/>
      <c r="E25" s="31"/>
      <c r="K25" s="31"/>
      <c r="L25" s="31"/>
      <c r="M25" s="31"/>
      <c r="O25" s="31"/>
      <c r="P25" s="54"/>
      <c r="Q25" s="54"/>
    </row>
    <row r="26" spans="1:18" x14ac:dyDescent="0.15">
      <c r="A26" s="3" t="s">
        <v>19</v>
      </c>
      <c r="B26" s="41">
        <f t="shared" ref="B26:Q26" si="23">IFERROR(B13/B11,0)</f>
        <v>0.66830015313935687</v>
      </c>
      <c r="C26" s="41">
        <f t="shared" si="23"/>
        <v>0.67832568807339455</v>
      </c>
      <c r="D26" s="41">
        <f t="shared" si="23"/>
        <v>0.68291768235514716</v>
      </c>
      <c r="E26" s="41">
        <f t="shared" si="23"/>
        <v>0.6046387629965343</v>
      </c>
      <c r="F26" s="42">
        <f t="shared" si="23"/>
        <v>0.63476643241008679</v>
      </c>
      <c r="G26" s="43">
        <f t="shared" si="23"/>
        <v>0.61726954492415398</v>
      </c>
      <c r="H26" s="43">
        <f t="shared" si="23"/>
        <v>0.64076150736732307</v>
      </c>
      <c r="I26" s="43">
        <f t="shared" si="23"/>
        <v>0.59857270294380016</v>
      </c>
      <c r="J26" s="42">
        <f t="shared" si="23"/>
        <v>0.65203295961096852</v>
      </c>
      <c r="K26" s="41">
        <f t="shared" si="23"/>
        <v>0.6008449004224502</v>
      </c>
      <c r="L26" s="41">
        <f t="shared" si="23"/>
        <v>0.57761930883159629</v>
      </c>
      <c r="M26" s="41">
        <f t="shared" si="23"/>
        <v>0.47513420439582699</v>
      </c>
      <c r="N26" s="42">
        <f t="shared" si="23"/>
        <v>0.45972687873088558</v>
      </c>
      <c r="O26" s="41">
        <f t="shared" si="23"/>
        <v>0.45055654137764156</v>
      </c>
      <c r="P26" s="57">
        <f t="shared" si="23"/>
        <v>0.48144456821246406</v>
      </c>
      <c r="Q26" s="57">
        <f t="shared" si="23"/>
        <v>0.48144456821246406</v>
      </c>
    </row>
    <row r="27" spans="1:18" x14ac:dyDescent="0.15">
      <c r="A27" s="3" t="s">
        <v>20</v>
      </c>
      <c r="B27" s="44">
        <f t="shared" ref="B27:Q27" si="24">IFERROR(B18/B11,0)</f>
        <v>0.25482388973966308</v>
      </c>
      <c r="C27" s="44">
        <f t="shared" si="24"/>
        <v>0.28841743119266056</v>
      </c>
      <c r="D27" s="44">
        <f t="shared" si="24"/>
        <v>0.35983498968685546</v>
      </c>
      <c r="E27" s="44">
        <f t="shared" si="24"/>
        <v>0.21141029058917632</v>
      </c>
      <c r="F27" s="45">
        <f t="shared" si="24"/>
        <v>0.27408019842910292</v>
      </c>
      <c r="G27" s="46">
        <f t="shared" si="24"/>
        <v>0.26371061843640609</v>
      </c>
      <c r="H27" s="46">
        <f t="shared" si="24"/>
        <v>0.38805580910157783</v>
      </c>
      <c r="I27" s="46">
        <f t="shared" si="24"/>
        <v>0.24710080285459413</v>
      </c>
      <c r="J27" s="45">
        <f t="shared" si="24"/>
        <v>0.34891260299878429</v>
      </c>
      <c r="K27" s="44">
        <f t="shared" si="24"/>
        <v>0.30090525045262523</v>
      </c>
      <c r="L27" s="44">
        <f t="shared" si="24"/>
        <v>0.31314160332262364</v>
      </c>
      <c r="M27" s="44">
        <f t="shared" si="24"/>
        <v>0.14889091461561835</v>
      </c>
      <c r="N27" s="45">
        <f t="shared" si="24"/>
        <v>9.9108676097800316E-2</v>
      </c>
      <c r="O27" s="44">
        <f t="shared" si="24"/>
        <v>0.15857396354250686</v>
      </c>
      <c r="P27" s="58">
        <f t="shared" si="24"/>
        <v>0.22852787711789882</v>
      </c>
      <c r="Q27" s="58">
        <f t="shared" si="24"/>
        <v>0.19213449582213143</v>
      </c>
    </row>
    <row r="28" spans="1:18" x14ac:dyDescent="0.15">
      <c r="A28" s="3" t="s">
        <v>21</v>
      </c>
      <c r="B28" s="44">
        <f t="shared" ref="B28:Q28" si="25">IFERROR(B21/B20,0)</f>
        <v>5.5312678198061203E-2</v>
      </c>
      <c r="C28" s="44">
        <f t="shared" si="25"/>
        <v>7.2930184271995852E-2</v>
      </c>
      <c r="D28" s="44">
        <f t="shared" si="25"/>
        <v>0.24558650451157316</v>
      </c>
      <c r="E28" s="44">
        <f t="shared" si="25"/>
        <v>0.32348111658456474</v>
      </c>
      <c r="F28" s="45">
        <f t="shared" si="25"/>
        <v>0.33229813664596275</v>
      </c>
      <c r="G28" s="46">
        <f t="shared" si="25"/>
        <v>0.26777087646652864</v>
      </c>
      <c r="H28" s="46">
        <f t="shared" si="25"/>
        <v>0.27959183673469379</v>
      </c>
      <c r="I28" s="46">
        <f t="shared" si="25"/>
        <v>0.37863656100738169</v>
      </c>
      <c r="J28" s="45">
        <f t="shared" si="25"/>
        <v>0.30091185410334348</v>
      </c>
      <c r="K28" s="44">
        <f t="shared" si="25"/>
        <v>0.17162761241291957</v>
      </c>
      <c r="L28" s="44">
        <f t="shared" si="25"/>
        <v>0.22212581344902385</v>
      </c>
      <c r="M28" s="44">
        <f t="shared" si="25"/>
        <v>0.38537434706906559</v>
      </c>
      <c r="N28" s="45">
        <f t="shared" si="25"/>
        <v>0.42544731610337971</v>
      </c>
      <c r="O28" s="44">
        <f t="shared" si="25"/>
        <v>1.483679525222552E-2</v>
      </c>
      <c r="P28" s="58">
        <f t="shared" si="25"/>
        <v>0.1527464258841234</v>
      </c>
      <c r="Q28" s="58">
        <f t="shared" si="25"/>
        <v>0.1527464258841234</v>
      </c>
    </row>
    <row r="29" spans="1:18" x14ac:dyDescent="0.15">
      <c r="B29" s="31"/>
      <c r="C29" s="31"/>
      <c r="D29" s="31"/>
      <c r="E29" s="31"/>
      <c r="K29" s="31"/>
      <c r="L29" s="31"/>
      <c r="M29" s="31"/>
      <c r="O29" s="31"/>
      <c r="P29" s="54"/>
      <c r="Q29" s="54"/>
    </row>
    <row r="30" spans="1:18" s="2" customFormat="1" x14ac:dyDescent="0.15">
      <c r="A30" s="2" t="s">
        <v>18</v>
      </c>
      <c r="B30" s="39"/>
      <c r="C30" s="39"/>
      <c r="D30" s="39"/>
      <c r="E30" s="39"/>
      <c r="F30" s="40">
        <f t="shared" ref="F30:Q30" si="26">IFERROR((F11/B11)-1,0)</f>
        <v>0.48177641653905057</v>
      </c>
      <c r="G30" s="39">
        <f t="shared" si="26"/>
        <v>0.47419724770642202</v>
      </c>
      <c r="H30" s="39">
        <f t="shared" si="26"/>
        <v>0.43802737671104452</v>
      </c>
      <c r="I30" s="39">
        <f t="shared" si="26"/>
        <v>0.49426819514796039</v>
      </c>
      <c r="J30" s="40">
        <f t="shared" si="26"/>
        <v>0.53017775940471279</v>
      </c>
      <c r="K30" s="39">
        <f t="shared" si="26"/>
        <v>0.61124076234928038</v>
      </c>
      <c r="L30" s="39">
        <f t="shared" si="26"/>
        <v>0.66397183465901666</v>
      </c>
      <c r="M30" s="39">
        <f t="shared" si="26"/>
        <v>0.76146297948260488</v>
      </c>
      <c r="N30" s="40">
        <f t="shared" si="26"/>
        <v>0.65189787923814668</v>
      </c>
      <c r="O30" s="39">
        <f t="shared" si="26"/>
        <v>0.49643934821967406</v>
      </c>
      <c r="P30" s="55">
        <f t="shared" si="26"/>
        <v>0.33665073270119894</v>
      </c>
      <c r="Q30" s="55">
        <f t="shared" si="26"/>
        <v>0.45121847462777298</v>
      </c>
      <c r="R30" s="50"/>
    </row>
    <row r="31" spans="1:18" x14ac:dyDescent="0.15">
      <c r="A31" s="3" t="s">
        <v>73</v>
      </c>
      <c r="B31" s="47"/>
      <c r="C31" s="47"/>
      <c r="D31" s="47"/>
      <c r="E31" s="47"/>
      <c r="F31" s="48">
        <f t="shared" ref="F31:Q33" si="27">F14/B14-1</f>
        <v>0.14722753346080308</v>
      </c>
      <c r="G31" s="47">
        <f t="shared" si="27"/>
        <v>0.22287968441814598</v>
      </c>
      <c r="H31" s="47">
        <f t="shared" si="27"/>
        <v>9.8445595854922185E-2</v>
      </c>
      <c r="I31" s="47">
        <f t="shared" si="27"/>
        <v>0.1859205776173285</v>
      </c>
      <c r="J31" s="48">
        <f t="shared" si="27"/>
        <v>0.15500000000000003</v>
      </c>
      <c r="K31" s="47">
        <f t="shared" si="27"/>
        <v>0.23225806451612896</v>
      </c>
      <c r="L31" s="47">
        <f t="shared" si="27"/>
        <v>0.52044025157232698</v>
      </c>
      <c r="M31" s="47">
        <f t="shared" si="27"/>
        <v>0.62252663622526638</v>
      </c>
      <c r="N31" s="48">
        <f t="shared" si="27"/>
        <v>1.5093795093795093</v>
      </c>
      <c r="O31" s="47">
        <f t="shared" si="27"/>
        <v>0.59424083769633507</v>
      </c>
      <c r="P31" s="56">
        <f t="shared" si="27"/>
        <v>0.3391933815925543</v>
      </c>
      <c r="Q31" s="56">
        <f t="shared" si="27"/>
        <v>0.45778611632270172</v>
      </c>
    </row>
    <row r="32" spans="1:18" x14ac:dyDescent="0.15">
      <c r="A32" s="3" t="s">
        <v>74</v>
      </c>
      <c r="B32" s="47"/>
      <c r="C32" s="47"/>
      <c r="D32" s="47"/>
      <c r="E32" s="47"/>
      <c r="F32" s="48">
        <f t="shared" si="27"/>
        <v>0.50692520775623273</v>
      </c>
      <c r="G32" s="47">
        <f t="shared" si="27"/>
        <v>0.44168734491315131</v>
      </c>
      <c r="H32" s="47">
        <f t="shared" si="27"/>
        <v>0.1512455516014235</v>
      </c>
      <c r="I32" s="47">
        <f t="shared" si="27"/>
        <v>0.41666666666666674</v>
      </c>
      <c r="J32" s="48">
        <f t="shared" si="27"/>
        <v>0.31433823529411775</v>
      </c>
      <c r="K32" s="47">
        <f t="shared" si="27"/>
        <v>0.62134251290877796</v>
      </c>
      <c r="L32" s="47">
        <f t="shared" si="27"/>
        <v>1.0293663060278209</v>
      </c>
      <c r="M32" s="47">
        <f t="shared" si="27"/>
        <v>0.93640699523052473</v>
      </c>
      <c r="N32" s="48">
        <f t="shared" si="27"/>
        <v>0.88531468531468538</v>
      </c>
      <c r="O32" s="47">
        <f t="shared" si="27"/>
        <v>0.40764331210191074</v>
      </c>
      <c r="P32" s="56">
        <f t="shared" si="27"/>
        <v>0.34044173648134035</v>
      </c>
      <c r="Q32" s="56">
        <f t="shared" si="27"/>
        <v>0.30049261083743839</v>
      </c>
    </row>
    <row r="33" spans="1:18" x14ac:dyDescent="0.15">
      <c r="A33" s="3" t="s">
        <v>75</v>
      </c>
      <c r="B33" s="47"/>
      <c r="C33" s="47"/>
      <c r="D33" s="47"/>
      <c r="E33" s="47"/>
      <c r="F33" s="48">
        <f t="shared" si="27"/>
        <v>0.28969957081545061</v>
      </c>
      <c r="G33" s="47">
        <f t="shared" si="27"/>
        <v>0.37111111111111117</v>
      </c>
      <c r="H33" s="47">
        <f t="shared" si="27"/>
        <v>0.12542955326460481</v>
      </c>
      <c r="I33" s="47">
        <f t="shared" si="27"/>
        <v>0.4339622641509433</v>
      </c>
      <c r="J33" s="48">
        <f t="shared" si="27"/>
        <v>0.39101497504159743</v>
      </c>
      <c r="K33" s="47">
        <f t="shared" si="27"/>
        <v>0.2625607779578607</v>
      </c>
      <c r="L33" s="47">
        <f t="shared" si="27"/>
        <v>0.6717557251908397</v>
      </c>
      <c r="M33" s="47">
        <f t="shared" si="27"/>
        <v>0.36988304093567259</v>
      </c>
      <c r="N33" s="48">
        <f t="shared" si="27"/>
        <v>0.58253588516746402</v>
      </c>
      <c r="O33" s="47">
        <f t="shared" si="27"/>
        <v>0.38125802310654677</v>
      </c>
      <c r="P33" s="56">
        <f t="shared" si="27"/>
        <v>0.1497716894977168</v>
      </c>
      <c r="Q33" s="56">
        <f t="shared" si="27"/>
        <v>7.4919957310565666E-2</v>
      </c>
    </row>
    <row r="34" spans="1:18" x14ac:dyDescent="0.15">
      <c r="B34" s="31"/>
      <c r="C34" s="31"/>
      <c r="D34" s="31"/>
      <c r="E34" s="31"/>
      <c r="K34" s="31"/>
      <c r="L34" s="31"/>
      <c r="M34" s="31"/>
      <c r="O34" s="31"/>
      <c r="P34" s="54"/>
      <c r="Q34" s="54"/>
    </row>
    <row r="35" spans="1:18" s="2" customFormat="1" x14ac:dyDescent="0.15">
      <c r="A35" s="2" t="s">
        <v>33</v>
      </c>
      <c r="B35" s="32">
        <f>B36-B37</f>
        <v>18359</v>
      </c>
      <c r="C35" s="32">
        <f>C36-C37</f>
        <v>16443</v>
      </c>
      <c r="D35" s="32">
        <f>D36-D37</f>
        <v>17858</v>
      </c>
      <c r="E35" s="32">
        <f>E36-E37</f>
        <v>16986</v>
      </c>
      <c r="F35" s="33">
        <f>F36-F37</f>
        <v>9887</v>
      </c>
      <c r="G35" s="34">
        <f t="shared" ref="G35:K35" si="28">G36-G37</f>
        <v>11391</v>
      </c>
      <c r="H35" s="34">
        <f t="shared" si="28"/>
        <v>14004</v>
      </c>
      <c r="I35" s="34">
        <f t="shared" si="28"/>
        <v>15246</v>
      </c>
      <c r="J35" s="33">
        <f t="shared" si="28"/>
        <v>15397</v>
      </c>
      <c r="K35" s="32">
        <f t="shared" si="28"/>
        <v>17688</v>
      </c>
      <c r="L35" s="32">
        <f t="shared" ref="L35" si="29">L36-L37</f>
        <v>19928</v>
      </c>
      <c r="M35" s="32">
        <f t="shared" ref="M35" si="30">M36-M37</f>
        <v>19856</v>
      </c>
      <c r="N35" s="33">
        <f t="shared" ref="N35:O35" si="31">N36-N37</f>
        <v>24534</v>
      </c>
      <c r="O35" s="32">
        <f t="shared" si="31"/>
        <v>25595</v>
      </c>
      <c r="P35" s="32">
        <f>P36-P37</f>
        <v>29313</v>
      </c>
      <c r="Q35" s="51">
        <f>P35+Q22</f>
        <v>32142.098299473291</v>
      </c>
      <c r="R35" s="50"/>
    </row>
    <row r="36" spans="1:18" x14ac:dyDescent="0.15">
      <c r="A36" s="3" t="s">
        <v>34</v>
      </c>
      <c r="B36" s="30">
        <f>16785+1807+405</f>
        <v>18997</v>
      </c>
      <c r="C36" s="30">
        <f>15222+1407+358</f>
        <v>16987</v>
      </c>
      <c r="D36" s="30">
        <f>17028+1238+318</f>
        <v>18584</v>
      </c>
      <c r="E36" s="30">
        <f>16566+729+648</f>
        <v>17943</v>
      </c>
      <c r="F36" s="28">
        <f>12375+1079+402</f>
        <v>13856</v>
      </c>
      <c r="G36" s="29">
        <f>15548+581+518</f>
        <v>16647</v>
      </c>
      <c r="H36" s="29">
        <f>19298+648+476</f>
        <v>20422</v>
      </c>
      <c r="I36" s="29">
        <f>20882+437+589</f>
        <v>21908</v>
      </c>
      <c r="J36" s="28">
        <f>21410+444+658</f>
        <v>22512</v>
      </c>
      <c r="K36" s="30">
        <f>22357+1670+775</f>
        <v>24802</v>
      </c>
      <c r="L36" s="30">
        <f>32614+1258+577+5357</f>
        <v>39806</v>
      </c>
      <c r="M36" s="30">
        <f>31775+970+768+6089</f>
        <v>39602</v>
      </c>
      <c r="N36" s="28">
        <f>25373+1419+1189+17422</f>
        <v>45403</v>
      </c>
      <c r="O36" s="30">
        <f>23933+1092+1407+19287</f>
        <v>45719</v>
      </c>
      <c r="P36" s="52">
        <f>27519+453+1203+19926</f>
        <v>49101</v>
      </c>
      <c r="Q36" s="52"/>
    </row>
    <row r="37" spans="1:18" x14ac:dyDescent="0.15">
      <c r="A37" s="3" t="s">
        <v>35</v>
      </c>
      <c r="B37" s="30">
        <f>365+273</f>
        <v>638</v>
      </c>
      <c r="C37" s="30">
        <f>227+317</f>
        <v>544</v>
      </c>
      <c r="D37" s="30">
        <f>455+271</f>
        <v>726</v>
      </c>
      <c r="E37" s="30">
        <f>667+290</f>
        <v>957</v>
      </c>
      <c r="F37" s="28">
        <f>705+3264</f>
        <v>3969</v>
      </c>
      <c r="G37" s="29">
        <f>828+4428</f>
        <v>5256</v>
      </c>
      <c r="H37" s="29">
        <f>670+1300+4448</f>
        <v>6418</v>
      </c>
      <c r="I37" s="29">
        <f>864+1300+4498</f>
        <v>6662</v>
      </c>
      <c r="J37" s="28">
        <f>1130+1297+4688</f>
        <v>7115</v>
      </c>
      <c r="K37" s="30">
        <f>1157+1302+4655</f>
        <v>7114</v>
      </c>
      <c r="L37" s="30">
        <f>991+5285+13602</f>
        <v>19878</v>
      </c>
      <c r="M37" s="30">
        <f>691+5445+13610</f>
        <v>19746</v>
      </c>
      <c r="N37" s="28">
        <f>2069+5167+13633</f>
        <v>20869</v>
      </c>
      <c r="O37" s="30">
        <f>1313+5166+13645</f>
        <v>20124</v>
      </c>
      <c r="P37" s="52">
        <f>1071+2247+5103+11367</f>
        <v>19788</v>
      </c>
      <c r="Q37" s="52"/>
    </row>
    <row r="38" spans="1:18" x14ac:dyDescent="0.15">
      <c r="B38" s="30"/>
      <c r="C38" s="30"/>
      <c r="D38" s="30"/>
      <c r="E38" s="30"/>
      <c r="F38" s="28"/>
      <c r="G38" s="29"/>
      <c r="H38" s="29"/>
      <c r="I38" s="29"/>
      <c r="J38" s="28"/>
      <c r="K38" s="30"/>
      <c r="L38" s="30"/>
      <c r="M38" s="30"/>
      <c r="N38" s="28"/>
      <c r="O38" s="30"/>
      <c r="P38" s="52"/>
      <c r="Q38" s="52"/>
    </row>
    <row r="39" spans="1:18" x14ac:dyDescent="0.15">
      <c r="A39" s="3" t="s">
        <v>84</v>
      </c>
      <c r="B39" s="30"/>
      <c r="C39" s="30"/>
      <c r="D39" s="30"/>
      <c r="E39" s="30"/>
      <c r="F39" s="28"/>
      <c r="G39" s="29"/>
      <c r="H39" s="29"/>
      <c r="I39" s="29"/>
      <c r="J39" s="28"/>
      <c r="K39" s="30"/>
      <c r="L39" s="30">
        <f>4168+25004</f>
        <v>29172</v>
      </c>
      <c r="M39" s="30">
        <f>4378+25850</f>
        <v>30228</v>
      </c>
      <c r="N39" s="28">
        <f>7838+31339</f>
        <v>39177</v>
      </c>
      <c r="O39" s="30">
        <f>7380+29664</f>
        <v>37044</v>
      </c>
      <c r="P39" s="52">
        <f>9889+35526</f>
        <v>45415</v>
      </c>
      <c r="Q39" s="52"/>
    </row>
    <row r="40" spans="1:18" x14ac:dyDescent="0.15">
      <c r="A40" s="3" t="s">
        <v>85</v>
      </c>
      <c r="B40" s="30"/>
      <c r="C40" s="30"/>
      <c r="D40" s="30"/>
      <c r="E40" s="30"/>
      <c r="F40" s="28"/>
      <c r="G40" s="29"/>
      <c r="H40" s="29"/>
      <c r="I40" s="29"/>
      <c r="J40" s="28"/>
      <c r="K40" s="30"/>
      <c r="L40" s="30">
        <v>109345</v>
      </c>
      <c r="M40" s="30">
        <v>114326</v>
      </c>
      <c r="N40" s="28">
        <v>120394</v>
      </c>
      <c r="O40" s="30">
        <v>120088</v>
      </c>
      <c r="P40" s="52">
        <v>133509</v>
      </c>
      <c r="Q40" s="52"/>
    </row>
    <row r="41" spans="1:18" x14ac:dyDescent="0.15">
      <c r="A41" s="3" t="s">
        <v>86</v>
      </c>
      <c r="B41" s="30"/>
      <c r="C41" s="30"/>
      <c r="D41" s="30"/>
      <c r="E41" s="30"/>
      <c r="F41" s="28"/>
      <c r="G41" s="29"/>
      <c r="H41" s="29"/>
      <c r="I41" s="29"/>
      <c r="J41" s="28"/>
      <c r="K41" s="30"/>
      <c r="L41" s="30">
        <f>43263+458</f>
        <v>43721</v>
      </c>
      <c r="M41" s="30">
        <f>44270+478</f>
        <v>44748</v>
      </c>
      <c r="N41" s="28">
        <f>48497+477</f>
        <v>48974</v>
      </c>
      <c r="O41" s="30">
        <f>47090+874</f>
        <v>47964</v>
      </c>
      <c r="P41" s="52">
        <f>50884+1042</f>
        <v>51926</v>
      </c>
      <c r="Q41" s="52"/>
    </row>
    <row r="42" spans="1:18" x14ac:dyDescent="0.15">
      <c r="B42" s="30"/>
      <c r="C42" s="30"/>
      <c r="D42" s="30"/>
      <c r="E42" s="30"/>
      <c r="F42" s="28"/>
      <c r="G42" s="29"/>
      <c r="H42" s="29"/>
      <c r="I42" s="29"/>
      <c r="J42" s="28"/>
      <c r="K42" s="30"/>
      <c r="L42" s="30"/>
      <c r="M42" s="30"/>
      <c r="N42" s="28"/>
      <c r="O42" s="30"/>
      <c r="P42" s="52"/>
      <c r="Q42" s="52"/>
    </row>
    <row r="43" spans="1:18" x14ac:dyDescent="0.15">
      <c r="A43" s="3" t="s">
        <v>87</v>
      </c>
      <c r="B43" s="30"/>
      <c r="C43" s="30"/>
      <c r="D43" s="30"/>
      <c r="E43" s="30"/>
      <c r="F43" s="28"/>
      <c r="G43" s="29"/>
      <c r="H43" s="29"/>
      <c r="I43" s="29"/>
      <c r="J43" s="28"/>
      <c r="K43" s="30"/>
      <c r="L43" s="36">
        <f t="shared" ref="L43:O43" si="32">L40-L39-L36</f>
        <v>40367</v>
      </c>
      <c r="M43" s="36">
        <f t="shared" si="32"/>
        <v>44496</v>
      </c>
      <c r="N43" s="37">
        <f t="shared" si="32"/>
        <v>35814</v>
      </c>
      <c r="O43" s="36">
        <f t="shared" si="32"/>
        <v>37325</v>
      </c>
      <c r="P43" s="36">
        <f t="shared" ref="P43" si="33">P40-P39-P36</f>
        <v>38993</v>
      </c>
      <c r="Q43" s="52"/>
    </row>
    <row r="44" spans="1:18" x14ac:dyDescent="0.15">
      <c r="A44" s="3" t="s">
        <v>88</v>
      </c>
      <c r="B44" s="30"/>
      <c r="C44" s="30"/>
      <c r="D44" s="30"/>
      <c r="E44" s="30"/>
      <c r="F44" s="28"/>
      <c r="G44" s="29"/>
      <c r="H44" s="29"/>
      <c r="I44" s="29"/>
      <c r="J44" s="28"/>
      <c r="K44" s="30"/>
      <c r="L44" s="36">
        <f t="shared" ref="L44:O44" si="34">L40-L41</f>
        <v>65624</v>
      </c>
      <c r="M44" s="36">
        <f t="shared" si="34"/>
        <v>69578</v>
      </c>
      <c r="N44" s="37">
        <f t="shared" si="34"/>
        <v>71420</v>
      </c>
      <c r="O44" s="36">
        <f t="shared" si="34"/>
        <v>72124</v>
      </c>
      <c r="P44" s="36">
        <f t="shared" ref="P44" si="35">P40-P41</f>
        <v>81583</v>
      </c>
      <c r="Q44" s="52"/>
    </row>
    <row r="45" spans="1:18" x14ac:dyDescent="0.15">
      <c r="B45" s="30"/>
      <c r="C45" s="30"/>
      <c r="D45" s="30"/>
      <c r="E45" s="30"/>
      <c r="F45" s="28"/>
      <c r="G45" s="29"/>
      <c r="H45" s="29"/>
      <c r="I45" s="29"/>
      <c r="J45" s="28"/>
      <c r="K45" s="30"/>
      <c r="L45" s="31"/>
      <c r="M45" s="31"/>
      <c r="O45" s="31"/>
      <c r="P45" s="54"/>
      <c r="Q45" s="54"/>
    </row>
    <row r="46" spans="1:18" s="2" customFormat="1" x14ac:dyDescent="0.15">
      <c r="A46" s="2" t="s">
        <v>89</v>
      </c>
      <c r="B46" s="35"/>
      <c r="C46" s="35"/>
      <c r="D46" s="35"/>
      <c r="E46" s="32">
        <f t="shared" ref="E46:P46" si="36">SUM(B22:E22)</f>
        <v>11289</v>
      </c>
      <c r="F46" s="33">
        <f t="shared" si="36"/>
        <v>7394</v>
      </c>
      <c r="G46" s="32">
        <f t="shared" si="36"/>
        <v>4883</v>
      </c>
      <c r="H46" s="32">
        <f t="shared" si="36"/>
        <v>5431.0000000000018</v>
      </c>
      <c r="I46" s="32">
        <f t="shared" si="36"/>
        <v>6038.0000000000009</v>
      </c>
      <c r="J46" s="33">
        <f t="shared" si="36"/>
        <v>7033.0000000000009</v>
      </c>
      <c r="K46" s="32">
        <f t="shared" si="36"/>
        <v>8588</v>
      </c>
      <c r="L46" s="32">
        <f t="shared" si="36"/>
        <v>9703</v>
      </c>
      <c r="M46" s="32">
        <f t="shared" si="36"/>
        <v>9331</v>
      </c>
      <c r="N46" s="33">
        <f t="shared" si="36"/>
        <v>8417</v>
      </c>
      <c r="O46" s="32">
        <f t="shared" si="36"/>
        <v>8457</v>
      </c>
      <c r="P46" s="32">
        <f t="shared" si="36"/>
        <v>9375</v>
      </c>
      <c r="Q46" s="51"/>
      <c r="R46" s="50"/>
    </row>
    <row r="47" spans="1:18" x14ac:dyDescent="0.15">
      <c r="A47" s="3" t="s">
        <v>90</v>
      </c>
      <c r="B47" s="30"/>
      <c r="C47" s="30"/>
      <c r="D47" s="30"/>
      <c r="E47" s="30"/>
      <c r="F47" s="28"/>
      <c r="G47" s="29"/>
      <c r="H47" s="29"/>
      <c r="I47" s="29"/>
      <c r="J47" s="28"/>
      <c r="K47" s="30"/>
      <c r="L47" s="41">
        <f t="shared" ref="L47:N47" si="37">L46/L44</f>
        <v>0.14785749116177008</v>
      </c>
      <c r="M47" s="41">
        <f t="shared" si="37"/>
        <v>0.13410848256632843</v>
      </c>
      <c r="N47" s="42">
        <f t="shared" si="37"/>
        <v>0.11785214225707084</v>
      </c>
      <c r="O47" s="41">
        <f>O46/O44</f>
        <v>0.11725639176972991</v>
      </c>
      <c r="P47" s="57">
        <f>P46/P44</f>
        <v>0.11491364622531655</v>
      </c>
      <c r="Q47" s="57"/>
    </row>
    <row r="48" spans="1:18" x14ac:dyDescent="0.15">
      <c r="A48" s="3" t="s">
        <v>91</v>
      </c>
      <c r="B48" s="30"/>
      <c r="C48" s="30"/>
      <c r="D48" s="30"/>
      <c r="E48" s="30"/>
      <c r="F48" s="28"/>
      <c r="G48" s="29"/>
      <c r="H48" s="29"/>
      <c r="I48" s="29"/>
      <c r="J48" s="28"/>
      <c r="K48" s="30"/>
      <c r="L48" s="41">
        <f t="shared" ref="L48:N48" si="38">L46/L40</f>
        <v>8.873748228085418E-2</v>
      </c>
      <c r="M48" s="41">
        <f t="shared" si="38"/>
        <v>8.1617479838356974E-2</v>
      </c>
      <c r="N48" s="42">
        <f t="shared" si="38"/>
        <v>6.9912121866538196E-2</v>
      </c>
      <c r="O48" s="41">
        <f>O46/O40</f>
        <v>7.0423356205449331E-2</v>
      </c>
      <c r="P48" s="57">
        <f>P46/P40</f>
        <v>7.0219985169539131E-2</v>
      </c>
      <c r="Q48" s="57"/>
    </row>
    <row r="49" spans="1:18" x14ac:dyDescent="0.15">
      <c r="A49" s="3" t="s">
        <v>92</v>
      </c>
      <c r="B49" s="30"/>
      <c r="C49" s="30"/>
      <c r="D49" s="30"/>
      <c r="E49" s="30"/>
      <c r="F49" s="28"/>
      <c r="G49" s="29"/>
      <c r="H49" s="29"/>
      <c r="I49" s="29"/>
      <c r="J49" s="28"/>
      <c r="K49" s="30"/>
      <c r="L49" s="41">
        <f t="shared" ref="L49:N49" si="39">L46/(L44-L39)</f>
        <v>0.26618566882475586</v>
      </c>
      <c r="M49" s="41">
        <f t="shared" si="39"/>
        <v>0.23712833545108006</v>
      </c>
      <c r="N49" s="42">
        <f t="shared" si="39"/>
        <v>0.26104890984089568</v>
      </c>
      <c r="O49" s="41">
        <f>O46/(O44-O39)</f>
        <v>0.2410775370581528</v>
      </c>
      <c r="P49" s="57">
        <f>P46/(P44-P39)</f>
        <v>0.25920703384207033</v>
      </c>
      <c r="Q49" s="57"/>
    </row>
    <row r="50" spans="1:18" x14ac:dyDescent="0.15">
      <c r="A50" s="3" t="s">
        <v>93</v>
      </c>
      <c r="B50" s="30"/>
      <c r="C50" s="30"/>
      <c r="D50" s="30"/>
      <c r="E50" s="30"/>
      <c r="F50" s="28"/>
      <c r="G50" s="29"/>
      <c r="H50" s="29"/>
      <c r="I50" s="29"/>
      <c r="J50" s="28"/>
      <c r="K50" s="30"/>
      <c r="L50" s="41">
        <f t="shared" ref="L50:N50" si="40">L46/L43</f>
        <v>0.24036960883890307</v>
      </c>
      <c r="M50" s="41">
        <f t="shared" si="40"/>
        <v>0.20970424307802948</v>
      </c>
      <c r="N50" s="42">
        <f t="shared" si="40"/>
        <v>0.23501982464957838</v>
      </c>
      <c r="O50" s="41">
        <f>O46/O43</f>
        <v>0.2265773610180844</v>
      </c>
      <c r="P50" s="57">
        <f>P46/P43</f>
        <v>0.24042776908675917</v>
      </c>
      <c r="Q50" s="57"/>
    </row>
    <row r="51" spans="1:18" x14ac:dyDescent="0.15">
      <c r="F51" s="28"/>
      <c r="P51" s="60"/>
      <c r="Q51" s="60"/>
    </row>
    <row r="52" spans="1:18" x14ac:dyDescent="0.15">
      <c r="A52" s="3" t="s">
        <v>82</v>
      </c>
      <c r="B52" s="43"/>
      <c r="C52" s="43"/>
      <c r="D52" s="43"/>
      <c r="E52" s="43"/>
      <c r="F52" s="42">
        <f t="shared" ref="F52:Q52" si="41">F8/B8-1</f>
        <v>0.18256130790190728</v>
      </c>
      <c r="G52" s="43">
        <f t="shared" si="41"/>
        <v>0.13730569948186533</v>
      </c>
      <c r="H52" s="43">
        <f t="shared" si="41"/>
        <v>8.8452088452088518E-2</v>
      </c>
      <c r="I52" s="43">
        <f t="shared" si="41"/>
        <v>7.328605200945626E-2</v>
      </c>
      <c r="J52" s="42">
        <f t="shared" si="41"/>
        <v>7.3732718894009119E-2</v>
      </c>
      <c r="K52" s="43">
        <f t="shared" si="41"/>
        <v>0.11161731207289294</v>
      </c>
      <c r="L52" s="43">
        <f t="shared" si="41"/>
        <v>0.10158013544018063</v>
      </c>
      <c r="M52" s="43">
        <f t="shared" si="41"/>
        <v>0.13436123348017626</v>
      </c>
      <c r="N52" s="42">
        <f t="shared" si="41"/>
        <v>0.23605150214592285</v>
      </c>
      <c r="O52" s="43">
        <f t="shared" si="41"/>
        <v>0.23155737704918034</v>
      </c>
      <c r="P52" s="61">
        <f t="shared" si="41"/>
        <v>0.30327868852459017</v>
      </c>
      <c r="Q52" s="61">
        <f t="shared" si="41"/>
        <v>0.29669902912621371</v>
      </c>
    </row>
    <row r="53" spans="1:18" x14ac:dyDescent="0.15">
      <c r="A53" s="3" t="s">
        <v>95</v>
      </c>
      <c r="F53" s="42">
        <f>F9/B9-1</f>
        <v>0.25302291444661629</v>
      </c>
      <c r="G53" s="41">
        <f t="shared" ref="G53:Q53" si="42">G9/C9-1</f>
        <v>0.2962189922885623</v>
      </c>
      <c r="H53" s="41">
        <f t="shared" si="42"/>
        <v>0.32116736415664815</v>
      </c>
      <c r="I53" s="41">
        <f t="shared" si="42"/>
        <v>0.39223666640437727</v>
      </c>
      <c r="J53" s="42">
        <f t="shared" si="42"/>
        <v>0.42510117506790834</v>
      </c>
      <c r="K53" s="41">
        <f t="shared" si="42"/>
        <v>0.44945634153961911</v>
      </c>
      <c r="L53" s="41">
        <f t="shared" si="42"/>
        <v>0.51053180892201722</v>
      </c>
      <c r="M53" s="41">
        <f t="shared" si="42"/>
        <v>0.55282367511670416</v>
      </c>
      <c r="N53" s="42">
        <f t="shared" si="42"/>
        <v>0.33643127035586184</v>
      </c>
      <c r="O53" s="41">
        <f t="shared" si="42"/>
        <v>0.21507887176572549</v>
      </c>
      <c r="P53" s="41">
        <f t="shared" si="42"/>
        <v>2.5606222575762727E-2</v>
      </c>
      <c r="Q53" s="41">
        <f t="shared" si="42"/>
        <v>0.11916369337122346</v>
      </c>
    </row>
    <row r="54" spans="1:18" x14ac:dyDescent="0.15">
      <c r="F54" s="42"/>
      <c r="G54" s="41"/>
      <c r="H54" s="41"/>
      <c r="I54" s="41"/>
      <c r="J54" s="42"/>
      <c r="K54" s="41"/>
      <c r="L54" s="41"/>
      <c r="M54" s="41"/>
      <c r="N54" s="42"/>
      <c r="O54" s="41"/>
      <c r="P54" s="41"/>
      <c r="Q54" s="41"/>
    </row>
    <row r="55" spans="1:18" x14ac:dyDescent="0.15">
      <c r="A55" s="3" t="s">
        <v>77</v>
      </c>
      <c r="F55" s="42">
        <f t="shared" ref="F55:G57" si="43">F3/B3-1</f>
        <v>0.37688948605979178</v>
      </c>
      <c r="G55" s="41">
        <f t="shared" si="43"/>
        <v>0.34794952681388014</v>
      </c>
      <c r="H55" s="41">
        <f t="shared" ref="H55:P55" si="44">H3/D3-1</f>
        <v>0.36064908722109523</v>
      </c>
      <c r="I55" s="41">
        <f t="shared" si="44"/>
        <v>0.38162650602409642</v>
      </c>
      <c r="J55" s="42">
        <f t="shared" si="44"/>
        <v>0.54842644547450603</v>
      </c>
      <c r="K55" s="41">
        <f t="shared" si="44"/>
        <v>0.63421483735080741</v>
      </c>
      <c r="L55" s="41">
        <f t="shared" si="44"/>
        <v>0.67814549791293977</v>
      </c>
      <c r="M55" s="41">
        <f t="shared" si="44"/>
        <v>0.78242860257248736</v>
      </c>
      <c r="N55" s="42">
        <f t="shared" si="44"/>
        <v>0.64739246888293689</v>
      </c>
      <c r="O55" s="41">
        <f t="shared" si="44"/>
        <v>0.51124158671058284</v>
      </c>
      <c r="P55" s="41">
        <f t="shared" si="44"/>
        <v>0.32877320778182462</v>
      </c>
      <c r="Q55" s="41"/>
    </row>
    <row r="56" spans="1:18" x14ac:dyDescent="0.15">
      <c r="A56" s="3" t="s">
        <v>78</v>
      </c>
      <c r="F56" s="42">
        <f t="shared" si="43"/>
        <v>1.3974358974358974</v>
      </c>
      <c r="G56" s="41">
        <f t="shared" si="43"/>
        <v>1.1960784313725492</v>
      </c>
      <c r="H56" s="41">
        <f t="shared" ref="H56:P56" si="45">H4/D4-1</f>
        <v>1.0158730158730158</v>
      </c>
      <c r="I56" s="41">
        <f t="shared" si="45"/>
        <v>0.90303030303030307</v>
      </c>
      <c r="J56" s="42">
        <f t="shared" si="45"/>
        <v>0.91978609625668439</v>
      </c>
      <c r="K56" s="41">
        <f t="shared" si="45"/>
        <v>0.99553571428571419</v>
      </c>
      <c r="L56" s="41">
        <f t="shared" si="45"/>
        <v>1.1771653543307088</v>
      </c>
      <c r="M56" s="41">
        <f t="shared" si="45"/>
        <v>1.2261146496815285</v>
      </c>
      <c r="N56" s="42">
        <f t="shared" si="45"/>
        <v>0.9777158774373258</v>
      </c>
      <c r="O56" s="41">
        <f t="shared" si="45"/>
        <v>0.84563758389261734</v>
      </c>
      <c r="P56" s="41">
        <f t="shared" si="45"/>
        <v>0.73960216998191686</v>
      </c>
      <c r="Q56" s="41"/>
    </row>
    <row r="57" spans="1:18" x14ac:dyDescent="0.15">
      <c r="A57" s="3" t="s">
        <v>79</v>
      </c>
      <c r="F57" s="42">
        <f t="shared" si="43"/>
        <v>1.2476190476190476</v>
      </c>
      <c r="G57" s="41">
        <f t="shared" si="43"/>
        <v>1.5046296296296298</v>
      </c>
      <c r="H57" s="41">
        <f t="shared" ref="H57:P57" si="46">H5/D5-1</f>
        <v>1.1119133574007218</v>
      </c>
      <c r="I57" s="41">
        <f t="shared" si="46"/>
        <v>1.1466165413533833</v>
      </c>
      <c r="J57" s="42">
        <f t="shared" si="46"/>
        <v>0.27542372881355925</v>
      </c>
      <c r="K57" s="41">
        <f t="shared" si="46"/>
        <v>0.33271719038817005</v>
      </c>
      <c r="L57" s="41">
        <f t="shared" si="46"/>
        <v>0.42222222222222228</v>
      </c>
      <c r="M57" s="41">
        <f t="shared" si="46"/>
        <v>0.47110332749562178</v>
      </c>
      <c r="N57" s="42">
        <f t="shared" si="46"/>
        <v>0.5</v>
      </c>
      <c r="O57" s="41">
        <f t="shared" si="46"/>
        <v>0.19972260748959769</v>
      </c>
      <c r="P57" s="41">
        <f t="shared" si="46"/>
        <v>0.13461538461538458</v>
      </c>
      <c r="Q57" s="41"/>
    </row>
    <row r="58" spans="1:18" x14ac:dyDescent="0.15">
      <c r="A58" s="3" t="s">
        <v>80</v>
      </c>
      <c r="F58" s="42"/>
      <c r="G58" s="41"/>
      <c r="H58" s="41"/>
      <c r="I58" s="41"/>
      <c r="J58" s="42">
        <f t="shared" ref="J58:P58" si="47">J6/F6-1</f>
        <v>0.1875</v>
      </c>
      <c r="K58" s="41">
        <f t="shared" si="47"/>
        <v>0.28846153846153855</v>
      </c>
      <c r="L58" s="41">
        <f t="shared" si="47"/>
        <v>-2.4590163934426257E-2</v>
      </c>
      <c r="M58" s="41">
        <f t="shared" si="47"/>
        <v>0.18796992481203012</v>
      </c>
      <c r="N58" s="42">
        <f t="shared" si="47"/>
        <v>0.68421052631578938</v>
      </c>
      <c r="O58" s="41">
        <f t="shared" si="47"/>
        <v>0.15671641791044766</v>
      </c>
      <c r="P58" s="41">
        <f t="shared" si="47"/>
        <v>0.62184873949579833</v>
      </c>
      <c r="Q58" s="41"/>
    </row>
    <row r="59" spans="1:18" x14ac:dyDescent="0.15">
      <c r="B59" s="29"/>
      <c r="C59" s="29"/>
      <c r="P59" s="54"/>
    </row>
    <row r="60" spans="1:18" s="2" customFormat="1" x14ac:dyDescent="0.15">
      <c r="A60" s="3" t="s">
        <v>58</v>
      </c>
      <c r="B60" s="29">
        <v>307</v>
      </c>
      <c r="C60" s="29">
        <v>346</v>
      </c>
      <c r="D60" s="29">
        <v>393</v>
      </c>
      <c r="E60" s="29">
        <v>410</v>
      </c>
      <c r="F60" s="28">
        <v>427</v>
      </c>
      <c r="G60" s="29">
        <v>450</v>
      </c>
      <c r="H60" s="29">
        <v>493</v>
      </c>
      <c r="I60" s="29">
        <v>507</v>
      </c>
      <c r="J60" s="28">
        <v>529</v>
      </c>
      <c r="K60" s="29">
        <v>549</v>
      </c>
      <c r="L60" s="29">
        <v>549</v>
      </c>
      <c r="M60" s="29">
        <v>666</v>
      </c>
      <c r="N60" s="28">
        <v>634</v>
      </c>
      <c r="O60" s="29">
        <v>666</v>
      </c>
      <c r="P60" s="59">
        <v>699</v>
      </c>
      <c r="Q60" s="59"/>
      <c r="R60" s="50"/>
    </row>
    <row r="61" spans="1:18" x14ac:dyDescent="0.15">
      <c r="A61" s="3" t="s">
        <v>83</v>
      </c>
      <c r="B61" s="43"/>
      <c r="C61" s="43"/>
      <c r="D61" s="43"/>
      <c r="E61" s="43"/>
      <c r="F61" s="42">
        <f t="shared" ref="F61:P61" si="48">F60/B60-1</f>
        <v>0.39087947882736152</v>
      </c>
      <c r="G61" s="43">
        <f t="shared" si="48"/>
        <v>0.300578034682081</v>
      </c>
      <c r="H61" s="43">
        <f t="shared" si="48"/>
        <v>0.25445292620865145</v>
      </c>
      <c r="I61" s="43">
        <f t="shared" si="48"/>
        <v>0.23658536585365852</v>
      </c>
      <c r="J61" s="42">
        <f t="shared" si="48"/>
        <v>0.23887587822014056</v>
      </c>
      <c r="K61" s="43">
        <f t="shared" si="48"/>
        <v>0.21999999999999997</v>
      </c>
      <c r="L61" s="43">
        <f t="shared" si="48"/>
        <v>0.11359026369168368</v>
      </c>
      <c r="M61" s="43">
        <f t="shared" si="48"/>
        <v>0.31360946745562135</v>
      </c>
      <c r="N61" s="42">
        <f t="shared" si="48"/>
        <v>0.19848771266540632</v>
      </c>
      <c r="O61" s="43">
        <f t="shared" si="48"/>
        <v>0.21311475409836067</v>
      </c>
      <c r="P61" s="61">
        <f t="shared" si="48"/>
        <v>0.27322404371584708</v>
      </c>
      <c r="Q61" s="61"/>
    </row>
  </sheetData>
  <hyperlinks>
    <hyperlink ref="A1" r:id="rId1" display="https://www.sec.gov/cgi-bin/browse-edgar?action=getcompany&amp;CIK=0001577552&amp;owner=exclude&amp;count=40&amp;hidefilings=0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2019-12-31T13:23:28Z</dcterms:modified>
</cp:coreProperties>
</file>