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009C817E-85A0-3F45-9E73-7861B129F236}" xr6:coauthVersionLast="45" xr6:coauthVersionMax="45" xr10:uidLastSave="{00000000-0000-0000-0000-000000000000}"/>
  <bookViews>
    <workbookView xWindow="0" yWindow="460" windowWidth="20000" windowHeight="20320" tabRatio="500" xr2:uid="{00000000-000D-0000-FFFF-FFFF00000000}"/>
  </bookViews>
  <sheets>
    <sheet name="Main" sheetId="1" r:id="rId1"/>
    <sheet name="Reports RMB" sheetId="2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3" i="1"/>
  <c r="T58" i="2"/>
  <c r="U58" i="2"/>
  <c r="V58" i="2"/>
  <c r="T56" i="2"/>
  <c r="U56" i="2"/>
  <c r="V56" i="2"/>
  <c r="V46" i="2"/>
  <c r="V45" i="2"/>
  <c r="V37" i="2"/>
  <c r="V32" i="2"/>
  <c r="V30" i="2"/>
  <c r="V29" i="2"/>
  <c r="V28" i="2" s="1"/>
  <c r="V22" i="2"/>
  <c r="V21" i="2"/>
  <c r="V11" i="2"/>
  <c r="V6" i="2"/>
  <c r="V8" i="2" s="1"/>
  <c r="V24" i="2" s="1"/>
  <c r="V36" i="2" l="1"/>
  <c r="V12" i="2"/>
  <c r="B60" i="1"/>
  <c r="C57" i="1"/>
  <c r="C56" i="1"/>
  <c r="D57" i="1"/>
  <c r="D56" i="1"/>
  <c r="D32" i="1"/>
  <c r="C32" i="1"/>
  <c r="D31" i="1"/>
  <c r="C31" i="1"/>
  <c r="D28" i="1"/>
  <c r="C28" i="1"/>
  <c r="B28" i="1"/>
  <c r="D20" i="1"/>
  <c r="C20" i="1"/>
  <c r="B20" i="1"/>
  <c r="D15" i="1"/>
  <c r="C15" i="1"/>
  <c r="C30" i="1" s="1"/>
  <c r="B15" i="1"/>
  <c r="U30" i="2"/>
  <c r="S6" i="2"/>
  <c r="V14" i="2" l="1"/>
  <c r="V25" i="2"/>
  <c r="C33" i="1"/>
  <c r="D30" i="1"/>
  <c r="D33" i="1"/>
  <c r="B17" i="1"/>
  <c r="C17" i="1"/>
  <c r="C60" i="1"/>
  <c r="C63" i="1" s="1"/>
  <c r="D17" i="1"/>
  <c r="D60" i="1"/>
  <c r="D63" i="1" s="1"/>
  <c r="I46" i="1"/>
  <c r="I45" i="1"/>
  <c r="I41" i="1"/>
  <c r="I12" i="1"/>
  <c r="J12" i="1" s="1"/>
  <c r="K12" i="1" s="1"/>
  <c r="L12" i="1" s="1"/>
  <c r="M12" i="1" s="1"/>
  <c r="N12" i="1" s="1"/>
  <c r="U32" i="2"/>
  <c r="I44" i="1" s="1"/>
  <c r="U29" i="2"/>
  <c r="I40" i="1" s="1"/>
  <c r="U6" i="2"/>
  <c r="V16" i="2" l="1"/>
  <c r="V17" i="2" s="1"/>
  <c r="V26" i="2"/>
  <c r="I39" i="1"/>
  <c r="J22" i="1" s="1"/>
  <c r="D35" i="1"/>
  <c r="D21" i="1"/>
  <c r="C21" i="1"/>
  <c r="C35" i="1"/>
  <c r="B35" i="1"/>
  <c r="B21" i="1"/>
  <c r="I65" i="1"/>
  <c r="I49" i="1"/>
  <c r="I48" i="1"/>
  <c r="C36" i="1" l="1"/>
  <c r="C23" i="1"/>
  <c r="B23" i="1"/>
  <c r="B36" i="1"/>
  <c r="D36" i="1"/>
  <c r="D23" i="1"/>
  <c r="D37" i="1" l="1"/>
  <c r="D25" i="1"/>
  <c r="B25" i="1"/>
  <c r="B37" i="1"/>
  <c r="C25" i="1"/>
  <c r="C37" i="1"/>
  <c r="I27" i="1"/>
  <c r="I24" i="1"/>
  <c r="I22" i="1"/>
  <c r="I42" i="1" s="1"/>
  <c r="I19" i="1"/>
  <c r="J19" i="1" s="1"/>
  <c r="K19" i="1" s="1"/>
  <c r="L19" i="1" s="1"/>
  <c r="M19" i="1" s="1"/>
  <c r="N19" i="1" s="1"/>
  <c r="I18" i="1"/>
  <c r="J18" i="1" s="1"/>
  <c r="K18" i="1" s="1"/>
  <c r="L18" i="1" s="1"/>
  <c r="M18" i="1" s="1"/>
  <c r="N18" i="1" s="1"/>
  <c r="I16" i="1"/>
  <c r="U45" i="2"/>
  <c r="U46" i="2"/>
  <c r="U37" i="2"/>
  <c r="U28" i="2"/>
  <c r="U22" i="2"/>
  <c r="U21" i="2"/>
  <c r="U11" i="2"/>
  <c r="T32" i="2"/>
  <c r="T30" i="2"/>
  <c r="T29" i="2"/>
  <c r="T46" i="2"/>
  <c r="T45" i="2"/>
  <c r="T37" i="2"/>
  <c r="T28" i="2"/>
  <c r="T22" i="2"/>
  <c r="T21" i="2"/>
  <c r="T11" i="2"/>
  <c r="T6" i="2"/>
  <c r="T36" i="2" l="1"/>
  <c r="I28" i="1"/>
  <c r="C4" i="1" s="1"/>
  <c r="C61" i="1"/>
  <c r="C26" i="1"/>
  <c r="B26" i="1"/>
  <c r="B61" i="1"/>
  <c r="D61" i="1"/>
  <c r="D26" i="1"/>
  <c r="I13" i="1"/>
  <c r="I15" i="1" s="1"/>
  <c r="U8" i="2"/>
  <c r="U12" i="2" s="1"/>
  <c r="U36" i="2"/>
  <c r="I20" i="1"/>
  <c r="T8" i="2"/>
  <c r="S32" i="2"/>
  <c r="S30" i="2"/>
  <c r="S29" i="2"/>
  <c r="S22" i="2"/>
  <c r="S21" i="2"/>
  <c r="S46" i="2"/>
  <c r="S45" i="2"/>
  <c r="S8" i="2"/>
  <c r="S24" i="2" s="1"/>
  <c r="S11" i="2"/>
  <c r="S37" i="2"/>
  <c r="R32" i="2"/>
  <c r="R30" i="2"/>
  <c r="R29" i="2"/>
  <c r="R28" i="2" s="1"/>
  <c r="R46" i="2"/>
  <c r="R45" i="2"/>
  <c r="R37" i="2"/>
  <c r="R22" i="2"/>
  <c r="R21" i="2"/>
  <c r="R11" i="2"/>
  <c r="R6" i="2"/>
  <c r="V20" i="2" s="1"/>
  <c r="E12" i="1"/>
  <c r="E56" i="1" s="1"/>
  <c r="E13" i="1"/>
  <c r="E57" i="1" s="1"/>
  <c r="E16" i="1"/>
  <c r="E18" i="1"/>
  <c r="E31" i="1" s="1"/>
  <c r="E19" i="1"/>
  <c r="E32" i="1" s="1"/>
  <c r="E22" i="1"/>
  <c r="E24" i="1"/>
  <c r="E27" i="1"/>
  <c r="E28" i="1" s="1"/>
  <c r="G12" i="1"/>
  <c r="G13" i="1"/>
  <c r="F12" i="1"/>
  <c r="F13" i="1"/>
  <c r="H12" i="1"/>
  <c r="I56" i="1" s="1"/>
  <c r="H13" i="1"/>
  <c r="F16" i="1"/>
  <c r="F18" i="1"/>
  <c r="F19" i="1"/>
  <c r="F22" i="1"/>
  <c r="F24" i="1"/>
  <c r="G16" i="1"/>
  <c r="G18" i="1"/>
  <c r="G19" i="1"/>
  <c r="G24" i="1"/>
  <c r="F27" i="1"/>
  <c r="F28" i="1" s="1"/>
  <c r="I46" i="2"/>
  <c r="H46" i="2"/>
  <c r="G46" i="2"/>
  <c r="F46" i="2"/>
  <c r="I45" i="2"/>
  <c r="H45" i="2"/>
  <c r="G45" i="2"/>
  <c r="F45" i="2"/>
  <c r="M46" i="2"/>
  <c r="L46" i="2"/>
  <c r="K46" i="2"/>
  <c r="J46" i="2"/>
  <c r="M45" i="2"/>
  <c r="L45" i="2"/>
  <c r="K45" i="2"/>
  <c r="J45" i="2"/>
  <c r="I22" i="2"/>
  <c r="H22" i="2"/>
  <c r="G22" i="2"/>
  <c r="F22" i="2"/>
  <c r="I21" i="2"/>
  <c r="H21" i="2"/>
  <c r="G21" i="2"/>
  <c r="F21" i="2"/>
  <c r="M22" i="2"/>
  <c r="L22" i="2"/>
  <c r="K22" i="2"/>
  <c r="J22" i="2"/>
  <c r="M21" i="2"/>
  <c r="L21" i="2"/>
  <c r="K21" i="2"/>
  <c r="J21" i="2"/>
  <c r="E6" i="2"/>
  <c r="E8" i="2" s="1"/>
  <c r="E24" i="2" s="1"/>
  <c r="E11" i="2"/>
  <c r="D6" i="2"/>
  <c r="D8" i="2"/>
  <c r="D11" i="2"/>
  <c r="C6" i="2"/>
  <c r="C8" i="2" s="1"/>
  <c r="C24" i="2" s="1"/>
  <c r="C11" i="2"/>
  <c r="B6" i="2"/>
  <c r="B8" i="2" s="1"/>
  <c r="B11" i="2"/>
  <c r="F6" i="2"/>
  <c r="F11" i="2"/>
  <c r="G6" i="2"/>
  <c r="G8" i="2" s="1"/>
  <c r="G11" i="2"/>
  <c r="H6" i="2"/>
  <c r="H8" i="2"/>
  <c r="H24" i="2" s="1"/>
  <c r="H11" i="2"/>
  <c r="H12" i="2"/>
  <c r="H25" i="2" s="1"/>
  <c r="I6" i="2"/>
  <c r="I20" i="2" s="1"/>
  <c r="I11" i="2"/>
  <c r="H18" i="1"/>
  <c r="I31" i="1" s="1"/>
  <c r="H19" i="1"/>
  <c r="H24" i="1"/>
  <c r="H27" i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H45" i="1"/>
  <c r="G45" i="1"/>
  <c r="G27" i="1"/>
  <c r="G28" i="1" s="1"/>
  <c r="J13" i="2"/>
  <c r="J6" i="2"/>
  <c r="J11" i="2"/>
  <c r="N30" i="2"/>
  <c r="N29" i="2"/>
  <c r="N28" i="2" s="1"/>
  <c r="O32" i="2"/>
  <c r="O30" i="2"/>
  <c r="O29" i="2"/>
  <c r="N13" i="2"/>
  <c r="N46" i="2"/>
  <c r="N45" i="2"/>
  <c r="N6" i="2"/>
  <c r="N8" i="2" s="1"/>
  <c r="N11" i="2"/>
  <c r="N37" i="2"/>
  <c r="N32" i="2"/>
  <c r="N22" i="2"/>
  <c r="N21" i="2"/>
  <c r="K13" i="2"/>
  <c r="K6" i="2"/>
  <c r="K8" i="2"/>
  <c r="K24" i="2" s="1"/>
  <c r="K11" i="2"/>
  <c r="O13" i="2"/>
  <c r="O46" i="2"/>
  <c r="O45" i="2"/>
  <c r="O6" i="2"/>
  <c r="O11" i="2"/>
  <c r="O37" i="2"/>
  <c r="O22" i="2"/>
  <c r="O21" i="2"/>
  <c r="P32" i="2"/>
  <c r="P30" i="2"/>
  <c r="P29" i="2"/>
  <c r="P28" i="2" s="1"/>
  <c r="L13" i="2"/>
  <c r="L6" i="2"/>
  <c r="L8" i="2" s="1"/>
  <c r="L24" i="2" s="1"/>
  <c r="L11" i="2"/>
  <c r="P13" i="2"/>
  <c r="P46" i="2"/>
  <c r="P45" i="2"/>
  <c r="P6" i="2"/>
  <c r="P8" i="2" s="1"/>
  <c r="P11" i="2"/>
  <c r="P37" i="2"/>
  <c r="P22" i="2"/>
  <c r="P21" i="2"/>
  <c r="M34" i="2"/>
  <c r="G46" i="1" s="1"/>
  <c r="Q34" i="2"/>
  <c r="H46" i="1" s="1"/>
  <c r="Q46" i="2"/>
  <c r="Q45" i="2"/>
  <c r="Q32" i="2"/>
  <c r="H44" i="1" s="1"/>
  <c r="Q30" i="2"/>
  <c r="H41" i="1" s="1"/>
  <c r="Q29" i="2"/>
  <c r="H40" i="1" s="1"/>
  <c r="Q28" i="2"/>
  <c r="M32" i="2"/>
  <c r="M30" i="2"/>
  <c r="G41" i="1" s="1"/>
  <c r="M29" i="2"/>
  <c r="M28" i="2" s="1"/>
  <c r="Q22" i="2"/>
  <c r="Q21" i="2"/>
  <c r="M13" i="2"/>
  <c r="M6" i="2"/>
  <c r="M8" i="2" s="1"/>
  <c r="M11" i="2"/>
  <c r="Q13" i="2"/>
  <c r="Q11" i="2"/>
  <c r="Q7" i="2"/>
  <c r="H16" i="1" s="1"/>
  <c r="Q6" i="2"/>
  <c r="U20" i="2" s="1"/>
  <c r="M11" i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R20" i="2" l="1"/>
  <c r="P36" i="2"/>
  <c r="O28" i="2"/>
  <c r="S36" i="2"/>
  <c r="N36" i="2"/>
  <c r="G12" i="2"/>
  <c r="G14" i="2" s="1"/>
  <c r="O20" i="2"/>
  <c r="R8" i="2"/>
  <c r="R12" i="2" s="1"/>
  <c r="U24" i="2"/>
  <c r="R36" i="2"/>
  <c r="Q36" i="2"/>
  <c r="Q37" i="2"/>
  <c r="M37" i="2"/>
  <c r="Q20" i="2"/>
  <c r="G22" i="1"/>
  <c r="O36" i="2"/>
  <c r="K20" i="2"/>
  <c r="G20" i="2"/>
  <c r="I8" i="2"/>
  <c r="S28" i="2"/>
  <c r="I57" i="1"/>
  <c r="E20" i="1"/>
  <c r="E33" i="1" s="1"/>
  <c r="F20" i="1"/>
  <c r="I17" i="1"/>
  <c r="I21" i="1" s="1"/>
  <c r="I23" i="1" s="1"/>
  <c r="I37" i="1" s="1"/>
  <c r="J13" i="1"/>
  <c r="M36" i="2"/>
  <c r="E12" i="2"/>
  <c r="E14" i="2" s="1"/>
  <c r="H20" i="2"/>
  <c r="K12" i="2"/>
  <c r="K14" i="2" s="1"/>
  <c r="G40" i="1"/>
  <c r="G39" i="1" s="1"/>
  <c r="G65" i="1" s="1"/>
  <c r="D12" i="2"/>
  <c r="D25" i="2" s="1"/>
  <c r="G44" i="1"/>
  <c r="P20" i="2"/>
  <c r="F57" i="1"/>
  <c r="N20" i="2"/>
  <c r="F20" i="2"/>
  <c r="F56" i="1"/>
  <c r="H22" i="1"/>
  <c r="H42" i="1" s="1"/>
  <c r="M20" i="2"/>
  <c r="D24" i="2"/>
  <c r="R24" i="2"/>
  <c r="L20" i="2"/>
  <c r="J20" i="2"/>
  <c r="G24" i="2"/>
  <c r="T20" i="2"/>
  <c r="E15" i="1"/>
  <c r="H57" i="1"/>
  <c r="H20" i="1"/>
  <c r="I33" i="1" s="1"/>
  <c r="F15" i="1"/>
  <c r="I60" i="1"/>
  <c r="G15" i="1"/>
  <c r="G20" i="1"/>
  <c r="F32" i="1"/>
  <c r="H56" i="1"/>
  <c r="H31" i="1"/>
  <c r="G56" i="1"/>
  <c r="G57" i="1"/>
  <c r="F31" i="1"/>
  <c r="G49" i="1"/>
  <c r="H28" i="1"/>
  <c r="H32" i="1"/>
  <c r="U14" i="2"/>
  <c r="U25" i="2"/>
  <c r="T12" i="2"/>
  <c r="T24" i="2"/>
  <c r="I32" i="1"/>
  <c r="P24" i="2"/>
  <c r="P12" i="2"/>
  <c r="B24" i="2"/>
  <c r="B12" i="2"/>
  <c r="H48" i="1"/>
  <c r="M12" i="2"/>
  <c r="M24" i="2"/>
  <c r="H39" i="1"/>
  <c r="H65" i="1" s="1"/>
  <c r="N24" i="2"/>
  <c r="N12" i="2"/>
  <c r="R25" i="2"/>
  <c r="R14" i="2"/>
  <c r="G31" i="1"/>
  <c r="Q8" i="2"/>
  <c r="L12" i="2"/>
  <c r="F8" i="2"/>
  <c r="S12" i="2"/>
  <c r="H14" i="2"/>
  <c r="H15" i="1"/>
  <c r="I30" i="1" s="1"/>
  <c r="S20" i="2"/>
  <c r="G32" i="1"/>
  <c r="H49" i="1"/>
  <c r="O8" i="2"/>
  <c r="J8" i="2"/>
  <c r="C12" i="2"/>
  <c r="E25" i="2" l="1"/>
  <c r="K25" i="2"/>
  <c r="G25" i="2"/>
  <c r="I24" i="2"/>
  <c r="I12" i="2"/>
  <c r="D14" i="2"/>
  <c r="D26" i="2" s="1"/>
  <c r="G42" i="1"/>
  <c r="F33" i="1"/>
  <c r="E60" i="1"/>
  <c r="E63" i="1" s="1"/>
  <c r="E30" i="1"/>
  <c r="G33" i="1"/>
  <c r="G48" i="1"/>
  <c r="K13" i="1"/>
  <c r="L13" i="1" s="1"/>
  <c r="M13" i="1" s="1"/>
  <c r="N13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J57" i="1"/>
  <c r="J15" i="1"/>
  <c r="F30" i="1"/>
  <c r="H60" i="1"/>
  <c r="H30" i="1"/>
  <c r="G60" i="1"/>
  <c r="G30" i="1"/>
  <c r="E17" i="1"/>
  <c r="E35" i="1" s="1"/>
  <c r="H33" i="1"/>
  <c r="G17" i="1"/>
  <c r="G35" i="1" s="1"/>
  <c r="F17" i="1"/>
  <c r="F60" i="1"/>
  <c r="U16" i="2"/>
  <c r="U26" i="2"/>
  <c r="T14" i="2"/>
  <c r="T25" i="2"/>
  <c r="R26" i="2"/>
  <c r="R16" i="2"/>
  <c r="R17" i="2" s="1"/>
  <c r="D16" i="2"/>
  <c r="D17" i="2" s="1"/>
  <c r="N25" i="2"/>
  <c r="N14" i="2"/>
  <c r="S25" i="2"/>
  <c r="S14" i="2"/>
  <c r="B14" i="2"/>
  <c r="B25" i="2"/>
  <c r="F12" i="2"/>
  <c r="F24" i="2"/>
  <c r="P25" i="2"/>
  <c r="P14" i="2"/>
  <c r="J12" i="2"/>
  <c r="J24" i="2"/>
  <c r="L14" i="2"/>
  <c r="L25" i="2"/>
  <c r="E16" i="2"/>
  <c r="E17" i="2" s="1"/>
  <c r="E26" i="2"/>
  <c r="G26" i="2"/>
  <c r="G16" i="2"/>
  <c r="G17" i="2" s="1"/>
  <c r="K26" i="2"/>
  <c r="K16" i="2"/>
  <c r="C14" i="2"/>
  <c r="C25" i="2"/>
  <c r="Q12" i="2"/>
  <c r="Q24" i="2"/>
  <c r="M14" i="2"/>
  <c r="M25" i="2"/>
  <c r="J32" i="1"/>
  <c r="O12" i="2"/>
  <c r="O24" i="2"/>
  <c r="H17" i="1"/>
  <c r="H26" i="2"/>
  <c r="H16" i="2"/>
  <c r="H17" i="2" s="1"/>
  <c r="J31" i="1"/>
  <c r="J20" i="1"/>
  <c r="J33" i="1" s="1"/>
  <c r="G63" i="1" l="1"/>
  <c r="I14" i="2"/>
  <c r="I25" i="2"/>
  <c r="J30" i="1"/>
  <c r="J60" i="1"/>
  <c r="H63" i="1"/>
  <c r="F63" i="1"/>
  <c r="I63" i="1"/>
  <c r="T30" i="1"/>
  <c r="T60" i="1"/>
  <c r="U60" i="1"/>
  <c r="U30" i="1"/>
  <c r="E21" i="1"/>
  <c r="E23" i="1" s="1"/>
  <c r="G21" i="1"/>
  <c r="G23" i="1" s="1"/>
  <c r="F21" i="1"/>
  <c r="F35" i="1"/>
  <c r="U17" i="2"/>
  <c r="T16" i="2"/>
  <c r="T26" i="2"/>
  <c r="K57" i="1"/>
  <c r="J56" i="1"/>
  <c r="O14" i="2"/>
  <c r="O25" i="2"/>
  <c r="K20" i="1"/>
  <c r="K33" i="1" s="1"/>
  <c r="K31" i="1"/>
  <c r="B26" i="2"/>
  <c r="B16" i="2"/>
  <c r="B17" i="2" s="1"/>
  <c r="J14" i="2"/>
  <c r="J25" i="2"/>
  <c r="C26" i="2"/>
  <c r="C16" i="2"/>
  <c r="C17" i="2" s="1"/>
  <c r="N26" i="2"/>
  <c r="N16" i="2"/>
  <c r="H21" i="1"/>
  <c r="H35" i="1"/>
  <c r="S26" i="2"/>
  <c r="S16" i="2"/>
  <c r="Q14" i="2"/>
  <c r="Q25" i="2"/>
  <c r="K32" i="1"/>
  <c r="L16" i="2"/>
  <c r="L26" i="2"/>
  <c r="M16" i="2"/>
  <c r="M26" i="2"/>
  <c r="P26" i="2"/>
  <c r="P16" i="2"/>
  <c r="K17" i="2"/>
  <c r="F25" i="2"/>
  <c r="F14" i="2"/>
  <c r="S17" i="2" l="1"/>
  <c r="V39" i="2"/>
  <c r="N39" i="2"/>
  <c r="I26" i="2"/>
  <c r="I16" i="2"/>
  <c r="I17" i="2" s="1"/>
  <c r="G36" i="1"/>
  <c r="E36" i="1"/>
  <c r="V30" i="1"/>
  <c r="V60" i="1"/>
  <c r="U39" i="2"/>
  <c r="U42" i="2" s="1"/>
  <c r="F23" i="1"/>
  <c r="F36" i="1"/>
  <c r="T39" i="2"/>
  <c r="T17" i="2"/>
  <c r="J26" i="2"/>
  <c r="J16" i="2"/>
  <c r="E25" i="1"/>
  <c r="E61" i="1" s="1"/>
  <c r="E37" i="1"/>
  <c r="G25" i="1"/>
  <c r="G61" i="1" s="1"/>
  <c r="G37" i="1"/>
  <c r="N43" i="2"/>
  <c r="N42" i="2"/>
  <c r="N41" i="2"/>
  <c r="N40" i="2"/>
  <c r="L31" i="1"/>
  <c r="L20" i="1"/>
  <c r="L33" i="1" s="1"/>
  <c r="P17" i="2"/>
  <c r="S39" i="2"/>
  <c r="N17" i="2"/>
  <c r="F26" i="2"/>
  <c r="F16" i="2"/>
  <c r="F17" i="2" s="1"/>
  <c r="O16" i="2"/>
  <c r="O39" i="2" s="1"/>
  <c r="O26" i="2"/>
  <c r="M17" i="2"/>
  <c r="L17" i="2"/>
  <c r="K15" i="1"/>
  <c r="K60" i="1" s="1"/>
  <c r="K56" i="1"/>
  <c r="Q16" i="2"/>
  <c r="Q17" i="2" s="1"/>
  <c r="Q26" i="2"/>
  <c r="L57" i="1"/>
  <c r="H36" i="1"/>
  <c r="H23" i="1"/>
  <c r="L32" i="1"/>
  <c r="V42" i="2" l="1"/>
  <c r="V41" i="2"/>
  <c r="V43" i="2"/>
  <c r="V40" i="2"/>
  <c r="P39" i="2"/>
  <c r="P42" i="2" s="1"/>
  <c r="W60" i="1"/>
  <c r="W30" i="1"/>
  <c r="Q39" i="2"/>
  <c r="Q43" i="2" s="1"/>
  <c r="U40" i="2"/>
  <c r="U41" i="2"/>
  <c r="U43" i="2"/>
  <c r="F37" i="1"/>
  <c r="F25" i="1"/>
  <c r="M57" i="1"/>
  <c r="N57" i="1"/>
  <c r="T42" i="2"/>
  <c r="T41" i="2"/>
  <c r="T43" i="2"/>
  <c r="T40" i="2"/>
  <c r="K30" i="1"/>
  <c r="O41" i="2"/>
  <c r="O40" i="2"/>
  <c r="O43" i="2"/>
  <c r="O42" i="2"/>
  <c r="M32" i="1"/>
  <c r="L56" i="1"/>
  <c r="N56" i="1"/>
  <c r="L15" i="1"/>
  <c r="P43" i="2"/>
  <c r="P41" i="2"/>
  <c r="M39" i="2"/>
  <c r="J17" i="2"/>
  <c r="S43" i="2"/>
  <c r="S42" i="2"/>
  <c r="S40" i="2"/>
  <c r="S41" i="2"/>
  <c r="M31" i="1"/>
  <c r="M20" i="1"/>
  <c r="M33" i="1" s="1"/>
  <c r="I35" i="1"/>
  <c r="J17" i="1" s="1"/>
  <c r="J16" i="1" s="1"/>
  <c r="H25" i="1"/>
  <c r="H61" i="1" s="1"/>
  <c r="H37" i="1"/>
  <c r="G51" i="1"/>
  <c r="G54" i="1"/>
  <c r="G52" i="1"/>
  <c r="G26" i="1"/>
  <c r="G53" i="1"/>
  <c r="R39" i="2"/>
  <c r="O17" i="2"/>
  <c r="E26" i="1"/>
  <c r="Q41" i="2" l="1"/>
  <c r="P40" i="2"/>
  <c r="Q40" i="2"/>
  <c r="Q42" i="2"/>
  <c r="X60" i="1"/>
  <c r="X30" i="1"/>
  <c r="F61" i="1"/>
  <c r="F26" i="1"/>
  <c r="M56" i="1"/>
  <c r="M15" i="1"/>
  <c r="N20" i="1"/>
  <c r="N33" i="1" s="1"/>
  <c r="O18" i="1"/>
  <c r="P18" i="1" s="1"/>
  <c r="Q18" i="1" s="1"/>
  <c r="R18" i="1" s="1"/>
  <c r="S18" i="1" s="1"/>
  <c r="T18" i="1" s="1"/>
  <c r="N31" i="1"/>
  <c r="R43" i="2"/>
  <c r="R42" i="2"/>
  <c r="R41" i="2"/>
  <c r="R40" i="2"/>
  <c r="I36" i="1"/>
  <c r="H53" i="1"/>
  <c r="H26" i="1"/>
  <c r="H51" i="1"/>
  <c r="H54" i="1"/>
  <c r="H52" i="1"/>
  <c r="J35" i="1"/>
  <c r="K17" i="1" s="1"/>
  <c r="J21" i="1"/>
  <c r="O19" i="1"/>
  <c r="P19" i="1" s="1"/>
  <c r="Q19" i="1" s="1"/>
  <c r="R19" i="1" s="1"/>
  <c r="S19" i="1" s="1"/>
  <c r="T19" i="1" s="1"/>
  <c r="N32" i="1"/>
  <c r="M43" i="2"/>
  <c r="M42" i="2"/>
  <c r="M41" i="2"/>
  <c r="M40" i="2"/>
  <c r="L60" i="1"/>
  <c r="L30" i="1"/>
  <c r="U19" i="1" l="1"/>
  <c r="T32" i="1"/>
  <c r="T31" i="1"/>
  <c r="U18" i="1"/>
  <c r="T20" i="1"/>
  <c r="O32" i="1"/>
  <c r="O20" i="1"/>
  <c r="O33" i="1" s="1"/>
  <c r="O31" i="1"/>
  <c r="J36" i="1"/>
  <c r="K21" i="1"/>
  <c r="K35" i="1"/>
  <c r="L17" i="1" s="1"/>
  <c r="K16" i="1"/>
  <c r="M60" i="1"/>
  <c r="M30" i="1"/>
  <c r="V18" i="1" l="1"/>
  <c r="U20" i="1"/>
  <c r="U33" i="1" s="1"/>
  <c r="U31" i="1"/>
  <c r="V19" i="1"/>
  <c r="U32" i="1"/>
  <c r="K36" i="1"/>
  <c r="N60" i="1"/>
  <c r="N30" i="1"/>
  <c r="L21" i="1"/>
  <c r="L35" i="1"/>
  <c r="M17" i="1" s="1"/>
  <c r="L16" i="1"/>
  <c r="P32" i="1"/>
  <c r="P20" i="1"/>
  <c r="P33" i="1" s="1"/>
  <c r="P31" i="1"/>
  <c r="I25" i="1"/>
  <c r="W19" i="1" l="1"/>
  <c r="V32" i="1"/>
  <c r="W18" i="1"/>
  <c r="V31" i="1"/>
  <c r="V20" i="1"/>
  <c r="V33" i="1" s="1"/>
  <c r="I61" i="1"/>
  <c r="I52" i="1"/>
  <c r="I54" i="1"/>
  <c r="I53" i="1"/>
  <c r="I51" i="1"/>
  <c r="I26" i="1"/>
  <c r="Q31" i="1"/>
  <c r="Q20" i="1"/>
  <c r="Q33" i="1" s="1"/>
  <c r="C6" i="1"/>
  <c r="C7" i="1" s="1"/>
  <c r="M35" i="1"/>
  <c r="N17" i="1" s="1"/>
  <c r="M21" i="1"/>
  <c r="M16" i="1"/>
  <c r="Q32" i="1"/>
  <c r="L36" i="1"/>
  <c r="O60" i="1"/>
  <c r="O30" i="1"/>
  <c r="X18" i="1" l="1"/>
  <c r="W20" i="1"/>
  <c r="W33" i="1" s="1"/>
  <c r="W31" i="1"/>
  <c r="X19" i="1"/>
  <c r="X32" i="1" s="1"/>
  <c r="W32" i="1"/>
  <c r="R32" i="1"/>
  <c r="J23" i="1"/>
  <c r="J24" i="1" s="1"/>
  <c r="J25" i="1" s="1"/>
  <c r="J39" i="1" s="1"/>
  <c r="M36" i="1"/>
  <c r="N21" i="1"/>
  <c r="N35" i="1"/>
  <c r="O17" i="1" s="1"/>
  <c r="N16" i="1"/>
  <c r="R20" i="1"/>
  <c r="R33" i="1" s="1"/>
  <c r="R31" i="1"/>
  <c r="P30" i="1"/>
  <c r="P60" i="1"/>
  <c r="X20" i="1" l="1"/>
  <c r="X33" i="1" s="1"/>
  <c r="X31" i="1"/>
  <c r="Q30" i="1"/>
  <c r="Q60" i="1"/>
  <c r="O21" i="1"/>
  <c r="O35" i="1"/>
  <c r="P17" i="1" s="1"/>
  <c r="O16" i="1"/>
  <c r="S20" i="1"/>
  <c r="S31" i="1"/>
  <c r="N36" i="1"/>
  <c r="J37" i="1"/>
  <c r="S32" i="1"/>
  <c r="S33" i="1" l="1"/>
  <c r="T33" i="1"/>
  <c r="O36" i="1"/>
  <c r="P35" i="1"/>
  <c r="Q17" i="1" s="1"/>
  <c r="P21" i="1"/>
  <c r="P16" i="1"/>
  <c r="R30" i="1"/>
  <c r="R60" i="1"/>
  <c r="P36" i="1" l="1"/>
  <c r="Q35" i="1"/>
  <c r="R17" i="1" s="1"/>
  <c r="Q21" i="1"/>
  <c r="Q16" i="1"/>
  <c r="S30" i="1"/>
  <c r="S60" i="1"/>
  <c r="J26" i="1"/>
  <c r="J61" i="1"/>
  <c r="K22" i="1" l="1"/>
  <c r="K23" i="1" s="1"/>
  <c r="K24" i="1" s="1"/>
  <c r="Q36" i="1"/>
  <c r="R21" i="1"/>
  <c r="R35" i="1"/>
  <c r="S17" i="1" s="1"/>
  <c r="R16" i="1"/>
  <c r="S21" i="1" l="1"/>
  <c r="S35" i="1"/>
  <c r="T17" i="1" s="1"/>
  <c r="S16" i="1"/>
  <c r="K37" i="1"/>
  <c r="R36" i="1"/>
  <c r="T35" i="1" l="1"/>
  <c r="U17" i="1" s="1"/>
  <c r="T21" i="1"/>
  <c r="T16" i="1"/>
  <c r="K25" i="1"/>
  <c r="S36" i="1"/>
  <c r="T36" i="1" l="1"/>
  <c r="U35" i="1"/>
  <c r="V17" i="1" s="1"/>
  <c r="U21" i="1"/>
  <c r="U36" i="1" s="1"/>
  <c r="U16" i="1"/>
  <c r="K26" i="1"/>
  <c r="K61" i="1"/>
  <c r="K39" i="1"/>
  <c r="V21" i="1" l="1"/>
  <c r="V36" i="1" s="1"/>
  <c r="V35" i="1"/>
  <c r="W17" i="1" s="1"/>
  <c r="V16" i="1"/>
  <c r="L22" i="1"/>
  <c r="L23" i="1" s="1"/>
  <c r="L24" i="1" s="1"/>
  <c r="W35" i="1" l="1"/>
  <c r="X17" i="1" s="1"/>
  <c r="W21" i="1"/>
  <c r="W36" i="1" s="1"/>
  <c r="W16" i="1"/>
  <c r="L37" i="1"/>
  <c r="X21" i="1" l="1"/>
  <c r="X36" i="1" s="1"/>
  <c r="X35" i="1"/>
  <c r="X16" i="1"/>
  <c r="L25" i="1"/>
  <c r="L61" i="1" l="1"/>
  <c r="L39" i="1"/>
  <c r="M22" i="1" s="1"/>
  <c r="M23" i="1" s="1"/>
  <c r="M24" i="1" s="1"/>
  <c r="L26" i="1"/>
  <c r="M37" i="1" l="1"/>
  <c r="M25" i="1" l="1"/>
  <c r="M26" i="1" l="1"/>
  <c r="M61" i="1"/>
  <c r="M39" i="1"/>
  <c r="N22" i="1" l="1"/>
  <c r="N23" i="1" s="1"/>
  <c r="N24" i="1" s="1"/>
  <c r="N37" i="1" l="1"/>
  <c r="N25" i="1" l="1"/>
  <c r="N26" i="1" l="1"/>
  <c r="N61" i="1"/>
  <c r="N39" i="1"/>
  <c r="O22" i="1" l="1"/>
  <c r="O23" i="1" s="1"/>
  <c r="O24" i="1" s="1"/>
  <c r="O37" i="1" l="1"/>
  <c r="O25" i="1" l="1"/>
  <c r="O26" i="1"/>
  <c r="O61" i="1"/>
  <c r="O39" i="1"/>
  <c r="P22" i="1" l="1"/>
  <c r="P23" i="1" s="1"/>
  <c r="P24" i="1" s="1"/>
  <c r="P37" i="1" l="1"/>
  <c r="P25" i="1"/>
  <c r="P61" i="1" l="1"/>
  <c r="P26" i="1"/>
  <c r="P39" i="1"/>
  <c r="Q22" i="1" l="1"/>
  <c r="Q23" i="1" s="1"/>
  <c r="Q24" i="1" s="1"/>
  <c r="Q37" i="1" l="1"/>
  <c r="Q25" i="1"/>
  <c r="Q61" i="1" l="1"/>
  <c r="Q26" i="1"/>
  <c r="Q39" i="1"/>
  <c r="R22" i="1" l="1"/>
  <c r="R23" i="1" s="1"/>
  <c r="R24" i="1" s="1"/>
  <c r="R37" i="1" l="1"/>
  <c r="R25" i="1" l="1"/>
  <c r="R61" i="1" l="1"/>
  <c r="R26" i="1"/>
  <c r="R39" i="1"/>
  <c r="S22" i="1" l="1"/>
  <c r="S23" i="1" s="1"/>
  <c r="S24" i="1" s="1"/>
  <c r="S37" i="1" l="1"/>
  <c r="S25" i="1"/>
  <c r="S26" i="1" l="1"/>
  <c r="S61" i="1"/>
  <c r="S39" i="1"/>
  <c r="T22" i="1" l="1"/>
  <c r="T23" i="1" s="1"/>
  <c r="T24" i="1" l="1"/>
  <c r="T37" i="1" s="1"/>
  <c r="T25" i="1"/>
  <c r="T26" i="1" l="1"/>
  <c r="T61" i="1"/>
  <c r="T39" i="1"/>
  <c r="U22" i="1" l="1"/>
  <c r="U23" i="1" s="1"/>
  <c r="U24" i="1" l="1"/>
  <c r="U37" i="1" s="1"/>
  <c r="U25" i="1"/>
  <c r="U61" i="1" l="1"/>
  <c r="U26" i="1"/>
  <c r="U39" i="1"/>
  <c r="V22" i="1" l="1"/>
  <c r="V23" i="1" s="1"/>
  <c r="V24" i="1" l="1"/>
  <c r="V37" i="1" s="1"/>
  <c r="V25" i="1" l="1"/>
  <c r="V26" i="1"/>
  <c r="V61" i="1"/>
  <c r="V39" i="1"/>
  <c r="W22" i="1" l="1"/>
  <c r="W23" i="1" s="1"/>
  <c r="W24" i="1" l="1"/>
  <c r="W37" i="1" s="1"/>
  <c r="W25" i="1" l="1"/>
  <c r="W26" i="1" s="1"/>
  <c r="W61" i="1"/>
  <c r="W39" i="1"/>
  <c r="X22" i="1" l="1"/>
  <c r="X23" i="1" s="1"/>
  <c r="X24" i="1" l="1"/>
  <c r="X37" i="1" s="1"/>
  <c r="X25" i="1" l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BM25" i="1" s="1"/>
  <c r="BN25" i="1" s="1"/>
  <c r="BO25" i="1" s="1"/>
  <c r="BP25" i="1" s="1"/>
  <c r="BQ25" i="1" s="1"/>
  <c r="BR25" i="1" s="1"/>
  <c r="BS25" i="1" s="1"/>
  <c r="BT25" i="1" s="1"/>
  <c r="BU25" i="1" s="1"/>
  <c r="BV25" i="1" s="1"/>
  <c r="BW25" i="1" s="1"/>
  <c r="BX25" i="1" s="1"/>
  <c r="BY25" i="1" s="1"/>
  <c r="BZ25" i="1" s="1"/>
  <c r="CA25" i="1" s="1"/>
  <c r="CB25" i="1" s="1"/>
  <c r="CC25" i="1" s="1"/>
  <c r="CD25" i="1" s="1"/>
  <c r="CE25" i="1" s="1"/>
  <c r="CF25" i="1" s="1"/>
  <c r="CG25" i="1" s="1"/>
  <c r="CH25" i="1" s="1"/>
  <c r="CI25" i="1" s="1"/>
  <c r="CJ25" i="1" s="1"/>
  <c r="CK25" i="1" s="1"/>
  <c r="CL25" i="1" s="1"/>
  <c r="CM25" i="1" s="1"/>
  <c r="CN25" i="1" s="1"/>
  <c r="CO25" i="1" s="1"/>
  <c r="CP25" i="1" s="1"/>
  <c r="CQ25" i="1" s="1"/>
  <c r="CR25" i="1" s="1"/>
  <c r="CS25" i="1" s="1"/>
  <c r="CT25" i="1" s="1"/>
  <c r="CU25" i="1" s="1"/>
  <c r="CV25" i="1" s="1"/>
  <c r="CW25" i="1" s="1"/>
  <c r="CX25" i="1" s="1"/>
  <c r="CY25" i="1" s="1"/>
  <c r="CZ25" i="1" s="1"/>
  <c r="DA25" i="1" s="1"/>
  <c r="DB25" i="1" s="1"/>
  <c r="DC25" i="1" s="1"/>
  <c r="DD25" i="1" s="1"/>
  <c r="DE25" i="1" s="1"/>
  <c r="DF25" i="1" s="1"/>
  <c r="DG25" i="1" s="1"/>
  <c r="DH25" i="1" s="1"/>
  <c r="DI25" i="1" s="1"/>
  <c r="DJ25" i="1" s="1"/>
  <c r="DK25" i="1" s="1"/>
  <c r="DL25" i="1" s="1"/>
  <c r="DM25" i="1" s="1"/>
  <c r="DN25" i="1" s="1"/>
  <c r="DO25" i="1" s="1"/>
  <c r="DP25" i="1" s="1"/>
  <c r="DQ25" i="1" s="1"/>
  <c r="DR25" i="1" s="1"/>
  <c r="DS25" i="1" s="1"/>
  <c r="DT25" i="1" s="1"/>
  <c r="DU25" i="1" s="1"/>
  <c r="DV25" i="1" s="1"/>
  <c r="DW25" i="1" s="1"/>
  <c r="DX25" i="1" s="1"/>
  <c r="DY25" i="1" s="1"/>
  <c r="DZ25" i="1" s="1"/>
  <c r="EA25" i="1" s="1"/>
  <c r="EB25" i="1" s="1"/>
  <c r="EC25" i="1" s="1"/>
  <c r="ED25" i="1" s="1"/>
  <c r="EE25" i="1" s="1"/>
  <c r="EF25" i="1" s="1"/>
  <c r="EG25" i="1" s="1"/>
  <c r="EH25" i="1" s="1"/>
  <c r="EI25" i="1" s="1"/>
  <c r="EJ25" i="1" s="1"/>
  <c r="EK25" i="1" s="1"/>
  <c r="EL25" i="1" s="1"/>
  <c r="EM25" i="1" s="1"/>
  <c r="EN25" i="1" s="1"/>
  <c r="EO25" i="1" s="1"/>
  <c r="EP25" i="1" s="1"/>
  <c r="EQ25" i="1" s="1"/>
  <c r="ER25" i="1" s="1"/>
  <c r="ES25" i="1" s="1"/>
  <c r="ET25" i="1" s="1"/>
  <c r="EU25" i="1" s="1"/>
  <c r="EV25" i="1" s="1"/>
  <c r="EW25" i="1" s="1"/>
  <c r="EX25" i="1" s="1"/>
  <c r="EY25" i="1" s="1"/>
  <c r="EZ25" i="1" s="1"/>
  <c r="FA25" i="1" s="1"/>
  <c r="FB25" i="1" s="1"/>
  <c r="FC25" i="1" s="1"/>
  <c r="FD25" i="1" s="1"/>
  <c r="FE25" i="1" s="1"/>
  <c r="FF25" i="1" s="1"/>
  <c r="FG25" i="1" s="1"/>
  <c r="FH25" i="1" s="1"/>
  <c r="FI25" i="1" s="1"/>
  <c r="FJ25" i="1" s="1"/>
  <c r="FK25" i="1" s="1"/>
  <c r="FL25" i="1" s="1"/>
  <c r="FM25" i="1" s="1"/>
  <c r="FN25" i="1" s="1"/>
  <c r="FO25" i="1" s="1"/>
  <c r="FP25" i="1" s="1"/>
  <c r="FQ25" i="1" s="1"/>
  <c r="FR25" i="1" s="1"/>
  <c r="FS25" i="1" s="1"/>
  <c r="FT25" i="1" s="1"/>
  <c r="FU25" i="1" s="1"/>
  <c r="FV25" i="1" s="1"/>
  <c r="FW25" i="1" s="1"/>
  <c r="FX25" i="1" s="1"/>
  <c r="FY25" i="1" s="1"/>
  <c r="FZ25" i="1" s="1"/>
  <c r="GA25" i="1" s="1"/>
  <c r="GB25" i="1" s="1"/>
  <c r="GC25" i="1" s="1"/>
  <c r="GD25" i="1" s="1"/>
  <c r="GE25" i="1" s="1"/>
  <c r="GF25" i="1" s="1"/>
  <c r="GG25" i="1" s="1"/>
  <c r="GH25" i="1" s="1"/>
  <c r="GI25" i="1" s="1"/>
  <c r="GJ25" i="1" s="1"/>
  <c r="GK25" i="1" s="1"/>
  <c r="GL25" i="1" s="1"/>
  <c r="GM25" i="1" s="1"/>
  <c r="GN25" i="1" s="1"/>
  <c r="GO25" i="1" s="1"/>
  <c r="GP25" i="1" s="1"/>
  <c r="GQ25" i="1" s="1"/>
  <c r="GR25" i="1" s="1"/>
  <c r="GS25" i="1" s="1"/>
  <c r="GT25" i="1" s="1"/>
  <c r="GU25" i="1" s="1"/>
  <c r="GV25" i="1" s="1"/>
  <c r="GW25" i="1" s="1"/>
  <c r="GX25" i="1" s="1"/>
  <c r="GY25" i="1" s="1"/>
  <c r="GZ25" i="1" s="1"/>
  <c r="HA25" i="1" s="1"/>
  <c r="HB25" i="1" s="1"/>
  <c r="HC25" i="1" s="1"/>
  <c r="HD25" i="1" s="1"/>
  <c r="HE25" i="1" s="1"/>
  <c r="HF25" i="1" s="1"/>
  <c r="HG25" i="1" s="1"/>
  <c r="HH25" i="1" s="1"/>
  <c r="HI25" i="1" s="1"/>
  <c r="HJ25" i="1" s="1"/>
  <c r="HK25" i="1" s="1"/>
  <c r="HL25" i="1" s="1"/>
  <c r="HM25" i="1" s="1"/>
  <c r="HN25" i="1" s="1"/>
  <c r="HO25" i="1" s="1"/>
  <c r="HP25" i="1" s="1"/>
  <c r="HQ25" i="1" s="1"/>
  <c r="HR25" i="1" s="1"/>
  <c r="HS25" i="1" s="1"/>
  <c r="HT25" i="1" s="1"/>
  <c r="HU25" i="1" s="1"/>
  <c r="HV25" i="1" s="1"/>
  <c r="HW25" i="1" s="1"/>
  <c r="HX25" i="1" s="1"/>
  <c r="HY25" i="1" s="1"/>
  <c r="HZ25" i="1" s="1"/>
  <c r="IA25" i="1" s="1"/>
  <c r="IB25" i="1" s="1"/>
  <c r="IC25" i="1" s="1"/>
  <c r="ID25" i="1" s="1"/>
  <c r="IE25" i="1" s="1"/>
  <c r="IF25" i="1" s="1"/>
  <c r="IG25" i="1" s="1"/>
  <c r="IH25" i="1" s="1"/>
  <c r="II25" i="1" s="1"/>
  <c r="IJ25" i="1" s="1"/>
  <c r="IK25" i="1" s="1"/>
  <c r="IL25" i="1" s="1"/>
  <c r="IM25" i="1" s="1"/>
  <c r="IN25" i="1" s="1"/>
  <c r="IO25" i="1" s="1"/>
  <c r="IP25" i="1" s="1"/>
  <c r="IQ25" i="1" s="1"/>
  <c r="IR25" i="1" s="1"/>
  <c r="X61" i="1"/>
  <c r="X26" i="1"/>
  <c r="X39" i="1"/>
  <c r="F5" i="1" l="1"/>
  <c r="F6" i="1" s="1"/>
  <c r="F7" i="1" s="1"/>
  <c r="G7" i="1" s="1"/>
</calcChain>
</file>

<file path=xl/sharedStrings.xml><?xml version="1.0" encoding="utf-8"?>
<sst xmlns="http://schemas.openxmlformats.org/spreadsheetml/2006/main" count="186" uniqueCount="143">
  <si>
    <t>Baidu Inc (BIDU)</t>
  </si>
  <si>
    <t>Price</t>
  </si>
  <si>
    <t>Shares</t>
  </si>
  <si>
    <t>Market Cap</t>
  </si>
  <si>
    <t>Net Cash</t>
  </si>
  <si>
    <t>EV</t>
  </si>
  <si>
    <t>per share</t>
  </si>
  <si>
    <t>CEO</t>
  </si>
  <si>
    <t>Founder</t>
  </si>
  <si>
    <t>Robin Li</t>
  </si>
  <si>
    <t>Eric Xu</t>
  </si>
  <si>
    <t>EDGAR</t>
  </si>
  <si>
    <t>Revenue</t>
  </si>
  <si>
    <t>Net income</t>
  </si>
  <si>
    <t>Revenue y/y</t>
  </si>
  <si>
    <t>Advertising</t>
  </si>
  <si>
    <t>Other</t>
  </si>
  <si>
    <t>COGS</t>
  </si>
  <si>
    <t>Gross Profit</t>
  </si>
  <si>
    <t>R&amp;D</t>
  </si>
  <si>
    <t>Operating Expenses</t>
  </si>
  <si>
    <t>Operating Income</t>
  </si>
  <si>
    <t>Interest Income</t>
  </si>
  <si>
    <t>Pretax Income</t>
  </si>
  <si>
    <t>Taxes</t>
  </si>
  <si>
    <t>EPS</t>
  </si>
  <si>
    <t>R&amp;D y/y</t>
  </si>
  <si>
    <t>Gross Margin</t>
  </si>
  <si>
    <t>Operating Margin</t>
  </si>
  <si>
    <t>Tax Rate</t>
  </si>
  <si>
    <t>ROIC</t>
  </si>
  <si>
    <t>Intangibles</t>
  </si>
  <si>
    <t>Total assets</t>
  </si>
  <si>
    <t>ROE</t>
  </si>
  <si>
    <t>ROA</t>
  </si>
  <si>
    <t>ROTB</t>
  </si>
  <si>
    <t>ROTWC</t>
  </si>
  <si>
    <t>Cash</t>
  </si>
  <si>
    <t>Debt</t>
  </si>
  <si>
    <t>TWC</t>
  </si>
  <si>
    <t>Equity</t>
  </si>
  <si>
    <t>S&amp;G&amp;A</t>
  </si>
  <si>
    <t>S&amp;G&amp;A y/y</t>
  </si>
  <si>
    <t>Maturity</t>
  </si>
  <si>
    <t>Discount</t>
  </si>
  <si>
    <t>NPV</t>
  </si>
  <si>
    <t>Value</t>
  </si>
  <si>
    <t>Investor Relations</t>
  </si>
  <si>
    <t>Q418</t>
  </si>
  <si>
    <t>Advertising y/y</t>
  </si>
  <si>
    <t>Other y/y</t>
  </si>
  <si>
    <t>Q318</t>
  </si>
  <si>
    <t>Q218</t>
  </si>
  <si>
    <t>Q118</t>
  </si>
  <si>
    <t>Q417</t>
  </si>
  <si>
    <t>Q317</t>
  </si>
  <si>
    <t>Q217</t>
  </si>
  <si>
    <t>Q117</t>
  </si>
  <si>
    <t>Baidu App DAU</t>
  </si>
  <si>
    <t>BJH accounts</t>
  </si>
  <si>
    <t>Baidu Smart Mini MAU</t>
  </si>
  <si>
    <t>Haokan DAU</t>
  </si>
  <si>
    <t>Quanmin DAU</t>
  </si>
  <si>
    <t>iQIYI subscribers</t>
  </si>
  <si>
    <t>31/12/2018</t>
  </si>
  <si>
    <t>31/12/2017</t>
  </si>
  <si>
    <t>30/9/2018</t>
  </si>
  <si>
    <t>Total liabilities</t>
  </si>
  <si>
    <t>Net income TTM</t>
  </si>
  <si>
    <t>Net Income</t>
  </si>
  <si>
    <t>Baidu Knows</t>
  </si>
  <si>
    <t>Baidu Encyclopedia</t>
  </si>
  <si>
    <t>Baidu Maps</t>
  </si>
  <si>
    <t>Baidu Cloud</t>
  </si>
  <si>
    <t>30/9/2017</t>
  </si>
  <si>
    <t>30/6/2018</t>
  </si>
  <si>
    <t>30/6/2017</t>
  </si>
  <si>
    <t>31/3/2018</t>
  </si>
  <si>
    <t>31/3/2017</t>
  </si>
  <si>
    <t>USD/RMB</t>
  </si>
  <si>
    <t>ADS</t>
  </si>
  <si>
    <t>Revenue USD</t>
  </si>
  <si>
    <t>Net Income USD</t>
  </si>
  <si>
    <t>31/12/2016</t>
  </si>
  <si>
    <t>30/9/2016</t>
  </si>
  <si>
    <t>30/6/2016</t>
  </si>
  <si>
    <t>31/3/2016</t>
  </si>
  <si>
    <t>Q116</t>
  </si>
  <si>
    <t>Q216</t>
  </si>
  <si>
    <t>Q316</t>
  </si>
  <si>
    <t>Q416</t>
  </si>
  <si>
    <t>30/6/2015</t>
  </si>
  <si>
    <t>30/9/2015</t>
  </si>
  <si>
    <t>31/12/2015</t>
  </si>
  <si>
    <t>Q415</t>
  </si>
  <si>
    <t>Q315</t>
  </si>
  <si>
    <t>Q215</t>
  </si>
  <si>
    <t>Q115</t>
  </si>
  <si>
    <t>31/3/2015</t>
  </si>
  <si>
    <t>31/3/2019</t>
  </si>
  <si>
    <t>Q119</t>
  </si>
  <si>
    <t>30/6/2019</t>
  </si>
  <si>
    <t>Q219</t>
  </si>
  <si>
    <t>31/12/2019</t>
  </si>
  <si>
    <t>30/9/2019</t>
  </si>
  <si>
    <t>Q319</t>
  </si>
  <si>
    <t>Q419</t>
  </si>
  <si>
    <t>OE y/y</t>
  </si>
  <si>
    <t>Expected return on invested capital (innovation grade)</t>
  </si>
  <si>
    <t>Risk-free rate + market premium (opportunity cost)</t>
  </si>
  <si>
    <t>http://www.worldgovernmentbonds.com/country/united-states/</t>
  </si>
  <si>
    <t>Net present value on future net income (terminal value)</t>
  </si>
  <si>
    <t>Products</t>
  </si>
  <si>
    <t>Baidu App</t>
  </si>
  <si>
    <t>Baidu Search</t>
  </si>
  <si>
    <t>Baidu Feed</t>
  </si>
  <si>
    <t>Mobile search</t>
  </si>
  <si>
    <t>Social media</t>
  </si>
  <si>
    <t>Haokan</t>
  </si>
  <si>
    <t>Short video app</t>
  </si>
  <si>
    <t>Baidu Post Bar</t>
  </si>
  <si>
    <t>Q&amp;A community</t>
  </si>
  <si>
    <t>Online encyclopedia</t>
  </si>
  <si>
    <t>Map app</t>
  </si>
  <si>
    <t>Baidu IME</t>
  </si>
  <si>
    <t>Chinese-language mobile keyboard</t>
  </si>
  <si>
    <t>AI businesses</t>
  </si>
  <si>
    <t>Duer OS</t>
  </si>
  <si>
    <t>Voice assistant</t>
  </si>
  <si>
    <t>Apollo</t>
  </si>
  <si>
    <t>Autonomous driving</t>
  </si>
  <si>
    <t>https://dueros.baidu.com/en/index.html</t>
  </si>
  <si>
    <t>SaaS</t>
  </si>
  <si>
    <t>https://haokan.baidu.com/</t>
  </si>
  <si>
    <t>https://map.baidu.com/</t>
  </si>
  <si>
    <t>https://cloud.baidu.com/</t>
  </si>
  <si>
    <t>http://apollo.auto/</t>
  </si>
  <si>
    <t>Net Cash USD</t>
  </si>
  <si>
    <t>Revenue y/y USD</t>
  </si>
  <si>
    <t>Q120</t>
  </si>
  <si>
    <t>27-28 700</t>
  </si>
  <si>
    <t>iQIYI subscribers y/y</t>
  </si>
  <si>
    <t>Baidu App DAU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</si>
</sst>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#,##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2">
    <xf numFmtId="0" fontId="0" fillId="0" borderId="0" xfId="0"/>
    <xf numFmtId="0" fontId="2" fillId="0" borderId="0" xfId="1" applyFont="1"/>
    <xf numFmtId="0" fontId="3" fillId="0" borderId="0" xfId="0" applyFont="1"/>
    <xf numFmtId="0" fontId="4" fillId="0" borderId="0" xfId="0" applyFont="1"/>
    <xf numFmtId="4" fontId="4" fillId="0" borderId="0" xfId="0" applyNumberFormat="1" applyFont="1"/>
    <xf numFmtId="3" fontId="4" fillId="0" borderId="0" xfId="0" applyNumberFormat="1" applyFont="1"/>
    <xf numFmtId="0" fontId="5" fillId="0" borderId="0" xfId="0" applyFont="1"/>
    <xf numFmtId="0" fontId="4" fillId="0" borderId="0" xfId="0" applyFont="1" applyBorder="1"/>
    <xf numFmtId="10" fontId="4" fillId="0" borderId="0" xfId="0" applyNumberFormat="1" applyFont="1"/>
    <xf numFmtId="0" fontId="3" fillId="0" borderId="0" xfId="0" applyFont="1" applyBorder="1"/>
    <xf numFmtId="0" fontId="5" fillId="0" borderId="0" xfId="0" applyFont="1" applyBorder="1"/>
    <xf numFmtId="3" fontId="4" fillId="2" borderId="0" xfId="0" applyNumberFormat="1" applyFont="1" applyFill="1"/>
    <xf numFmtId="4" fontId="4" fillId="2" borderId="0" xfId="0" applyNumberFormat="1" applyFont="1" applyFill="1"/>
    <xf numFmtId="0" fontId="4" fillId="0" borderId="0" xfId="0" applyFont="1" applyFill="1" applyBorder="1"/>
    <xf numFmtId="0" fontId="2" fillId="0" borderId="0" xfId="1" applyFont="1" applyAlignment="1">
      <alignment horizontal="left"/>
    </xf>
    <xf numFmtId="9" fontId="4" fillId="0" borderId="0" xfId="0" applyNumberFormat="1" applyFont="1"/>
    <xf numFmtId="3" fontId="3" fillId="2" borderId="0" xfId="0" applyNumberFormat="1" applyFont="1" applyFill="1"/>
    <xf numFmtId="164" fontId="4" fillId="2" borderId="0" xfId="0" applyNumberFormat="1" applyFont="1" applyFill="1"/>
    <xf numFmtId="164" fontId="3" fillId="2" borderId="0" xfId="0" applyNumberFormat="1" applyFont="1" applyFill="1"/>
    <xf numFmtId="2" fontId="4" fillId="2" borderId="0" xfId="0" applyNumberFormat="1" applyFont="1" applyFill="1"/>
    <xf numFmtId="0" fontId="4" fillId="0" borderId="0" xfId="0" applyFont="1" applyFill="1"/>
    <xf numFmtId="165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right"/>
    </xf>
    <xf numFmtId="165" fontId="4" fillId="0" borderId="0" xfId="0" applyNumberFormat="1" applyFont="1" applyAlignment="1">
      <alignment horizontal="right"/>
    </xf>
    <xf numFmtId="165" fontId="4" fillId="0" borderId="1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3" fontId="4" fillId="0" borderId="1" xfId="0" applyNumberFormat="1" applyFont="1" applyBorder="1" applyAlignment="1">
      <alignment horizontal="right"/>
    </xf>
    <xf numFmtId="3" fontId="3" fillId="0" borderId="0" xfId="0" applyNumberFormat="1" applyFont="1"/>
    <xf numFmtId="3" fontId="3" fillId="2" borderId="0" xfId="0" applyNumberFormat="1" applyFont="1" applyFill="1" applyAlignment="1">
      <alignment horizontal="right"/>
    </xf>
    <xf numFmtId="3" fontId="4" fillId="2" borderId="0" xfId="0" applyNumberFormat="1" applyFont="1" applyFill="1" applyAlignment="1">
      <alignment horizontal="right"/>
    </xf>
    <xf numFmtId="9" fontId="4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9" fontId="3" fillId="0" borderId="0" xfId="0" applyNumberFormat="1" applyFont="1" applyAlignment="1">
      <alignment horizontal="right"/>
    </xf>
    <xf numFmtId="9" fontId="4" fillId="0" borderId="1" xfId="0" applyNumberFormat="1" applyFont="1" applyBorder="1" applyAlignment="1">
      <alignment horizontal="right"/>
    </xf>
    <xf numFmtId="4" fontId="4" fillId="2" borderId="0" xfId="0" applyNumberFormat="1" applyFont="1" applyFill="1" applyAlignment="1">
      <alignment horizontal="right"/>
    </xf>
    <xf numFmtId="9" fontId="4" fillId="0" borderId="0" xfId="0" applyNumberFormat="1" applyFont="1" applyBorder="1" applyAlignment="1">
      <alignment horizontal="right"/>
    </xf>
    <xf numFmtId="3" fontId="3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right"/>
    </xf>
    <xf numFmtId="4" fontId="4" fillId="2" borderId="1" xfId="0" applyNumberFormat="1" applyFont="1" applyFill="1" applyBorder="1" applyAlignment="1">
      <alignment horizontal="right"/>
    </xf>
    <xf numFmtId="9" fontId="3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0" fontId="6" fillId="0" borderId="0" xfId="0" applyFont="1"/>
    <xf numFmtId="3" fontId="5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4" fontId="3" fillId="0" borderId="0" xfId="0" applyNumberFormat="1" applyFont="1"/>
    <xf numFmtId="3" fontId="4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right"/>
    </xf>
    <xf numFmtId="3" fontId="3" fillId="0" borderId="0" xfId="0" applyNumberFormat="1" applyFont="1" applyFill="1" applyAlignment="1">
      <alignment horizontal="right"/>
    </xf>
    <xf numFmtId="4" fontId="4" fillId="0" borderId="0" xfId="0" applyNumberFormat="1" applyFont="1" applyFill="1" applyAlignment="1">
      <alignment horizontal="right"/>
    </xf>
    <xf numFmtId="3" fontId="5" fillId="0" borderId="0" xfId="0" applyNumberFormat="1" applyFont="1" applyFill="1" applyAlignment="1">
      <alignment horizontal="right"/>
    </xf>
    <xf numFmtId="9" fontId="3" fillId="0" borderId="0" xfId="0" applyNumberFormat="1" applyFont="1" applyFill="1" applyAlignment="1">
      <alignment horizontal="right"/>
    </xf>
    <xf numFmtId="9" fontId="4" fillId="0" borderId="0" xfId="0" applyNumberFormat="1" applyFont="1" applyFill="1" applyAlignment="1">
      <alignment horizontal="right"/>
    </xf>
    <xf numFmtId="0" fontId="5" fillId="0" borderId="0" xfId="0" applyFont="1" applyAlignment="1">
      <alignment horizontal="right"/>
    </xf>
    <xf numFmtId="9" fontId="5" fillId="0" borderId="0" xfId="0" applyNumberFormat="1" applyFont="1" applyFill="1" applyAlignment="1">
      <alignment horizontal="right"/>
    </xf>
    <xf numFmtId="9" fontId="5" fillId="0" borderId="0" xfId="0" applyNumberFormat="1" applyFont="1" applyAlignment="1">
      <alignment horizontal="right"/>
    </xf>
    <xf numFmtId="0" fontId="5" fillId="0" borderId="0" xfId="0" applyFont="1" applyFill="1" applyAlignment="1">
      <alignment horizontal="right"/>
    </xf>
    <xf numFmtId="14" fontId="4" fillId="0" borderId="1" xfId="0" applyNumberFormat="1" applyFont="1" applyBorder="1" applyAlignment="1">
      <alignment horizontal="right"/>
    </xf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10</xdr:row>
      <xdr:rowOff>12700</xdr:rowOff>
    </xdr:from>
    <xdr:to>
      <xdr:col>9</xdr:col>
      <xdr:colOff>228600</xdr:colOff>
      <xdr:row>66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8064500" y="1663700"/>
          <a:ext cx="0" cy="90678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215900</xdr:colOff>
      <xdr:row>1</xdr:row>
      <xdr:rowOff>25400</xdr:rowOff>
    </xdr:from>
    <xdr:to>
      <xdr:col>22</xdr:col>
      <xdr:colOff>215900</xdr:colOff>
      <xdr:row>59</xdr:row>
      <xdr:rowOff>12700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E645DC75-4F2A-C04B-B2FE-F6A7256CBCA9}"/>
            </a:ext>
          </a:extLst>
        </xdr:cNvPr>
        <xdr:cNvCxnSpPr/>
      </xdr:nvCxnSpPr>
      <xdr:spPr>
        <a:xfrm>
          <a:off x="18961100" y="190500"/>
          <a:ext cx="0" cy="95631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Eric_Xu" TargetMode="External"/><Relationship Id="rId2" Type="http://schemas.openxmlformats.org/officeDocument/2006/relationships/hyperlink" Target="https://en.wikipedia.org/wiki/Robin_Li" TargetMode="External"/><Relationship Id="rId1" Type="http://schemas.openxmlformats.org/officeDocument/2006/relationships/hyperlink" Target="https://en.wikipedia.org/wiki/Robin_Li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://www.worldgovernmentbonds.com/country/united-states/" TargetMode="External"/><Relationship Id="rId4" Type="http://schemas.openxmlformats.org/officeDocument/2006/relationships/hyperlink" Target="http://ir.baidu.com/phoenix.zhtml?c=188488&amp;p=irol-irhom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IK=BIDU&amp;owner=exclude&amp;action=getcompany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map.baidu.com/" TargetMode="External"/><Relationship Id="rId2" Type="http://schemas.openxmlformats.org/officeDocument/2006/relationships/hyperlink" Target="https://haokan.baidu.com/" TargetMode="External"/><Relationship Id="rId1" Type="http://schemas.openxmlformats.org/officeDocument/2006/relationships/hyperlink" Target="https://dueros.baidu.com/en/index.html" TargetMode="External"/><Relationship Id="rId5" Type="http://schemas.openxmlformats.org/officeDocument/2006/relationships/hyperlink" Target="http://apollo.auto/" TargetMode="External"/><Relationship Id="rId4" Type="http://schemas.openxmlformats.org/officeDocument/2006/relationships/hyperlink" Target="https://cloud.baid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R65"/>
  <sheetViews>
    <sheetView tabSelected="1" workbookViewId="0">
      <pane xSplit="1" ySplit="11" topLeftCell="C12" activePane="bottomRight" state="frozen"/>
      <selection pane="topRight" activeCell="B1" sqref="B1"/>
      <selection pane="bottomLeft" activeCell="A10" sqref="A10"/>
      <selection pane="bottomRight" activeCell="K33" sqref="K33"/>
    </sheetView>
  </sheetViews>
  <sheetFormatPr baseColWidth="10" defaultRowHeight="13" x14ac:dyDescent="0.15"/>
  <cols>
    <col min="1" max="1" width="16.1640625" style="3" bestFit="1" customWidth="1"/>
    <col min="2" max="16384" width="10.83203125" style="3"/>
  </cols>
  <sheetData>
    <row r="1" spans="1:24" x14ac:dyDescent="0.15">
      <c r="A1" s="14" t="s">
        <v>47</v>
      </c>
      <c r="B1" s="2" t="s">
        <v>0</v>
      </c>
    </row>
    <row r="2" spans="1:24" x14ac:dyDescent="0.15">
      <c r="B2" s="3" t="s">
        <v>1</v>
      </c>
      <c r="C2" s="4">
        <v>122.77</v>
      </c>
      <c r="D2" s="60">
        <v>44029</v>
      </c>
      <c r="E2" s="7" t="s">
        <v>43</v>
      </c>
      <c r="F2" s="8">
        <v>-0.01</v>
      </c>
      <c r="I2" s="5"/>
    </row>
    <row r="3" spans="1:24" x14ac:dyDescent="0.15">
      <c r="A3" s="2" t="s">
        <v>7</v>
      </c>
      <c r="B3" s="3" t="s">
        <v>2</v>
      </c>
      <c r="C3" s="5">
        <f>'Reports RMB'!V18*10</f>
        <v>347.57943</v>
      </c>
      <c r="D3" s="61" t="s">
        <v>139</v>
      </c>
      <c r="E3" s="7" t="s">
        <v>30</v>
      </c>
      <c r="F3" s="8">
        <v>0.02</v>
      </c>
      <c r="G3" s="6" t="s">
        <v>108</v>
      </c>
      <c r="I3" s="5"/>
    </row>
    <row r="4" spans="1:24" x14ac:dyDescent="0.15">
      <c r="A4" s="1" t="s">
        <v>9</v>
      </c>
      <c r="B4" s="3" t="s">
        <v>3</v>
      </c>
      <c r="C4" s="11">
        <f>C3*C2</f>
        <v>42672.326621100001</v>
      </c>
      <c r="D4" s="61"/>
      <c r="E4" s="7" t="s">
        <v>44</v>
      </c>
      <c r="F4" s="8">
        <v>7.0000000000000007E-2</v>
      </c>
      <c r="G4" s="6" t="s">
        <v>109</v>
      </c>
      <c r="I4" s="15"/>
      <c r="L4" s="1" t="s">
        <v>110</v>
      </c>
    </row>
    <row r="5" spans="1:24" x14ac:dyDescent="0.15">
      <c r="B5" s="3" t="s">
        <v>4</v>
      </c>
      <c r="C5" s="5">
        <f>'Reports RMB'!V28/Main!C9</f>
        <v>21227.61087267525</v>
      </c>
      <c r="D5" s="61" t="s">
        <v>139</v>
      </c>
      <c r="E5" s="7" t="s">
        <v>45</v>
      </c>
      <c r="F5" s="17">
        <f>NPV(F4,J25:IR25)</f>
        <v>410663.06828758901</v>
      </c>
      <c r="G5" s="6" t="s">
        <v>111</v>
      </c>
      <c r="I5" s="15"/>
    </row>
    <row r="6" spans="1:24" x14ac:dyDescent="0.15">
      <c r="A6" s="2" t="s">
        <v>8</v>
      </c>
      <c r="B6" s="3" t="s">
        <v>5</v>
      </c>
      <c r="C6" s="11">
        <f>C4-C5</f>
        <v>21444.715748424751</v>
      </c>
      <c r="D6" s="61"/>
      <c r="E6" s="9" t="s">
        <v>46</v>
      </c>
      <c r="F6" s="18">
        <f>F5/C9+C5</f>
        <v>79977.692172759504</v>
      </c>
      <c r="I6" s="15"/>
    </row>
    <row r="7" spans="1:24" x14ac:dyDescent="0.15">
      <c r="A7" s="1" t="s">
        <v>9</v>
      </c>
      <c r="B7" s="6" t="s">
        <v>6</v>
      </c>
      <c r="C7" s="12">
        <f>C6/C3</f>
        <v>61.697309729821328</v>
      </c>
      <c r="D7" s="61"/>
      <c r="E7" s="10" t="s">
        <v>6</v>
      </c>
      <c r="F7" s="19">
        <f>F6/C3</f>
        <v>230.09903714025742</v>
      </c>
      <c r="G7" s="15">
        <f>F7/C2-1</f>
        <v>0.87422853417168223</v>
      </c>
    </row>
    <row r="8" spans="1:24" x14ac:dyDescent="0.15">
      <c r="A8" s="1" t="s">
        <v>10</v>
      </c>
      <c r="D8" s="61"/>
    </row>
    <row r="9" spans="1:24" x14ac:dyDescent="0.15">
      <c r="A9" s="1"/>
      <c r="B9" s="2" t="s">
        <v>79</v>
      </c>
      <c r="C9" s="3">
        <v>6.99</v>
      </c>
      <c r="D9" s="60">
        <v>44029</v>
      </c>
    </row>
    <row r="10" spans="1:24" x14ac:dyDescent="0.15">
      <c r="A10" s="1"/>
    </row>
    <row r="11" spans="1:24" x14ac:dyDescent="0.15">
      <c r="B11" s="22">
        <v>2012</v>
      </c>
      <c r="C11" s="22">
        <v>2013</v>
      </c>
      <c r="D11" s="22">
        <v>2014</v>
      </c>
      <c r="E11" s="22">
        <v>2015</v>
      </c>
      <c r="F11" s="22">
        <v>2016</v>
      </c>
      <c r="G11" s="22">
        <v>2017</v>
      </c>
      <c r="H11" s="22">
        <v>2018</v>
      </c>
      <c r="I11" s="22">
        <v>2019</v>
      </c>
      <c r="J11" s="22">
        <v>2020</v>
      </c>
      <c r="K11" s="22">
        <v>2021</v>
      </c>
      <c r="L11" s="22">
        <v>2022</v>
      </c>
      <c r="M11" s="22">
        <f>L11+1</f>
        <v>2023</v>
      </c>
      <c r="N11" s="22">
        <f t="shared" ref="N11:S11" si="0">M11+1</f>
        <v>2024</v>
      </c>
      <c r="O11" s="22">
        <f t="shared" si="0"/>
        <v>2025</v>
      </c>
      <c r="P11" s="22">
        <f t="shared" si="0"/>
        <v>2026</v>
      </c>
      <c r="Q11" s="22">
        <f t="shared" si="0"/>
        <v>2027</v>
      </c>
      <c r="R11" s="22">
        <f t="shared" si="0"/>
        <v>2028</v>
      </c>
      <c r="S11" s="22">
        <f t="shared" si="0"/>
        <v>2029</v>
      </c>
      <c r="T11" s="22">
        <f t="shared" ref="T11" si="1">S11+1</f>
        <v>2030</v>
      </c>
      <c r="U11" s="22">
        <f t="shared" ref="U11" si="2">T11+1</f>
        <v>2031</v>
      </c>
      <c r="V11" s="22">
        <f t="shared" ref="V11" si="3">U11+1</f>
        <v>2032</v>
      </c>
      <c r="W11" s="22">
        <f t="shared" ref="W11" si="4">V11+1</f>
        <v>2033</v>
      </c>
      <c r="X11" s="22">
        <f t="shared" ref="X11" si="5">W11+1</f>
        <v>2034</v>
      </c>
    </row>
    <row r="12" spans="1:24" x14ac:dyDescent="0.15">
      <c r="A12" s="3" t="s">
        <v>15</v>
      </c>
      <c r="B12" s="26">
        <v>22246</v>
      </c>
      <c r="C12" s="26">
        <v>31802</v>
      </c>
      <c r="D12" s="26">
        <v>48495</v>
      </c>
      <c r="E12" s="26">
        <f>SUM('Reports RMB'!B3:E3)</f>
        <v>64036</v>
      </c>
      <c r="F12" s="26">
        <f>SUM('Reports RMB'!F3:I3)</f>
        <v>64526</v>
      </c>
      <c r="G12" s="26">
        <f>SUM('Reports RMB'!J3:M3)</f>
        <v>73147</v>
      </c>
      <c r="H12" s="48">
        <f>SUM('Reports RMB'!N3:Q3)</f>
        <v>81912</v>
      </c>
      <c r="I12" s="26">
        <f>SUM('Reports RMB'!R3:U3)</f>
        <v>78093</v>
      </c>
      <c r="J12" s="26">
        <f>I12*0.98</f>
        <v>76531.14</v>
      </c>
      <c r="K12" s="26">
        <f t="shared" ref="K12:N12" si="6">J12*0.98</f>
        <v>75000.517200000002</v>
      </c>
      <c r="L12" s="26">
        <f t="shared" si="6"/>
        <v>73500.506856000007</v>
      </c>
      <c r="M12" s="26">
        <f t="shared" si="6"/>
        <v>72030.496718880007</v>
      </c>
      <c r="N12" s="26">
        <f t="shared" si="6"/>
        <v>70589.886784502407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spans="1:24" x14ac:dyDescent="0.15">
      <c r="A13" s="3" t="s">
        <v>16</v>
      </c>
      <c r="B13" s="26">
        <v>61</v>
      </c>
      <c r="C13" s="26">
        <v>142</v>
      </c>
      <c r="D13" s="26">
        <v>557</v>
      </c>
      <c r="E13" s="26">
        <f>SUM('Reports RMB'!B4:E4)</f>
        <v>2345</v>
      </c>
      <c r="F13" s="26">
        <f>SUM('Reports RMB'!F4:I4)</f>
        <v>6025</v>
      </c>
      <c r="G13" s="26">
        <f>SUM('Reports RMB'!J4:M4)</f>
        <v>11663</v>
      </c>
      <c r="H13" s="48">
        <f>SUM('Reports RMB'!N4:Q4)</f>
        <v>20365</v>
      </c>
      <c r="I13" s="26">
        <f>SUM('Reports RMB'!R4:U4)</f>
        <v>29320</v>
      </c>
      <c r="J13" s="26">
        <f>I13*1.25</f>
        <v>36650</v>
      </c>
      <c r="K13" s="26">
        <f t="shared" ref="K13:N13" si="7">J13*1.25</f>
        <v>45812.5</v>
      </c>
      <c r="L13" s="26">
        <f t="shared" si="7"/>
        <v>57265.625</v>
      </c>
      <c r="M13" s="26">
        <f t="shared" si="7"/>
        <v>71582.03125</v>
      </c>
      <c r="N13" s="26">
        <f t="shared" si="7"/>
        <v>89477.5390625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spans="1:24" x14ac:dyDescent="0.15">
      <c r="B14" s="22"/>
      <c r="C14" s="22"/>
      <c r="D14" s="22"/>
      <c r="E14" s="22"/>
      <c r="F14" s="22"/>
      <c r="G14" s="22"/>
      <c r="H14" s="49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spans="1:24" s="2" customFormat="1" x14ac:dyDescent="0.15">
      <c r="A15" s="2" t="s">
        <v>12</v>
      </c>
      <c r="B15" s="29">
        <f t="shared" ref="B15:D15" si="8">SUM(B12:B13)</f>
        <v>22307</v>
      </c>
      <c r="C15" s="29">
        <f t="shared" si="8"/>
        <v>31944</v>
      </c>
      <c r="D15" s="29">
        <f t="shared" si="8"/>
        <v>49052</v>
      </c>
      <c r="E15" s="29">
        <f t="shared" ref="E15:J15" si="9">SUM(E12:E13)</f>
        <v>66381</v>
      </c>
      <c r="F15" s="29">
        <f t="shared" si="9"/>
        <v>70551</v>
      </c>
      <c r="G15" s="29">
        <f t="shared" si="9"/>
        <v>84810</v>
      </c>
      <c r="H15" s="29">
        <f t="shared" si="9"/>
        <v>102277</v>
      </c>
      <c r="I15" s="29">
        <f t="shared" si="9"/>
        <v>107413</v>
      </c>
      <c r="J15" s="50">
        <f t="shared" si="9"/>
        <v>113181.14</v>
      </c>
      <c r="K15" s="50">
        <f t="shared" ref="K15:N15" si="10">SUM(K12:K13)</f>
        <v>120813.0172</v>
      </c>
      <c r="L15" s="50">
        <f t="shared" si="10"/>
        <v>130766.13185600001</v>
      </c>
      <c r="M15" s="50">
        <f t="shared" si="10"/>
        <v>143612.52796888002</v>
      </c>
      <c r="N15" s="50">
        <f t="shared" si="10"/>
        <v>160067.42584700242</v>
      </c>
      <c r="O15" s="50">
        <f>N15*1.05</f>
        <v>168070.79713935254</v>
      </c>
      <c r="P15" s="50">
        <f t="shared" ref="P15:X15" si="11">O15*1.05</f>
        <v>176474.33699632017</v>
      </c>
      <c r="Q15" s="50">
        <f t="shared" si="11"/>
        <v>185298.05384613617</v>
      </c>
      <c r="R15" s="50">
        <f t="shared" si="11"/>
        <v>194562.95653844299</v>
      </c>
      <c r="S15" s="50">
        <f t="shared" si="11"/>
        <v>204291.10436536514</v>
      </c>
      <c r="T15" s="50">
        <f t="shared" si="11"/>
        <v>214505.65958363342</v>
      </c>
      <c r="U15" s="50">
        <f t="shared" si="11"/>
        <v>225230.94256281509</v>
      </c>
      <c r="V15" s="50">
        <f t="shared" si="11"/>
        <v>236492.48969095584</v>
      </c>
      <c r="W15" s="50">
        <f t="shared" si="11"/>
        <v>248317.11417550364</v>
      </c>
      <c r="X15" s="50">
        <f t="shared" si="11"/>
        <v>260732.96988427883</v>
      </c>
    </row>
    <row r="16" spans="1:24" s="2" customFormat="1" x14ac:dyDescent="0.15">
      <c r="A16" s="3" t="s">
        <v>17</v>
      </c>
      <c r="B16" s="26">
        <v>6449</v>
      </c>
      <c r="C16" s="26">
        <v>11472</v>
      </c>
      <c r="D16" s="26">
        <v>18885</v>
      </c>
      <c r="E16" s="26">
        <f>SUM('Reports RMB'!B7:E7)</f>
        <v>27458</v>
      </c>
      <c r="F16" s="26">
        <f>SUM('Reports RMB'!F7:I7)</f>
        <v>35279</v>
      </c>
      <c r="G16" s="26">
        <f>SUM('Reports RMB'!J7:M7)</f>
        <v>43062</v>
      </c>
      <c r="H16" s="48">
        <f>SUM('Reports RMB'!N7:Q7)</f>
        <v>51744</v>
      </c>
      <c r="I16" s="26">
        <f>SUM('Reports RMB'!R7:U7)</f>
        <v>62900</v>
      </c>
      <c r="J16" s="48">
        <f>J15-J17</f>
        <v>66277.766248033295</v>
      </c>
      <c r="K16" s="48">
        <f t="shared" ref="K16:S16" si="12">K15-K17</f>
        <v>70746.918733114246</v>
      </c>
      <c r="L16" s="48">
        <f t="shared" si="12"/>
        <v>76575.365121003982</v>
      </c>
      <c r="M16" s="48">
        <f t="shared" si="12"/>
        <v>84098.088771773939</v>
      </c>
      <c r="N16" s="48">
        <f t="shared" si="12"/>
        <v>93733.915687825982</v>
      </c>
      <c r="O16" s="48">
        <f t="shared" si="12"/>
        <v>98420.611472217279</v>
      </c>
      <c r="P16" s="48">
        <f t="shared" si="12"/>
        <v>103341.64204582815</v>
      </c>
      <c r="Q16" s="48">
        <f t="shared" si="12"/>
        <v>108508.72414811955</v>
      </c>
      <c r="R16" s="48">
        <f t="shared" si="12"/>
        <v>113934.16035552554</v>
      </c>
      <c r="S16" s="48">
        <f t="shared" si="12"/>
        <v>119630.86837330183</v>
      </c>
      <c r="T16" s="48">
        <f t="shared" ref="T16:X16" si="13">T15-T17</f>
        <v>125612.41179196692</v>
      </c>
      <c r="U16" s="48">
        <f t="shared" si="13"/>
        <v>131893.03238156525</v>
      </c>
      <c r="V16" s="48">
        <f t="shared" si="13"/>
        <v>138487.68400064352</v>
      </c>
      <c r="W16" s="48">
        <f t="shared" si="13"/>
        <v>145412.06820067571</v>
      </c>
      <c r="X16" s="48">
        <f t="shared" si="13"/>
        <v>152682.67161070948</v>
      </c>
    </row>
    <row r="17" spans="1:252" s="2" customFormat="1" x14ac:dyDescent="0.15">
      <c r="A17" s="3" t="s">
        <v>18</v>
      </c>
      <c r="B17" s="30">
        <f t="shared" ref="B17:I17" si="14">B15-B16</f>
        <v>15858</v>
      </c>
      <c r="C17" s="30">
        <f t="shared" si="14"/>
        <v>20472</v>
      </c>
      <c r="D17" s="30">
        <f t="shared" si="14"/>
        <v>30167</v>
      </c>
      <c r="E17" s="30">
        <f t="shared" si="14"/>
        <v>38923</v>
      </c>
      <c r="F17" s="30">
        <f t="shared" si="14"/>
        <v>35272</v>
      </c>
      <c r="G17" s="30">
        <f t="shared" si="14"/>
        <v>41748</v>
      </c>
      <c r="H17" s="30">
        <f t="shared" si="14"/>
        <v>50533</v>
      </c>
      <c r="I17" s="30">
        <f t="shared" si="14"/>
        <v>44513</v>
      </c>
      <c r="J17" s="48">
        <f t="shared" ref="J17:X17" si="15">J15*I35</f>
        <v>46903.373751966705</v>
      </c>
      <c r="K17" s="48">
        <f t="shared" si="15"/>
        <v>50066.098466885756</v>
      </c>
      <c r="L17" s="48">
        <f t="shared" si="15"/>
        <v>54190.766734996025</v>
      </c>
      <c r="M17" s="48">
        <f t="shared" si="15"/>
        <v>59514.439197106083</v>
      </c>
      <c r="N17" s="48">
        <f t="shared" si="15"/>
        <v>66333.51015917644</v>
      </c>
      <c r="O17" s="48">
        <f t="shared" si="15"/>
        <v>69650.185667135258</v>
      </c>
      <c r="P17" s="48">
        <f t="shared" si="15"/>
        <v>73132.694950492019</v>
      </c>
      <c r="Q17" s="48">
        <f t="shared" si="15"/>
        <v>76789.32969801662</v>
      </c>
      <c r="R17" s="48">
        <f t="shared" si="15"/>
        <v>80628.796182917446</v>
      </c>
      <c r="S17" s="48">
        <f t="shared" si="15"/>
        <v>84660.235992063317</v>
      </c>
      <c r="T17" s="48">
        <f t="shared" si="15"/>
        <v>88893.247791666494</v>
      </c>
      <c r="U17" s="48">
        <f t="shared" si="15"/>
        <v>93337.910181249827</v>
      </c>
      <c r="V17" s="48">
        <f t="shared" si="15"/>
        <v>98004.805690312322</v>
      </c>
      <c r="W17" s="48">
        <f t="shared" si="15"/>
        <v>102905.04597482794</v>
      </c>
      <c r="X17" s="48">
        <f t="shared" si="15"/>
        <v>108050.29827356935</v>
      </c>
    </row>
    <row r="18" spans="1:252" s="2" customFormat="1" x14ac:dyDescent="0.15">
      <c r="A18" s="3" t="s">
        <v>19</v>
      </c>
      <c r="B18" s="26">
        <v>2501</v>
      </c>
      <c r="C18" s="26">
        <v>4107</v>
      </c>
      <c r="D18" s="26">
        <v>6981</v>
      </c>
      <c r="E18" s="26">
        <f>SUM('Reports RMB'!B9:E9)</f>
        <v>10176</v>
      </c>
      <c r="F18" s="26">
        <f>SUM('Reports RMB'!F9:I9)</f>
        <v>10152</v>
      </c>
      <c r="G18" s="26">
        <f>SUM('Reports RMB'!J9:M9)</f>
        <v>12929</v>
      </c>
      <c r="H18" s="48">
        <f>SUM('Reports RMB'!N9:Q9)</f>
        <v>15772</v>
      </c>
      <c r="I18" s="26">
        <f>SUM('Reports RMB'!R9:U9)</f>
        <v>18346</v>
      </c>
      <c r="J18" s="48">
        <f>I18*1.05</f>
        <v>19263.3</v>
      </c>
      <c r="K18" s="48">
        <f t="shared" ref="K18:N18" si="16">J18*1.05</f>
        <v>20226.465</v>
      </c>
      <c r="L18" s="48">
        <f t="shared" si="16"/>
        <v>21237.788250000001</v>
      </c>
      <c r="M18" s="48">
        <f t="shared" si="16"/>
        <v>22299.677662500002</v>
      </c>
      <c r="N18" s="48">
        <f t="shared" si="16"/>
        <v>23414.661545625004</v>
      </c>
      <c r="O18" s="48">
        <f t="shared" ref="O18" si="17">N18*1.05</f>
        <v>24585.394622906257</v>
      </c>
      <c r="P18" s="48">
        <f t="shared" ref="P18" si="18">O18*1.05</f>
        <v>25814.664354051572</v>
      </c>
      <c r="Q18" s="48">
        <f t="shared" ref="Q18" si="19">P18*1.05</f>
        <v>27105.397571754151</v>
      </c>
      <c r="R18" s="48">
        <f t="shared" ref="R18" si="20">Q18*1.05</f>
        <v>28460.667450341858</v>
      </c>
      <c r="S18" s="48">
        <f t="shared" ref="S18" si="21">R18*1.05</f>
        <v>29883.700822858951</v>
      </c>
      <c r="T18" s="48">
        <f t="shared" ref="T18" si="22">S18*1.05</f>
        <v>31377.885864001899</v>
      </c>
      <c r="U18" s="48">
        <f t="shared" ref="U18" si="23">T18*1.05</f>
        <v>32946.780157201996</v>
      </c>
      <c r="V18" s="48">
        <f t="shared" ref="V18" si="24">U18*1.05</f>
        <v>34594.119165062097</v>
      </c>
      <c r="W18" s="48">
        <f t="shared" ref="W18" si="25">V18*1.05</f>
        <v>36323.825123315204</v>
      </c>
      <c r="X18" s="48">
        <f t="shared" ref="X18" si="26">W18*1.05</f>
        <v>38140.016379480963</v>
      </c>
    </row>
    <row r="19" spans="1:252" s="2" customFormat="1" x14ac:dyDescent="0.15">
      <c r="A19" s="3" t="s">
        <v>41</v>
      </c>
      <c r="B19" s="26">
        <v>2305</v>
      </c>
      <c r="C19" s="26">
        <v>5174</v>
      </c>
      <c r="D19" s="26">
        <v>10382</v>
      </c>
      <c r="E19" s="26">
        <f>SUM('Reports RMB'!B10:E10)</f>
        <v>17077</v>
      </c>
      <c r="F19" s="26">
        <f>SUM('Reports RMB'!F10:I10)</f>
        <v>15070</v>
      </c>
      <c r="G19" s="26">
        <f>SUM('Reports RMB'!J10:M10)</f>
        <v>13129</v>
      </c>
      <c r="H19" s="48">
        <f>SUM('Reports RMB'!N10:Q10)</f>
        <v>19231</v>
      </c>
      <c r="I19" s="26">
        <f>SUM('Reports RMB'!R10:U10)</f>
        <v>19910</v>
      </c>
      <c r="J19" s="48">
        <f>I19*1.05</f>
        <v>20905.5</v>
      </c>
      <c r="K19" s="48">
        <f t="shared" ref="K19:N19" si="27">J19*1.05</f>
        <v>21950.775000000001</v>
      </c>
      <c r="L19" s="48">
        <f t="shared" si="27"/>
        <v>23048.313750000001</v>
      </c>
      <c r="M19" s="48">
        <f t="shared" si="27"/>
        <v>24200.729437500002</v>
      </c>
      <c r="N19" s="48">
        <f t="shared" si="27"/>
        <v>25410.765909375004</v>
      </c>
      <c r="O19" s="48">
        <f t="shared" ref="O19" si="28">N19*0.98</f>
        <v>24902.550591187504</v>
      </c>
      <c r="P19" s="48">
        <f t="shared" ref="P19" si="29">O19*0.98</f>
        <v>24404.499579363754</v>
      </c>
      <c r="Q19" s="48">
        <f t="shared" ref="Q19" si="30">P19*0.98</f>
        <v>23916.409587776478</v>
      </c>
      <c r="R19" s="48">
        <f t="shared" ref="R19" si="31">Q19*0.98</f>
        <v>23438.081396020949</v>
      </c>
      <c r="S19" s="48">
        <f t="shared" ref="S19" si="32">R19*0.98</f>
        <v>22969.319768100529</v>
      </c>
      <c r="T19" s="48">
        <f t="shared" ref="T19" si="33">S19*0.98</f>
        <v>22509.93337273852</v>
      </c>
      <c r="U19" s="48">
        <f t="shared" ref="U19" si="34">T19*0.98</f>
        <v>22059.73470528375</v>
      </c>
      <c r="V19" s="48">
        <f t="shared" ref="V19" si="35">U19*0.98</f>
        <v>21618.540011178076</v>
      </c>
      <c r="W19" s="48">
        <f t="shared" ref="W19" si="36">V19*0.98</f>
        <v>21186.169210954515</v>
      </c>
      <c r="X19" s="48">
        <f t="shared" ref="X19" si="37">W19*0.98</f>
        <v>20762.445826735424</v>
      </c>
    </row>
    <row r="20" spans="1:252" s="2" customFormat="1" x14ac:dyDescent="0.15">
      <c r="A20" s="3" t="s">
        <v>20</v>
      </c>
      <c r="B20" s="30">
        <f t="shared" ref="B20:I20" si="38">SUM(B18:B19)</f>
        <v>4806</v>
      </c>
      <c r="C20" s="30">
        <f t="shared" si="38"/>
        <v>9281</v>
      </c>
      <c r="D20" s="30">
        <f t="shared" si="38"/>
        <v>17363</v>
      </c>
      <c r="E20" s="30">
        <f t="shared" si="38"/>
        <v>27253</v>
      </c>
      <c r="F20" s="30">
        <f t="shared" si="38"/>
        <v>25222</v>
      </c>
      <c r="G20" s="30">
        <f t="shared" si="38"/>
        <v>26058</v>
      </c>
      <c r="H20" s="30">
        <f t="shared" si="38"/>
        <v>35003</v>
      </c>
      <c r="I20" s="30">
        <f t="shared" si="38"/>
        <v>38256</v>
      </c>
      <c r="J20" s="48">
        <f t="shared" ref="J20:S20" si="39">SUM(J18:J19)</f>
        <v>40168.800000000003</v>
      </c>
      <c r="K20" s="48">
        <f t="shared" si="39"/>
        <v>42177.240000000005</v>
      </c>
      <c r="L20" s="48">
        <f t="shared" si="39"/>
        <v>44286.101999999999</v>
      </c>
      <c r="M20" s="48">
        <f t="shared" si="39"/>
        <v>46500.407100000004</v>
      </c>
      <c r="N20" s="48">
        <f t="shared" si="39"/>
        <v>48825.427455000012</v>
      </c>
      <c r="O20" s="48">
        <f t="shared" si="39"/>
        <v>49487.945214093765</v>
      </c>
      <c r="P20" s="48">
        <f t="shared" si="39"/>
        <v>50219.16393341533</v>
      </c>
      <c r="Q20" s="48">
        <f t="shared" si="39"/>
        <v>51021.807159530625</v>
      </c>
      <c r="R20" s="48">
        <f t="shared" si="39"/>
        <v>51898.748846362811</v>
      </c>
      <c r="S20" s="48">
        <f t="shared" si="39"/>
        <v>52853.020590959481</v>
      </c>
      <c r="T20" s="48">
        <f t="shared" ref="T20:X20" si="40">SUM(T18:T19)</f>
        <v>53887.819236740419</v>
      </c>
      <c r="U20" s="48">
        <f t="shared" si="40"/>
        <v>55006.514862485747</v>
      </c>
      <c r="V20" s="48">
        <f t="shared" si="40"/>
        <v>56212.659176240173</v>
      </c>
      <c r="W20" s="48">
        <f t="shared" si="40"/>
        <v>57509.994334269722</v>
      </c>
      <c r="X20" s="48">
        <f t="shared" si="40"/>
        <v>58902.462206216383</v>
      </c>
    </row>
    <row r="21" spans="1:252" s="2" customFormat="1" x14ac:dyDescent="0.15">
      <c r="A21" s="3" t="s">
        <v>21</v>
      </c>
      <c r="B21" s="30">
        <f t="shared" ref="B21:I21" si="41">B17-B20</f>
        <v>11052</v>
      </c>
      <c r="C21" s="30">
        <f t="shared" si="41"/>
        <v>11191</v>
      </c>
      <c r="D21" s="30">
        <f t="shared" si="41"/>
        <v>12804</v>
      </c>
      <c r="E21" s="30">
        <f t="shared" si="41"/>
        <v>11670</v>
      </c>
      <c r="F21" s="30">
        <f t="shared" si="41"/>
        <v>10050</v>
      </c>
      <c r="G21" s="30">
        <f t="shared" si="41"/>
        <v>15690</v>
      </c>
      <c r="H21" s="30">
        <f t="shared" si="41"/>
        <v>15530</v>
      </c>
      <c r="I21" s="30">
        <f t="shared" si="41"/>
        <v>6257</v>
      </c>
      <c r="J21" s="48">
        <f t="shared" ref="J21:S21" si="42">J17-J20</f>
        <v>6734.5737519667018</v>
      </c>
      <c r="K21" s="48">
        <f t="shared" si="42"/>
        <v>7888.8584668857511</v>
      </c>
      <c r="L21" s="48">
        <f t="shared" si="42"/>
        <v>9904.6647349960258</v>
      </c>
      <c r="M21" s="48">
        <f t="shared" si="42"/>
        <v>13014.032097106079</v>
      </c>
      <c r="N21" s="48">
        <f t="shared" si="42"/>
        <v>17508.082704176428</v>
      </c>
      <c r="O21" s="48">
        <f t="shared" si="42"/>
        <v>20162.240453041493</v>
      </c>
      <c r="P21" s="48">
        <f t="shared" si="42"/>
        <v>22913.53101707669</v>
      </c>
      <c r="Q21" s="48">
        <f t="shared" si="42"/>
        <v>25767.522538485995</v>
      </c>
      <c r="R21" s="48">
        <f t="shared" si="42"/>
        <v>28730.047336554635</v>
      </c>
      <c r="S21" s="48">
        <f t="shared" si="42"/>
        <v>31807.215401103836</v>
      </c>
      <c r="T21" s="48">
        <f t="shared" ref="T21:X21" si="43">T17-T20</f>
        <v>35005.428554926075</v>
      </c>
      <c r="U21" s="48">
        <f t="shared" si="43"/>
        <v>38331.39531876408</v>
      </c>
      <c r="V21" s="48">
        <f t="shared" si="43"/>
        <v>41792.146514072148</v>
      </c>
      <c r="W21" s="48">
        <f t="shared" si="43"/>
        <v>45395.051640558217</v>
      </c>
      <c r="X21" s="48">
        <f t="shared" si="43"/>
        <v>49147.836067352968</v>
      </c>
    </row>
    <row r="22" spans="1:252" s="2" customFormat="1" x14ac:dyDescent="0.15">
      <c r="A22" s="3" t="s">
        <v>22</v>
      </c>
      <c r="B22" s="26">
        <v>914</v>
      </c>
      <c r="C22" s="26">
        <v>993</v>
      </c>
      <c r="D22" s="26">
        <v>1671</v>
      </c>
      <c r="E22" s="26">
        <f>SUM('Reports RMB'!B13:E13)</f>
        <v>26235</v>
      </c>
      <c r="F22" s="26">
        <f>SUM('Reports RMB'!F13:I13)</f>
        <v>4460</v>
      </c>
      <c r="G22" s="26">
        <f>SUM('Reports RMB'!J13:M13)</f>
        <v>5593</v>
      </c>
      <c r="H22" s="48">
        <f>SUM('Reports RMB'!N13:Q13)</f>
        <v>11795</v>
      </c>
      <c r="I22" s="26">
        <f>SUM('Reports RMB'!R13:U13)</f>
        <v>-6647</v>
      </c>
      <c r="J22" s="48">
        <f t="shared" ref="J22:X22" si="44">I39*$F$3</f>
        <v>3000.16</v>
      </c>
      <c r="K22" s="48">
        <f t="shared" si="44"/>
        <v>3155.9157400314675</v>
      </c>
      <c r="L22" s="48">
        <f t="shared" si="44"/>
        <v>3332.6321273421427</v>
      </c>
      <c r="M22" s="48">
        <f t="shared" si="44"/>
        <v>3544.4288771395532</v>
      </c>
      <c r="N22" s="48">
        <f t="shared" si="44"/>
        <v>3809.3642527274833</v>
      </c>
      <c r="O22" s="48">
        <f t="shared" si="44"/>
        <v>4150.4434040379465</v>
      </c>
      <c r="P22" s="48">
        <f t="shared" si="44"/>
        <v>4539.4463457512165</v>
      </c>
      <c r="Q22" s="48">
        <f t="shared" si="44"/>
        <v>4978.6939835564635</v>
      </c>
      <c r="R22" s="48">
        <f t="shared" si="44"/>
        <v>5470.6334479091438</v>
      </c>
      <c r="S22" s="48">
        <f t="shared" si="44"/>
        <v>6017.8443404605632</v>
      </c>
      <c r="T22" s="48">
        <f t="shared" si="44"/>
        <v>6623.0452963255939</v>
      </c>
      <c r="U22" s="48">
        <f t="shared" si="44"/>
        <v>7289.1008779456215</v>
      </c>
      <c r="V22" s="48">
        <f t="shared" si="44"/>
        <v>8019.0288170929771</v>
      </c>
      <c r="W22" s="48">
        <f t="shared" si="44"/>
        <v>8816.0076223916185</v>
      </c>
      <c r="X22" s="48">
        <f t="shared" si="44"/>
        <v>9683.3845705988169</v>
      </c>
    </row>
    <row r="23" spans="1:252" s="2" customFormat="1" x14ac:dyDescent="0.15">
      <c r="A23" s="3" t="s">
        <v>23</v>
      </c>
      <c r="B23" s="30">
        <f t="shared" ref="B23:I23" si="45">B21+B22</f>
        <v>11966</v>
      </c>
      <c r="C23" s="30">
        <f t="shared" si="45"/>
        <v>12184</v>
      </c>
      <c r="D23" s="30">
        <f t="shared" si="45"/>
        <v>14475</v>
      </c>
      <c r="E23" s="30">
        <f t="shared" si="45"/>
        <v>37905</v>
      </c>
      <c r="F23" s="30">
        <f t="shared" si="45"/>
        <v>14510</v>
      </c>
      <c r="G23" s="30">
        <f t="shared" si="45"/>
        <v>21283</v>
      </c>
      <c r="H23" s="30">
        <f t="shared" si="45"/>
        <v>27325</v>
      </c>
      <c r="I23" s="30">
        <f t="shared" si="45"/>
        <v>-390</v>
      </c>
      <c r="J23" s="48">
        <f t="shared" ref="J23:S23" si="46">J21+J22</f>
        <v>9734.7337519667017</v>
      </c>
      <c r="K23" s="48">
        <f t="shared" si="46"/>
        <v>11044.774206917218</v>
      </c>
      <c r="L23" s="48">
        <f t="shared" si="46"/>
        <v>13237.296862338168</v>
      </c>
      <c r="M23" s="48">
        <f t="shared" si="46"/>
        <v>16558.46097424563</v>
      </c>
      <c r="N23" s="48">
        <f t="shared" si="46"/>
        <v>21317.44695690391</v>
      </c>
      <c r="O23" s="48">
        <f t="shared" si="46"/>
        <v>24312.683857079439</v>
      </c>
      <c r="P23" s="48">
        <f t="shared" si="46"/>
        <v>27452.977362827907</v>
      </c>
      <c r="Q23" s="48">
        <f t="shared" si="46"/>
        <v>30746.216522042458</v>
      </c>
      <c r="R23" s="48">
        <f t="shared" si="46"/>
        <v>34200.680784463781</v>
      </c>
      <c r="S23" s="48">
        <f t="shared" si="46"/>
        <v>37825.059741564401</v>
      </c>
      <c r="T23" s="48">
        <f t="shared" ref="T23:X23" si="47">T21+T22</f>
        <v>41628.473851251671</v>
      </c>
      <c r="U23" s="48">
        <f t="shared" si="47"/>
        <v>45620.496196709704</v>
      </c>
      <c r="V23" s="48">
        <f t="shared" si="47"/>
        <v>49811.175331165126</v>
      </c>
      <c r="W23" s="48">
        <f t="shared" si="47"/>
        <v>54211.059262949835</v>
      </c>
      <c r="X23" s="48">
        <f t="shared" si="47"/>
        <v>58831.220637951788</v>
      </c>
    </row>
    <row r="24" spans="1:252" s="2" customFormat="1" x14ac:dyDescent="0.15">
      <c r="A24" s="3" t="s">
        <v>24</v>
      </c>
      <c r="B24" s="26">
        <v>1574</v>
      </c>
      <c r="C24" s="26">
        <v>1829</v>
      </c>
      <c r="D24" s="26">
        <v>2231</v>
      </c>
      <c r="E24" s="26">
        <f>SUM('Reports RMB'!B15:E15)</f>
        <v>5475</v>
      </c>
      <c r="F24" s="26">
        <f>SUM('Reports RMB'!F15:I15)</f>
        <v>2914</v>
      </c>
      <c r="G24" s="26">
        <f>SUM('Reports RMB'!J15:M15)</f>
        <v>2995</v>
      </c>
      <c r="H24" s="48">
        <f>SUM('Reports RMB'!N15:Q15)</f>
        <v>4743</v>
      </c>
      <c r="I24" s="26">
        <f>SUM('Reports RMB'!R15:U15)</f>
        <v>1948</v>
      </c>
      <c r="J24" s="48">
        <f>J23*0.2</f>
        <v>1946.9467503933404</v>
      </c>
      <c r="K24" s="48">
        <f t="shared" ref="K24:S24" si="48">K23*0.2</f>
        <v>2208.9548413834436</v>
      </c>
      <c r="L24" s="48">
        <f t="shared" si="48"/>
        <v>2647.4593724676338</v>
      </c>
      <c r="M24" s="48">
        <f t="shared" si="48"/>
        <v>3311.6921948491263</v>
      </c>
      <c r="N24" s="48">
        <f t="shared" si="48"/>
        <v>4263.4893913807819</v>
      </c>
      <c r="O24" s="48">
        <f t="shared" si="48"/>
        <v>4862.5367714158883</v>
      </c>
      <c r="P24" s="48">
        <f t="shared" si="48"/>
        <v>5490.595472565582</v>
      </c>
      <c r="Q24" s="48">
        <f t="shared" si="48"/>
        <v>6149.2433044084919</v>
      </c>
      <c r="R24" s="48">
        <f t="shared" si="48"/>
        <v>6840.1361568927568</v>
      </c>
      <c r="S24" s="48">
        <f t="shared" si="48"/>
        <v>7565.0119483128801</v>
      </c>
      <c r="T24" s="48">
        <f t="shared" ref="T24:X24" si="49">T23*0.2</f>
        <v>8325.6947702503348</v>
      </c>
      <c r="U24" s="48">
        <f t="shared" si="49"/>
        <v>9124.0992393419419</v>
      </c>
      <c r="V24" s="48">
        <f t="shared" si="49"/>
        <v>9962.2350662330264</v>
      </c>
      <c r="W24" s="48">
        <f t="shared" si="49"/>
        <v>10842.211852589968</v>
      </c>
      <c r="X24" s="48">
        <f t="shared" si="49"/>
        <v>11766.244127590358</v>
      </c>
    </row>
    <row r="25" spans="1:252" s="2" customFormat="1" x14ac:dyDescent="0.15">
      <c r="A25" s="2" t="s">
        <v>69</v>
      </c>
      <c r="B25" s="29">
        <f t="shared" ref="B25" si="50">B23-B24</f>
        <v>10392</v>
      </c>
      <c r="C25" s="29">
        <f t="shared" ref="C25" si="51">C23-C24</f>
        <v>10355</v>
      </c>
      <c r="D25" s="29">
        <f t="shared" ref="D25" si="52">D23-D24</f>
        <v>12244</v>
      </c>
      <c r="E25" s="29">
        <f t="shared" ref="E25:J25" si="53">E23-E24</f>
        <v>32430</v>
      </c>
      <c r="F25" s="29">
        <f t="shared" si="53"/>
        <v>11596</v>
      </c>
      <c r="G25" s="29">
        <f t="shared" si="53"/>
        <v>18288</v>
      </c>
      <c r="H25" s="29">
        <f t="shared" si="53"/>
        <v>22582</v>
      </c>
      <c r="I25" s="29">
        <f t="shared" si="53"/>
        <v>-2338</v>
      </c>
      <c r="J25" s="29">
        <f t="shared" si="53"/>
        <v>7787.7870015733615</v>
      </c>
      <c r="K25" s="29">
        <f t="shared" ref="K25:S25" si="54">K23-K24</f>
        <v>8835.8193655337745</v>
      </c>
      <c r="L25" s="29">
        <f t="shared" si="54"/>
        <v>10589.837489870533</v>
      </c>
      <c r="M25" s="29">
        <f t="shared" si="54"/>
        <v>13246.768779396505</v>
      </c>
      <c r="N25" s="29">
        <f t="shared" si="54"/>
        <v>17053.957565523127</v>
      </c>
      <c r="O25" s="29">
        <f t="shared" si="54"/>
        <v>19450.14708566355</v>
      </c>
      <c r="P25" s="29">
        <f t="shared" si="54"/>
        <v>21962.381890262324</v>
      </c>
      <c r="Q25" s="29">
        <f t="shared" si="54"/>
        <v>24596.973217633968</v>
      </c>
      <c r="R25" s="29">
        <f t="shared" si="54"/>
        <v>27360.544627571024</v>
      </c>
      <c r="S25" s="29">
        <f t="shared" si="54"/>
        <v>30260.04779325152</v>
      </c>
      <c r="T25" s="29">
        <f t="shared" ref="T25:X25" si="55">T23-T24</f>
        <v>33302.779081001339</v>
      </c>
      <c r="U25" s="29">
        <f t="shared" si="55"/>
        <v>36496.39695736776</v>
      </c>
      <c r="V25" s="29">
        <f t="shared" si="55"/>
        <v>39848.940264932098</v>
      </c>
      <c r="W25" s="29">
        <f t="shared" si="55"/>
        <v>43368.847410359871</v>
      </c>
      <c r="X25" s="29">
        <f t="shared" si="55"/>
        <v>47064.976510361434</v>
      </c>
      <c r="Y25" s="16">
        <f t="shared" ref="Y25:CJ25" si="56">X25*($F$2+1)</f>
        <v>46594.326745257822</v>
      </c>
      <c r="Z25" s="16">
        <f t="shared" si="56"/>
        <v>46128.383477805241</v>
      </c>
      <c r="AA25" s="16">
        <f t="shared" si="56"/>
        <v>45667.099643027184</v>
      </c>
      <c r="AB25" s="16">
        <f t="shared" si="56"/>
        <v>45210.428646596913</v>
      </c>
      <c r="AC25" s="16">
        <f t="shared" si="56"/>
        <v>44758.324360130944</v>
      </c>
      <c r="AD25" s="16">
        <f t="shared" si="56"/>
        <v>44310.741116529636</v>
      </c>
      <c r="AE25" s="16">
        <f t="shared" si="56"/>
        <v>43867.633705364336</v>
      </c>
      <c r="AF25" s="16">
        <f t="shared" si="56"/>
        <v>43428.957368310694</v>
      </c>
      <c r="AG25" s="16">
        <f t="shared" si="56"/>
        <v>42994.667794627589</v>
      </c>
      <c r="AH25" s="16">
        <f t="shared" si="56"/>
        <v>42564.721116681314</v>
      </c>
      <c r="AI25" s="16">
        <f t="shared" si="56"/>
        <v>42139.073905514502</v>
      </c>
      <c r="AJ25" s="16">
        <f t="shared" si="56"/>
        <v>41717.683166459356</v>
      </c>
      <c r="AK25" s="16">
        <f t="shared" si="56"/>
        <v>41300.506334794758</v>
      </c>
      <c r="AL25" s="16">
        <f t="shared" si="56"/>
        <v>40887.50127144681</v>
      </c>
      <c r="AM25" s="16">
        <f t="shared" si="56"/>
        <v>40478.626258732344</v>
      </c>
      <c r="AN25" s="16">
        <f t="shared" si="56"/>
        <v>40073.83999614502</v>
      </c>
      <c r="AO25" s="16">
        <f t="shared" si="56"/>
        <v>39673.101596183566</v>
      </c>
      <c r="AP25" s="16">
        <f t="shared" si="56"/>
        <v>39276.37058022173</v>
      </c>
      <c r="AQ25" s="16">
        <f t="shared" si="56"/>
        <v>38883.606874419514</v>
      </c>
      <c r="AR25" s="16">
        <f t="shared" si="56"/>
        <v>38494.770805675318</v>
      </c>
      <c r="AS25" s="16">
        <f t="shared" si="56"/>
        <v>38109.823097618566</v>
      </c>
      <c r="AT25" s="16">
        <f t="shared" si="56"/>
        <v>37728.724866642377</v>
      </c>
      <c r="AU25" s="16">
        <f t="shared" si="56"/>
        <v>37351.437617975949</v>
      </c>
      <c r="AV25" s="16">
        <f t="shared" si="56"/>
        <v>36977.92324179619</v>
      </c>
      <c r="AW25" s="16">
        <f t="shared" si="56"/>
        <v>36608.144009378229</v>
      </c>
      <c r="AX25" s="16">
        <f t="shared" si="56"/>
        <v>36242.062569284448</v>
      </c>
      <c r="AY25" s="16">
        <f t="shared" si="56"/>
        <v>35879.641943591603</v>
      </c>
      <c r="AZ25" s="16">
        <f t="shared" si="56"/>
        <v>35520.845524155688</v>
      </c>
      <c r="BA25" s="16">
        <f t="shared" si="56"/>
        <v>35165.637068914133</v>
      </c>
      <c r="BB25" s="16">
        <f t="shared" si="56"/>
        <v>34813.980698224994</v>
      </c>
      <c r="BC25" s="16">
        <f t="shared" si="56"/>
        <v>34465.84089124274</v>
      </c>
      <c r="BD25" s="16">
        <f t="shared" si="56"/>
        <v>34121.18248233031</v>
      </c>
      <c r="BE25" s="16">
        <f t="shared" si="56"/>
        <v>33779.970657507009</v>
      </c>
      <c r="BF25" s="16">
        <f t="shared" si="56"/>
        <v>33442.170950931941</v>
      </c>
      <c r="BG25" s="16">
        <f t="shared" si="56"/>
        <v>33107.749241422622</v>
      </c>
      <c r="BH25" s="16">
        <f t="shared" si="56"/>
        <v>32776.671749008397</v>
      </c>
      <c r="BI25" s="16">
        <f t="shared" si="56"/>
        <v>32448.905031518312</v>
      </c>
      <c r="BJ25" s="16">
        <f t="shared" si="56"/>
        <v>32124.415981203128</v>
      </c>
      <c r="BK25" s="16">
        <f t="shared" si="56"/>
        <v>31803.171821391097</v>
      </c>
      <c r="BL25" s="16">
        <f t="shared" si="56"/>
        <v>31485.140103177186</v>
      </c>
      <c r="BM25" s="16">
        <f t="shared" si="56"/>
        <v>31170.288702145415</v>
      </c>
      <c r="BN25" s="16">
        <f t="shared" si="56"/>
        <v>30858.585815123963</v>
      </c>
      <c r="BO25" s="16">
        <f t="shared" si="56"/>
        <v>30549.999956972722</v>
      </c>
      <c r="BP25" s="16">
        <f t="shared" si="56"/>
        <v>30244.499957402993</v>
      </c>
      <c r="BQ25" s="16">
        <f t="shared" si="56"/>
        <v>29942.054957828965</v>
      </c>
      <c r="BR25" s="16">
        <f t="shared" si="56"/>
        <v>29642.634408250673</v>
      </c>
      <c r="BS25" s="16">
        <f t="shared" si="56"/>
        <v>29346.208064168168</v>
      </c>
      <c r="BT25" s="16">
        <f t="shared" si="56"/>
        <v>29052.745983526485</v>
      </c>
      <c r="BU25" s="16">
        <f t="shared" si="56"/>
        <v>28762.218523691219</v>
      </c>
      <c r="BV25" s="16">
        <f t="shared" si="56"/>
        <v>28474.596338454307</v>
      </c>
      <c r="BW25" s="16">
        <f t="shared" si="56"/>
        <v>28189.850375069764</v>
      </c>
      <c r="BX25" s="16">
        <f t="shared" si="56"/>
        <v>27907.951871319066</v>
      </c>
      <c r="BY25" s="16">
        <f t="shared" si="56"/>
        <v>27628.872352605875</v>
      </c>
      <c r="BZ25" s="16">
        <f t="shared" si="56"/>
        <v>27352.583629079814</v>
      </c>
      <c r="CA25" s="16">
        <f t="shared" si="56"/>
        <v>27079.057792789015</v>
      </c>
      <c r="CB25" s="16">
        <f t="shared" si="56"/>
        <v>26808.267214861124</v>
      </c>
      <c r="CC25" s="16">
        <f t="shared" si="56"/>
        <v>26540.184542712512</v>
      </c>
      <c r="CD25" s="16">
        <f t="shared" si="56"/>
        <v>26274.782697285387</v>
      </c>
      <c r="CE25" s="16">
        <f t="shared" si="56"/>
        <v>26012.034870312535</v>
      </c>
      <c r="CF25" s="16">
        <f t="shared" si="56"/>
        <v>25751.914521609408</v>
      </c>
      <c r="CG25" s="16">
        <f t="shared" si="56"/>
        <v>25494.395376393313</v>
      </c>
      <c r="CH25" s="16">
        <f t="shared" si="56"/>
        <v>25239.45142262938</v>
      </c>
      <c r="CI25" s="16">
        <f t="shared" si="56"/>
        <v>24987.056908403087</v>
      </c>
      <c r="CJ25" s="16">
        <f t="shared" si="56"/>
        <v>24737.186339319054</v>
      </c>
      <c r="CK25" s="16">
        <f t="shared" ref="CK25:EV25" si="57">CJ25*($F$2+1)</f>
        <v>24489.814475925865</v>
      </c>
      <c r="CL25" s="16">
        <f t="shared" si="57"/>
        <v>24244.916331166605</v>
      </c>
      <c r="CM25" s="16">
        <f t="shared" si="57"/>
        <v>24002.467167854938</v>
      </c>
      <c r="CN25" s="16">
        <f t="shared" si="57"/>
        <v>23762.442496176387</v>
      </c>
      <c r="CO25" s="16">
        <f t="shared" si="57"/>
        <v>23524.818071214624</v>
      </c>
      <c r="CP25" s="16">
        <f t="shared" si="57"/>
        <v>23289.569890502476</v>
      </c>
      <c r="CQ25" s="16">
        <f t="shared" si="57"/>
        <v>23056.674191597453</v>
      </c>
      <c r="CR25" s="16">
        <f t="shared" si="57"/>
        <v>22826.107449681476</v>
      </c>
      <c r="CS25" s="16">
        <f t="shared" si="57"/>
        <v>22597.846375184661</v>
      </c>
      <c r="CT25" s="16">
        <f t="shared" si="57"/>
        <v>22371.867911432815</v>
      </c>
      <c r="CU25" s="16">
        <f t="shared" si="57"/>
        <v>22148.149232318487</v>
      </c>
      <c r="CV25" s="16">
        <f t="shared" si="57"/>
        <v>21926.667739995301</v>
      </c>
      <c r="CW25" s="16">
        <f t="shared" si="57"/>
        <v>21707.401062595349</v>
      </c>
      <c r="CX25" s="16">
        <f t="shared" si="57"/>
        <v>21490.327051969394</v>
      </c>
      <c r="CY25" s="16">
        <f t="shared" si="57"/>
        <v>21275.423781449699</v>
      </c>
      <c r="CZ25" s="16">
        <f t="shared" si="57"/>
        <v>21062.669543635202</v>
      </c>
      <c r="DA25" s="16">
        <f t="shared" si="57"/>
        <v>20852.042848198849</v>
      </c>
      <c r="DB25" s="16">
        <f t="shared" si="57"/>
        <v>20643.522419716861</v>
      </c>
      <c r="DC25" s="16">
        <f t="shared" si="57"/>
        <v>20437.087195519693</v>
      </c>
      <c r="DD25" s="16">
        <f t="shared" si="57"/>
        <v>20232.716323564495</v>
      </c>
      <c r="DE25" s="16">
        <f t="shared" si="57"/>
        <v>20030.38916032885</v>
      </c>
      <c r="DF25" s="16">
        <f t="shared" si="57"/>
        <v>19830.085268725561</v>
      </c>
      <c r="DG25" s="16">
        <f t="shared" si="57"/>
        <v>19631.784416038307</v>
      </c>
      <c r="DH25" s="16">
        <f t="shared" si="57"/>
        <v>19435.466571877922</v>
      </c>
      <c r="DI25" s="16">
        <f t="shared" si="57"/>
        <v>19241.111906159142</v>
      </c>
      <c r="DJ25" s="16">
        <f t="shared" si="57"/>
        <v>19048.70078709755</v>
      </c>
      <c r="DK25" s="16">
        <f t="shared" si="57"/>
        <v>18858.213779226575</v>
      </c>
      <c r="DL25" s="16">
        <f t="shared" si="57"/>
        <v>18669.631641434309</v>
      </c>
      <c r="DM25" s="16">
        <f t="shared" si="57"/>
        <v>18482.935325019967</v>
      </c>
      <c r="DN25" s="16">
        <f t="shared" si="57"/>
        <v>18298.105971769768</v>
      </c>
      <c r="DO25" s="16">
        <f t="shared" si="57"/>
        <v>18115.12491205207</v>
      </c>
      <c r="DP25" s="16">
        <f t="shared" si="57"/>
        <v>17933.973662931548</v>
      </c>
      <c r="DQ25" s="16">
        <f t="shared" si="57"/>
        <v>17754.633926302235</v>
      </c>
      <c r="DR25" s="16">
        <f t="shared" si="57"/>
        <v>17577.087587039212</v>
      </c>
      <c r="DS25" s="16">
        <f t="shared" si="57"/>
        <v>17401.31671116882</v>
      </c>
      <c r="DT25" s="16">
        <f t="shared" si="57"/>
        <v>17227.303544057133</v>
      </c>
      <c r="DU25" s="16">
        <f t="shared" si="57"/>
        <v>17055.030508616561</v>
      </c>
      <c r="DV25" s="16">
        <f t="shared" si="57"/>
        <v>16884.480203530395</v>
      </c>
      <c r="DW25" s="16">
        <f t="shared" si="57"/>
        <v>16715.635401495092</v>
      </c>
      <c r="DX25" s="16">
        <f t="shared" si="57"/>
        <v>16548.479047480141</v>
      </c>
      <c r="DY25" s="16">
        <f t="shared" si="57"/>
        <v>16382.994257005339</v>
      </c>
      <c r="DZ25" s="16">
        <f t="shared" si="57"/>
        <v>16219.164314435286</v>
      </c>
      <c r="EA25" s="16">
        <f t="shared" si="57"/>
        <v>16056.972671290932</v>
      </c>
      <c r="EB25" s="16">
        <f t="shared" si="57"/>
        <v>15896.402944578023</v>
      </c>
      <c r="EC25" s="16">
        <f t="shared" si="57"/>
        <v>15737.438915132243</v>
      </c>
      <c r="ED25" s="16">
        <f t="shared" si="57"/>
        <v>15580.064525980921</v>
      </c>
      <c r="EE25" s="16">
        <f t="shared" si="57"/>
        <v>15424.263880721111</v>
      </c>
      <c r="EF25" s="16">
        <f t="shared" si="57"/>
        <v>15270.021241913901</v>
      </c>
      <c r="EG25" s="16">
        <f t="shared" si="57"/>
        <v>15117.321029494762</v>
      </c>
      <c r="EH25" s="16">
        <f t="shared" si="57"/>
        <v>14966.147819199814</v>
      </c>
      <c r="EI25" s="16">
        <f t="shared" si="57"/>
        <v>14816.486341007816</v>
      </c>
      <c r="EJ25" s="16">
        <f t="shared" si="57"/>
        <v>14668.321477597738</v>
      </c>
      <c r="EK25" s="16">
        <f t="shared" si="57"/>
        <v>14521.63826282176</v>
      </c>
      <c r="EL25" s="16">
        <f t="shared" si="57"/>
        <v>14376.421880193542</v>
      </c>
      <c r="EM25" s="16">
        <f t="shared" si="57"/>
        <v>14232.657661391606</v>
      </c>
      <c r="EN25" s="16">
        <f t="shared" si="57"/>
        <v>14090.33108477769</v>
      </c>
      <c r="EO25" s="16">
        <f t="shared" si="57"/>
        <v>13949.427773929912</v>
      </c>
      <c r="EP25" s="16">
        <f t="shared" si="57"/>
        <v>13809.933496190613</v>
      </c>
      <c r="EQ25" s="16">
        <f t="shared" si="57"/>
        <v>13671.834161228708</v>
      </c>
      <c r="ER25" s="16">
        <f t="shared" si="57"/>
        <v>13535.11581961642</v>
      </c>
      <c r="ES25" s="16">
        <f t="shared" si="57"/>
        <v>13399.764661420255</v>
      </c>
      <c r="ET25" s="16">
        <f t="shared" si="57"/>
        <v>13265.767014806052</v>
      </c>
      <c r="EU25" s="16">
        <f t="shared" si="57"/>
        <v>13133.109344657991</v>
      </c>
      <c r="EV25" s="16">
        <f t="shared" si="57"/>
        <v>13001.77825121141</v>
      </c>
      <c r="EW25" s="16">
        <f t="shared" ref="EW25:HH25" si="58">EV25*($F$2+1)</f>
        <v>12871.760468699296</v>
      </c>
      <c r="EX25" s="16">
        <f t="shared" si="58"/>
        <v>12743.042864012303</v>
      </c>
      <c r="EY25" s="16">
        <f t="shared" si="58"/>
        <v>12615.612435372179</v>
      </c>
      <c r="EZ25" s="16">
        <f t="shared" si="58"/>
        <v>12489.456311018457</v>
      </c>
      <c r="FA25" s="16">
        <f t="shared" si="58"/>
        <v>12364.561747908272</v>
      </c>
      <c r="FB25" s="16">
        <f t="shared" si="58"/>
        <v>12240.916130429188</v>
      </c>
      <c r="FC25" s="16">
        <f t="shared" si="58"/>
        <v>12118.506969124895</v>
      </c>
      <c r="FD25" s="16">
        <f t="shared" si="58"/>
        <v>11997.321899433646</v>
      </c>
      <c r="FE25" s="16">
        <f t="shared" si="58"/>
        <v>11877.348680439309</v>
      </c>
      <c r="FF25" s="16">
        <f t="shared" si="58"/>
        <v>11758.575193634915</v>
      </c>
      <c r="FG25" s="16">
        <f t="shared" si="58"/>
        <v>11640.989441698566</v>
      </c>
      <c r="FH25" s="16">
        <f t="shared" si="58"/>
        <v>11524.579547281581</v>
      </c>
      <c r="FI25" s="16">
        <f t="shared" si="58"/>
        <v>11409.333751808765</v>
      </c>
      <c r="FJ25" s="16">
        <f t="shared" si="58"/>
        <v>11295.240414290676</v>
      </c>
      <c r="FK25" s="16">
        <f t="shared" si="58"/>
        <v>11182.288010147769</v>
      </c>
      <c r="FL25" s="16">
        <f t="shared" si="58"/>
        <v>11070.465130046292</v>
      </c>
      <c r="FM25" s="16">
        <f t="shared" si="58"/>
        <v>10959.760478745829</v>
      </c>
      <c r="FN25" s="16">
        <f t="shared" si="58"/>
        <v>10850.16287395837</v>
      </c>
      <c r="FO25" s="16">
        <f t="shared" si="58"/>
        <v>10741.661245218786</v>
      </c>
      <c r="FP25" s="16">
        <f t="shared" si="58"/>
        <v>10634.244632766598</v>
      </c>
      <c r="FQ25" s="16">
        <f t="shared" si="58"/>
        <v>10527.902186438932</v>
      </c>
      <c r="FR25" s="16">
        <f t="shared" si="58"/>
        <v>10422.623164574543</v>
      </c>
      <c r="FS25" s="16">
        <f t="shared" si="58"/>
        <v>10318.396932928797</v>
      </c>
      <c r="FT25" s="16">
        <f t="shared" si="58"/>
        <v>10215.21296359951</v>
      </c>
      <c r="FU25" s="16">
        <f t="shared" si="58"/>
        <v>10113.060833963515</v>
      </c>
      <c r="FV25" s="16">
        <f t="shared" si="58"/>
        <v>10011.930225623879</v>
      </c>
      <c r="FW25" s="16">
        <f t="shared" si="58"/>
        <v>9911.8109233676405</v>
      </c>
      <c r="FX25" s="16">
        <f t="shared" si="58"/>
        <v>9812.6928141339631</v>
      </c>
      <c r="FY25" s="16">
        <f t="shared" si="58"/>
        <v>9714.5658859926225</v>
      </c>
      <c r="FZ25" s="16">
        <f t="shared" si="58"/>
        <v>9617.4202271326958</v>
      </c>
      <c r="GA25" s="16">
        <f t="shared" si="58"/>
        <v>9521.2460248613679</v>
      </c>
      <c r="GB25" s="16">
        <f t="shared" si="58"/>
        <v>9426.0335646127533</v>
      </c>
      <c r="GC25" s="16">
        <f t="shared" si="58"/>
        <v>9331.7732289666255</v>
      </c>
      <c r="GD25" s="16">
        <f t="shared" si="58"/>
        <v>9238.4554966769592</v>
      </c>
      <c r="GE25" s="16">
        <f t="shared" si="58"/>
        <v>9146.0709417101898</v>
      </c>
      <c r="GF25" s="16">
        <f t="shared" si="58"/>
        <v>9054.6102322930874</v>
      </c>
      <c r="GG25" s="16">
        <f t="shared" si="58"/>
        <v>8964.0641299701565</v>
      </c>
      <c r="GH25" s="16">
        <f t="shared" si="58"/>
        <v>8874.4234886704544</v>
      </c>
      <c r="GI25" s="16">
        <f t="shared" si="58"/>
        <v>8785.67925378375</v>
      </c>
      <c r="GJ25" s="16">
        <f t="shared" si="58"/>
        <v>8697.8224612459126</v>
      </c>
      <c r="GK25" s="16">
        <f t="shared" si="58"/>
        <v>8610.844236633453</v>
      </c>
      <c r="GL25" s="16">
        <f t="shared" si="58"/>
        <v>8524.7357942671188</v>
      </c>
      <c r="GM25" s="16">
        <f t="shared" si="58"/>
        <v>8439.4884363244473</v>
      </c>
      <c r="GN25" s="16">
        <f t="shared" si="58"/>
        <v>8355.093551961203</v>
      </c>
      <c r="GO25" s="16">
        <f t="shared" si="58"/>
        <v>8271.5426164415912</v>
      </c>
      <c r="GP25" s="16">
        <f t="shared" si="58"/>
        <v>8188.8271902771749</v>
      </c>
      <c r="GQ25" s="16">
        <f t="shared" si="58"/>
        <v>8106.9389183744033</v>
      </c>
      <c r="GR25" s="16">
        <f t="shared" si="58"/>
        <v>8025.8695291906588</v>
      </c>
      <c r="GS25" s="16">
        <f t="shared" si="58"/>
        <v>7945.6108338987524</v>
      </c>
      <c r="GT25" s="16">
        <f t="shared" si="58"/>
        <v>7866.1547255597652</v>
      </c>
      <c r="GU25" s="16">
        <f t="shared" si="58"/>
        <v>7787.4931783041675</v>
      </c>
      <c r="GV25" s="16">
        <f t="shared" si="58"/>
        <v>7709.6182465211259</v>
      </c>
      <c r="GW25" s="16">
        <f t="shared" si="58"/>
        <v>7632.5220640559146</v>
      </c>
      <c r="GX25" s="16">
        <f t="shared" si="58"/>
        <v>7556.196843415355</v>
      </c>
      <c r="GY25" s="16">
        <f t="shared" si="58"/>
        <v>7480.6348749812014</v>
      </c>
      <c r="GZ25" s="16">
        <f t="shared" si="58"/>
        <v>7405.8285262313893</v>
      </c>
      <c r="HA25" s="16">
        <f t="shared" si="58"/>
        <v>7331.7702409690755</v>
      </c>
      <c r="HB25" s="16">
        <f t="shared" si="58"/>
        <v>7258.4525385593843</v>
      </c>
      <c r="HC25" s="16">
        <f t="shared" si="58"/>
        <v>7185.8680131737901</v>
      </c>
      <c r="HD25" s="16">
        <f t="shared" si="58"/>
        <v>7114.0093330420523</v>
      </c>
      <c r="HE25" s="16">
        <f t="shared" si="58"/>
        <v>7042.869239711632</v>
      </c>
      <c r="HF25" s="16">
        <f t="shared" si="58"/>
        <v>6972.4405473145152</v>
      </c>
      <c r="HG25" s="16">
        <f t="shared" si="58"/>
        <v>6902.7161418413698</v>
      </c>
      <c r="HH25" s="16">
        <f t="shared" si="58"/>
        <v>6833.6889804229559</v>
      </c>
      <c r="HI25" s="16">
        <f t="shared" ref="HI25:IR25" si="59">HH25*($F$2+1)</f>
        <v>6765.3520906187259</v>
      </c>
      <c r="HJ25" s="16">
        <f t="shared" si="59"/>
        <v>6697.6985697125383</v>
      </c>
      <c r="HK25" s="16">
        <f t="shared" si="59"/>
        <v>6630.7215840154131</v>
      </c>
      <c r="HL25" s="16">
        <f t="shared" si="59"/>
        <v>6564.4143681752585</v>
      </c>
      <c r="HM25" s="16">
        <f t="shared" si="59"/>
        <v>6498.7702244935062</v>
      </c>
      <c r="HN25" s="16">
        <f t="shared" si="59"/>
        <v>6433.7825222485708</v>
      </c>
      <c r="HO25" s="16">
        <f t="shared" si="59"/>
        <v>6369.4446970260851</v>
      </c>
      <c r="HP25" s="16">
        <f t="shared" si="59"/>
        <v>6305.7502500558239</v>
      </c>
      <c r="HQ25" s="16">
        <f t="shared" si="59"/>
        <v>6242.6927475552657</v>
      </c>
      <c r="HR25" s="16">
        <f t="shared" si="59"/>
        <v>6180.2658200797132</v>
      </c>
      <c r="HS25" s="16">
        <f t="shared" si="59"/>
        <v>6118.4631618789163</v>
      </c>
      <c r="HT25" s="16">
        <f t="shared" si="59"/>
        <v>6057.2785302601269</v>
      </c>
      <c r="HU25" s="16">
        <f t="shared" si="59"/>
        <v>5996.7057449575259</v>
      </c>
      <c r="HV25" s="16">
        <f t="shared" si="59"/>
        <v>5936.738687507951</v>
      </c>
      <c r="HW25" s="16">
        <f t="shared" si="59"/>
        <v>5877.3713006328717</v>
      </c>
      <c r="HX25" s="16">
        <f t="shared" si="59"/>
        <v>5818.5975876265429</v>
      </c>
      <c r="HY25" s="16">
        <f t="shared" si="59"/>
        <v>5760.4116117502772</v>
      </c>
      <c r="HZ25" s="16">
        <f t="shared" si="59"/>
        <v>5702.8074956327746</v>
      </c>
      <c r="IA25" s="16">
        <f t="shared" si="59"/>
        <v>5645.7794206764465</v>
      </c>
      <c r="IB25" s="16">
        <f t="shared" si="59"/>
        <v>5589.3216264696821</v>
      </c>
      <c r="IC25" s="16">
        <f t="shared" si="59"/>
        <v>5533.4284102049851</v>
      </c>
      <c r="ID25" s="16">
        <f t="shared" si="59"/>
        <v>5478.0941261029348</v>
      </c>
      <c r="IE25" s="16">
        <f t="shared" si="59"/>
        <v>5423.3131848419052</v>
      </c>
      <c r="IF25" s="16">
        <f t="shared" si="59"/>
        <v>5369.0800529934859</v>
      </c>
      <c r="IG25" s="16">
        <f t="shared" si="59"/>
        <v>5315.3892524635512</v>
      </c>
      <c r="IH25" s="16">
        <f t="shared" si="59"/>
        <v>5262.2353599389153</v>
      </c>
      <c r="II25" s="16">
        <f t="shared" si="59"/>
        <v>5209.6130063395258</v>
      </c>
      <c r="IJ25" s="16">
        <f t="shared" si="59"/>
        <v>5157.5168762761305</v>
      </c>
      <c r="IK25" s="16">
        <f t="shared" si="59"/>
        <v>5105.9417075133688</v>
      </c>
      <c r="IL25" s="16">
        <f t="shared" si="59"/>
        <v>5054.882290438235</v>
      </c>
      <c r="IM25" s="16">
        <f t="shared" si="59"/>
        <v>5004.3334675338529</v>
      </c>
      <c r="IN25" s="16">
        <f t="shared" si="59"/>
        <v>4954.290132858514</v>
      </c>
      <c r="IO25" s="16">
        <f t="shared" si="59"/>
        <v>4904.7472315299292</v>
      </c>
      <c r="IP25" s="16">
        <f t="shared" si="59"/>
        <v>4855.6997592146299</v>
      </c>
      <c r="IQ25" s="16">
        <f t="shared" si="59"/>
        <v>4807.1427616224837</v>
      </c>
      <c r="IR25" s="16">
        <f t="shared" si="59"/>
        <v>4759.0713340062584</v>
      </c>
    </row>
    <row r="26" spans="1:252" s="2" customFormat="1" x14ac:dyDescent="0.15">
      <c r="A26" s="3" t="s">
        <v>25</v>
      </c>
      <c r="B26" s="36">
        <f t="shared" ref="B26:I26" si="60">B25/B27</f>
        <v>297.08864279461841</v>
      </c>
      <c r="C26" s="36">
        <f t="shared" si="60"/>
        <v>295.5502266132433</v>
      </c>
      <c r="D26" s="36">
        <f t="shared" si="60"/>
        <v>347.85598943863306</v>
      </c>
      <c r="E26" s="36">
        <f t="shared" si="60"/>
        <v>935.12992466797482</v>
      </c>
      <c r="F26" s="36">
        <f t="shared" si="60"/>
        <v>333.06478859792503</v>
      </c>
      <c r="G26" s="36">
        <f t="shared" si="60"/>
        <v>520.67106551341976</v>
      </c>
      <c r="H26" s="36">
        <f t="shared" si="60"/>
        <v>644.38369473550904</v>
      </c>
      <c r="I26" s="36">
        <f t="shared" si="60"/>
        <v>-67.544924019183</v>
      </c>
      <c r="J26" s="51">
        <f t="shared" ref="J26:S26" si="61">J25/J27</f>
        <v>224.98951295930439</v>
      </c>
      <c r="K26" s="51">
        <f t="shared" si="61"/>
        <v>255.26721458178122</v>
      </c>
      <c r="L26" s="51">
        <f t="shared" si="61"/>
        <v>305.94087623130912</v>
      </c>
      <c r="M26" s="51">
        <f t="shared" si="61"/>
        <v>382.69973939436375</v>
      </c>
      <c r="N26" s="51">
        <f t="shared" si="61"/>
        <v>492.68959280993613</v>
      </c>
      <c r="O26" s="51">
        <f t="shared" si="61"/>
        <v>561.91561465486654</v>
      </c>
      <c r="P26" s="51">
        <f t="shared" si="61"/>
        <v>634.49418993073107</v>
      </c>
      <c r="Q26" s="51">
        <f t="shared" si="61"/>
        <v>710.60765059322728</v>
      </c>
      <c r="R26" s="51">
        <f t="shared" si="61"/>
        <v>790.44735157944842</v>
      </c>
      <c r="S26" s="51">
        <f t="shared" si="61"/>
        <v>874.21412703679209</v>
      </c>
      <c r="T26" s="51">
        <f t="shared" ref="T26:X26" si="62">T25/T27</f>
        <v>962.11876931303357</v>
      </c>
      <c r="U26" s="51">
        <f t="shared" si="62"/>
        <v>1054.3825318474537</v>
      </c>
      <c r="V26" s="51">
        <f t="shared" si="62"/>
        <v>1151.2376571598804</v>
      </c>
      <c r="W26" s="51">
        <f t="shared" si="62"/>
        <v>1252.9279311943108</v>
      </c>
      <c r="X26" s="51">
        <f t="shared" si="62"/>
        <v>1359.7092653366105</v>
      </c>
    </row>
    <row r="27" spans="1:252" s="2" customFormat="1" x14ac:dyDescent="0.15">
      <c r="A27" s="3" t="s">
        <v>2</v>
      </c>
      <c r="B27" s="26">
        <v>34.979458999999999</v>
      </c>
      <c r="C27" s="26">
        <v>35.036346000000002</v>
      </c>
      <c r="D27" s="26">
        <v>35.198473999999997</v>
      </c>
      <c r="E27" s="26">
        <f>'Reports RMB'!E18</f>
        <v>34.679673000000001</v>
      </c>
      <c r="F27" s="26">
        <f>'Reports RMB'!I18</f>
        <v>34.816049</v>
      </c>
      <c r="G27" s="26">
        <f>'Reports RMB'!M18</f>
        <v>35.123902999999999</v>
      </c>
      <c r="H27" s="48">
        <f>'Reports RMB'!Q18</f>
        <v>35.044338000000003</v>
      </c>
      <c r="I27" s="48">
        <f>'Reports RMB'!U18</f>
        <v>34.613999999999997</v>
      </c>
      <c r="J27" s="48">
        <f t="shared" ref="J27:S27" si="63">I27</f>
        <v>34.613999999999997</v>
      </c>
      <c r="K27" s="48">
        <f t="shared" si="63"/>
        <v>34.613999999999997</v>
      </c>
      <c r="L27" s="48">
        <f t="shared" si="63"/>
        <v>34.613999999999997</v>
      </c>
      <c r="M27" s="48">
        <f t="shared" si="63"/>
        <v>34.613999999999997</v>
      </c>
      <c r="N27" s="48">
        <f t="shared" si="63"/>
        <v>34.613999999999997</v>
      </c>
      <c r="O27" s="48">
        <f t="shared" si="63"/>
        <v>34.613999999999997</v>
      </c>
      <c r="P27" s="48">
        <f t="shared" si="63"/>
        <v>34.613999999999997</v>
      </c>
      <c r="Q27" s="48">
        <f t="shared" si="63"/>
        <v>34.613999999999997</v>
      </c>
      <c r="R27" s="48">
        <f t="shared" si="63"/>
        <v>34.613999999999997</v>
      </c>
      <c r="S27" s="48">
        <f t="shared" si="63"/>
        <v>34.613999999999997</v>
      </c>
      <c r="T27" s="48">
        <f t="shared" ref="T27" si="64">S27</f>
        <v>34.613999999999997</v>
      </c>
      <c r="U27" s="48">
        <f t="shared" ref="U27" si="65">T27</f>
        <v>34.613999999999997</v>
      </c>
      <c r="V27" s="48">
        <f t="shared" ref="V27" si="66">U27</f>
        <v>34.613999999999997</v>
      </c>
      <c r="W27" s="48">
        <f t="shared" ref="W27" si="67">V27</f>
        <v>34.613999999999997</v>
      </c>
      <c r="X27" s="48">
        <f t="shared" ref="X27" si="68">W27</f>
        <v>34.613999999999997</v>
      </c>
    </row>
    <row r="28" spans="1:252" s="2" customFormat="1" x14ac:dyDescent="0.15">
      <c r="A28" s="3" t="s">
        <v>80</v>
      </c>
      <c r="B28" s="26">
        <f t="shared" ref="B28:I28" si="69">B27*10</f>
        <v>349.79458999999997</v>
      </c>
      <c r="C28" s="26">
        <f t="shared" si="69"/>
        <v>350.36346000000003</v>
      </c>
      <c r="D28" s="26">
        <f t="shared" si="69"/>
        <v>351.98473999999999</v>
      </c>
      <c r="E28" s="26">
        <f t="shared" si="69"/>
        <v>346.79673000000003</v>
      </c>
      <c r="F28" s="26">
        <f t="shared" si="69"/>
        <v>348.16048999999998</v>
      </c>
      <c r="G28" s="26">
        <f t="shared" si="69"/>
        <v>351.23902999999996</v>
      </c>
      <c r="H28" s="26">
        <f t="shared" si="69"/>
        <v>350.44338000000005</v>
      </c>
      <c r="I28" s="26">
        <f t="shared" si="69"/>
        <v>346.14</v>
      </c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</row>
    <row r="29" spans="1:252" s="43" customFormat="1" x14ac:dyDescent="0.15">
      <c r="A29" s="6"/>
      <c r="B29" s="44"/>
      <c r="C29" s="44"/>
      <c r="D29" s="44"/>
      <c r="E29" s="44"/>
      <c r="F29" s="44"/>
      <c r="G29" s="44"/>
      <c r="H29" s="44"/>
      <c r="I29" s="44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</row>
    <row r="30" spans="1:252" s="2" customFormat="1" x14ac:dyDescent="0.15">
      <c r="A30" s="2" t="s">
        <v>14</v>
      </c>
      <c r="B30" s="34"/>
      <c r="C30" s="53">
        <f t="shared" ref="C30:J30" si="70">C15/B15-1</f>
        <v>0.43201685569552151</v>
      </c>
      <c r="D30" s="53">
        <f t="shared" si="70"/>
        <v>0.53556223390934132</v>
      </c>
      <c r="E30" s="53">
        <f t="shared" si="70"/>
        <v>0.35327815379597172</v>
      </c>
      <c r="F30" s="53">
        <f t="shared" si="70"/>
        <v>6.2819180187101642E-2</v>
      </c>
      <c r="G30" s="53">
        <f t="shared" si="70"/>
        <v>0.20210911255687369</v>
      </c>
      <c r="H30" s="53">
        <f t="shared" si="70"/>
        <v>0.20595448649923354</v>
      </c>
      <c r="I30" s="53">
        <f t="shared" si="70"/>
        <v>5.0216568730017563E-2</v>
      </c>
      <c r="J30" s="53">
        <f t="shared" si="70"/>
        <v>5.3700576280338419E-2</v>
      </c>
      <c r="K30" s="53">
        <f t="shared" ref="K30:S30" si="71">K15/J15-1</f>
        <v>6.7430644363539738E-2</v>
      </c>
      <c r="L30" s="53">
        <f t="shared" si="71"/>
        <v>8.2384455637947607E-2</v>
      </c>
      <c r="M30" s="53">
        <f t="shared" si="71"/>
        <v>9.823947478255679E-2</v>
      </c>
      <c r="N30" s="53">
        <f t="shared" si="71"/>
        <v>0.11457842926968098</v>
      </c>
      <c r="O30" s="53">
        <f t="shared" si="71"/>
        <v>5.0000000000000044E-2</v>
      </c>
      <c r="P30" s="53">
        <f t="shared" si="71"/>
        <v>5.0000000000000044E-2</v>
      </c>
      <c r="Q30" s="53">
        <f t="shared" si="71"/>
        <v>5.0000000000000044E-2</v>
      </c>
      <c r="R30" s="53">
        <f t="shared" si="71"/>
        <v>5.0000000000000044E-2</v>
      </c>
      <c r="S30" s="53">
        <f t="shared" si="71"/>
        <v>5.0000000000000044E-2</v>
      </c>
      <c r="T30" s="53">
        <f t="shared" ref="T30" si="72">T15/S15-1</f>
        <v>5.0000000000000044E-2</v>
      </c>
      <c r="U30" s="53">
        <f t="shared" ref="U30" si="73">U15/T15-1</f>
        <v>5.0000000000000044E-2</v>
      </c>
      <c r="V30" s="53">
        <f t="shared" ref="V30" si="74">V15/U15-1</f>
        <v>5.0000000000000044E-2</v>
      </c>
      <c r="W30" s="53">
        <f t="shared" ref="W30" si="75">W15/V15-1</f>
        <v>5.0000000000000044E-2</v>
      </c>
      <c r="X30" s="53">
        <f t="shared" ref="X30" si="76">X15/W15-1</f>
        <v>5.0000000000000044E-2</v>
      </c>
    </row>
    <row r="31" spans="1:252" x14ac:dyDescent="0.15">
      <c r="A31" s="3" t="s">
        <v>26</v>
      </c>
      <c r="B31" s="22"/>
      <c r="C31" s="54">
        <f t="shared" ref="C31:H32" si="77">C18/B18-1</f>
        <v>0.64214314274290274</v>
      </c>
      <c r="D31" s="54">
        <f t="shared" si="77"/>
        <v>0.69978086194302414</v>
      </c>
      <c r="E31" s="54">
        <f t="shared" si="77"/>
        <v>0.45767082079931232</v>
      </c>
      <c r="F31" s="54">
        <f t="shared" si="77"/>
        <v>-2.3584905660377631E-3</v>
      </c>
      <c r="G31" s="54">
        <f t="shared" si="77"/>
        <v>0.27354215918045699</v>
      </c>
      <c r="H31" s="54">
        <f t="shared" si="77"/>
        <v>0.21989326320674452</v>
      </c>
      <c r="I31" s="54">
        <f t="shared" ref="I31:S31" si="78">I18/H18-1</f>
        <v>0.16320060867359887</v>
      </c>
      <c r="J31" s="54">
        <f t="shared" si="78"/>
        <v>5.0000000000000044E-2</v>
      </c>
      <c r="K31" s="54">
        <f t="shared" si="78"/>
        <v>5.0000000000000044E-2</v>
      </c>
      <c r="L31" s="54">
        <f t="shared" si="78"/>
        <v>5.0000000000000044E-2</v>
      </c>
      <c r="M31" s="54">
        <f t="shared" si="78"/>
        <v>5.0000000000000044E-2</v>
      </c>
      <c r="N31" s="54">
        <f t="shared" si="78"/>
        <v>5.0000000000000044E-2</v>
      </c>
      <c r="O31" s="54">
        <f t="shared" si="78"/>
        <v>5.0000000000000044E-2</v>
      </c>
      <c r="P31" s="54">
        <f t="shared" si="78"/>
        <v>5.0000000000000044E-2</v>
      </c>
      <c r="Q31" s="54">
        <f t="shared" si="78"/>
        <v>5.0000000000000044E-2</v>
      </c>
      <c r="R31" s="54">
        <f t="shared" si="78"/>
        <v>5.0000000000000044E-2</v>
      </c>
      <c r="S31" s="54">
        <f t="shared" si="78"/>
        <v>5.0000000000000044E-2</v>
      </c>
      <c r="T31" s="54">
        <f t="shared" ref="T31:X33" si="79">T18/S18-1</f>
        <v>5.0000000000000044E-2</v>
      </c>
      <c r="U31" s="54">
        <f t="shared" si="79"/>
        <v>5.0000000000000044E-2</v>
      </c>
      <c r="V31" s="54">
        <f t="shared" si="79"/>
        <v>5.0000000000000044E-2</v>
      </c>
      <c r="W31" s="54">
        <f t="shared" si="79"/>
        <v>5.0000000000000044E-2</v>
      </c>
      <c r="X31" s="54">
        <f t="shared" si="79"/>
        <v>5.0000000000000044E-2</v>
      </c>
    </row>
    <row r="32" spans="1:252" x14ac:dyDescent="0.15">
      <c r="A32" s="3" t="s">
        <v>42</v>
      </c>
      <c r="B32" s="22"/>
      <c r="C32" s="54">
        <f t="shared" si="77"/>
        <v>1.2446854663774403</v>
      </c>
      <c r="D32" s="54">
        <f t="shared" si="77"/>
        <v>1.0065713181291072</v>
      </c>
      <c r="E32" s="54">
        <f t="shared" si="77"/>
        <v>0.64486611442881903</v>
      </c>
      <c r="F32" s="54">
        <f t="shared" si="77"/>
        <v>-0.11752649762838907</v>
      </c>
      <c r="G32" s="54">
        <f t="shared" si="77"/>
        <v>-0.12879893828798938</v>
      </c>
      <c r="H32" s="54">
        <f t="shared" si="77"/>
        <v>0.46477264071901891</v>
      </c>
      <c r="I32" s="54">
        <f t="shared" ref="I32:S32" si="80">I19/H19-1</f>
        <v>3.530757630908421E-2</v>
      </c>
      <c r="J32" s="54">
        <f t="shared" si="80"/>
        <v>5.0000000000000044E-2</v>
      </c>
      <c r="K32" s="54">
        <f t="shared" si="80"/>
        <v>5.0000000000000044E-2</v>
      </c>
      <c r="L32" s="54">
        <f t="shared" si="80"/>
        <v>5.0000000000000044E-2</v>
      </c>
      <c r="M32" s="54">
        <f t="shared" si="80"/>
        <v>5.0000000000000044E-2</v>
      </c>
      <c r="N32" s="54">
        <f t="shared" si="80"/>
        <v>5.0000000000000044E-2</v>
      </c>
      <c r="O32" s="54">
        <f t="shared" si="80"/>
        <v>-2.0000000000000018E-2</v>
      </c>
      <c r="P32" s="54">
        <f t="shared" si="80"/>
        <v>-2.0000000000000018E-2</v>
      </c>
      <c r="Q32" s="54">
        <f t="shared" si="80"/>
        <v>-2.0000000000000018E-2</v>
      </c>
      <c r="R32" s="54">
        <f t="shared" si="80"/>
        <v>-2.0000000000000018E-2</v>
      </c>
      <c r="S32" s="54">
        <f t="shared" si="80"/>
        <v>-2.0000000000000018E-2</v>
      </c>
      <c r="T32" s="54">
        <f t="shared" si="79"/>
        <v>-1.9999999999999907E-2</v>
      </c>
      <c r="U32" s="54">
        <f t="shared" si="79"/>
        <v>-2.0000000000000018E-2</v>
      </c>
      <c r="V32" s="54">
        <f t="shared" si="79"/>
        <v>-1.9999999999999907E-2</v>
      </c>
      <c r="W32" s="54">
        <f t="shared" si="79"/>
        <v>-2.0000000000000018E-2</v>
      </c>
      <c r="X32" s="54">
        <f t="shared" si="79"/>
        <v>-2.0000000000000018E-2</v>
      </c>
    </row>
    <row r="33" spans="1:24" s="6" customFormat="1" x14ac:dyDescent="0.15">
      <c r="A33" s="6" t="s">
        <v>107</v>
      </c>
      <c r="B33" s="55"/>
      <c r="C33" s="56">
        <f>C20/B20-1</f>
        <v>0.93112775697045369</v>
      </c>
      <c r="D33" s="56">
        <f>D20/C20-1</f>
        <v>0.87081133498545404</v>
      </c>
      <c r="E33" s="56">
        <f>E20/D20-1</f>
        <v>0.56960202729942977</v>
      </c>
      <c r="F33" s="56">
        <f>F20/E20-1</f>
        <v>-7.4523905625068831E-2</v>
      </c>
      <c r="G33" s="56">
        <f t="shared" ref="G33:S33" si="81">G20/F20-1</f>
        <v>3.3145666481642966E-2</v>
      </c>
      <c r="H33" s="56">
        <f t="shared" si="81"/>
        <v>0.34327269936295957</v>
      </c>
      <c r="I33" s="56">
        <f t="shared" si="81"/>
        <v>9.2934891295031852E-2</v>
      </c>
      <c r="J33" s="56">
        <f t="shared" si="81"/>
        <v>5.0000000000000044E-2</v>
      </c>
      <c r="K33" s="56">
        <f t="shared" si="81"/>
        <v>5.0000000000000044E-2</v>
      </c>
      <c r="L33" s="56">
        <f t="shared" si="81"/>
        <v>4.9999999999999822E-2</v>
      </c>
      <c r="M33" s="56">
        <f t="shared" si="81"/>
        <v>5.0000000000000044E-2</v>
      </c>
      <c r="N33" s="56">
        <f t="shared" si="81"/>
        <v>5.0000000000000266E-2</v>
      </c>
      <c r="O33" s="56">
        <f t="shared" si="81"/>
        <v>1.3569113341698191E-2</v>
      </c>
      <c r="P33" s="56">
        <f t="shared" si="81"/>
        <v>1.477569367970677E-2</v>
      </c>
      <c r="Q33" s="56">
        <f t="shared" si="81"/>
        <v>1.5982807423466916E-2</v>
      </c>
      <c r="R33" s="56">
        <f t="shared" si="81"/>
        <v>1.7187585772691971E-2</v>
      </c>
      <c r="S33" s="56">
        <f t="shared" si="81"/>
        <v>1.8387182076809339E-2</v>
      </c>
      <c r="T33" s="56">
        <f t="shared" si="79"/>
        <v>1.957879860433076E-2</v>
      </c>
      <c r="U33" s="56">
        <f t="shared" si="79"/>
        <v>2.0759712335558955E-2</v>
      </c>
      <c r="V33" s="56">
        <f t="shared" si="79"/>
        <v>2.1927299280271484E-2</v>
      </c>
      <c r="W33" s="56">
        <f t="shared" si="79"/>
        <v>2.3079056871550874E-2</v>
      </c>
      <c r="X33" s="56">
        <f t="shared" si="79"/>
        <v>2.4212624050232279E-2</v>
      </c>
    </row>
    <row r="34" spans="1:24" x14ac:dyDescent="0.15">
      <c r="B34" s="22"/>
      <c r="C34" s="22"/>
      <c r="D34" s="22"/>
      <c r="E34" s="22"/>
      <c r="F34" s="22"/>
      <c r="G34" s="22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</row>
    <row r="35" spans="1:24" x14ac:dyDescent="0.15">
      <c r="A35" s="3" t="s">
        <v>27</v>
      </c>
      <c r="B35" s="31">
        <f t="shared" ref="B35:X35" si="82">B17/B15</f>
        <v>0.71089792441834398</v>
      </c>
      <c r="C35" s="31">
        <f t="shared" si="82"/>
        <v>0.64087152516904577</v>
      </c>
      <c r="D35" s="31">
        <f t="shared" si="82"/>
        <v>0.61500040773057163</v>
      </c>
      <c r="E35" s="31">
        <f t="shared" si="82"/>
        <v>0.58635754206776036</v>
      </c>
      <c r="F35" s="31">
        <f t="shared" si="82"/>
        <v>0.49995039049765416</v>
      </c>
      <c r="G35" s="31">
        <f t="shared" si="82"/>
        <v>0.49225327201980901</v>
      </c>
      <c r="H35" s="54">
        <f t="shared" si="82"/>
        <v>0.49407980288823489</v>
      </c>
      <c r="I35" s="54">
        <f t="shared" si="82"/>
        <v>0.41440980142068462</v>
      </c>
      <c r="J35" s="54">
        <f t="shared" si="82"/>
        <v>0.41440980142068462</v>
      </c>
      <c r="K35" s="54">
        <f t="shared" si="82"/>
        <v>0.41440980142068462</v>
      </c>
      <c r="L35" s="54">
        <f t="shared" si="82"/>
        <v>0.41440980142068462</v>
      </c>
      <c r="M35" s="54">
        <f t="shared" si="82"/>
        <v>0.41440980142068462</v>
      </c>
      <c r="N35" s="54">
        <f t="shared" si="82"/>
        <v>0.41440980142068468</v>
      </c>
      <c r="O35" s="54">
        <f t="shared" si="82"/>
        <v>0.41440980142068462</v>
      </c>
      <c r="P35" s="54">
        <f t="shared" si="82"/>
        <v>0.41440980142068462</v>
      </c>
      <c r="Q35" s="54">
        <f t="shared" si="82"/>
        <v>0.41440980142068462</v>
      </c>
      <c r="R35" s="54">
        <f t="shared" si="82"/>
        <v>0.41440980142068456</v>
      </c>
      <c r="S35" s="54">
        <f t="shared" si="82"/>
        <v>0.41440980142068456</v>
      </c>
      <c r="T35" s="54">
        <f t="shared" si="82"/>
        <v>0.41440980142068462</v>
      </c>
      <c r="U35" s="54">
        <f t="shared" si="82"/>
        <v>0.41440980142068462</v>
      </c>
      <c r="V35" s="54">
        <f t="shared" si="82"/>
        <v>0.41440980142068462</v>
      </c>
      <c r="W35" s="54">
        <f t="shared" si="82"/>
        <v>0.41440980142068468</v>
      </c>
      <c r="X35" s="54">
        <f t="shared" si="82"/>
        <v>0.41440980142068468</v>
      </c>
    </row>
    <row r="36" spans="1:24" x14ac:dyDescent="0.15">
      <c r="A36" s="3" t="s">
        <v>28</v>
      </c>
      <c r="B36" s="31">
        <f t="shared" ref="B36:X36" si="83">B21/B15</f>
        <v>0.49544985878872105</v>
      </c>
      <c r="C36" s="31">
        <f t="shared" si="83"/>
        <v>0.35033183070373153</v>
      </c>
      <c r="D36" s="31">
        <f t="shared" si="83"/>
        <v>0.26102911196281497</v>
      </c>
      <c r="E36" s="31">
        <f t="shared" si="83"/>
        <v>0.17580331721426312</v>
      </c>
      <c r="F36" s="31">
        <f t="shared" si="83"/>
        <v>0.14245014245014245</v>
      </c>
      <c r="G36" s="31">
        <f t="shared" si="83"/>
        <v>0.18500176865935622</v>
      </c>
      <c r="H36" s="54">
        <f t="shared" si="83"/>
        <v>0.15184254524477644</v>
      </c>
      <c r="I36" s="54">
        <f t="shared" si="83"/>
        <v>5.8251794475529035E-2</v>
      </c>
      <c r="J36" s="54">
        <f t="shared" si="83"/>
        <v>5.9502614587259875E-2</v>
      </c>
      <c r="K36" s="54">
        <f t="shared" si="83"/>
        <v>6.5298083349959998E-2</v>
      </c>
      <c r="L36" s="54">
        <f t="shared" si="83"/>
        <v>7.5743348789295589E-2</v>
      </c>
      <c r="M36" s="54">
        <f t="shared" si="83"/>
        <v>9.0619058665453917E-2</v>
      </c>
      <c r="N36" s="54">
        <f t="shared" si="83"/>
        <v>0.10937942314953708</v>
      </c>
      <c r="O36" s="54">
        <f t="shared" si="83"/>
        <v>0.11996278232871339</v>
      </c>
      <c r="P36" s="54">
        <f t="shared" si="83"/>
        <v>0.12984058422927794</v>
      </c>
      <c r="Q36" s="54">
        <f t="shared" si="83"/>
        <v>0.13905986600313827</v>
      </c>
      <c r="R36" s="54">
        <f t="shared" si="83"/>
        <v>0.14766452899207444</v>
      </c>
      <c r="S36" s="54">
        <f t="shared" si="83"/>
        <v>0.15569554778174829</v>
      </c>
      <c r="T36" s="54">
        <f t="shared" si="83"/>
        <v>0.16319116531877725</v>
      </c>
      <c r="U36" s="54">
        <f t="shared" si="83"/>
        <v>0.17018707502000424</v>
      </c>
      <c r="V36" s="54">
        <f t="shared" si="83"/>
        <v>0.17671659074114945</v>
      </c>
      <c r="W36" s="54">
        <f t="shared" si="83"/>
        <v>0.18281080541421826</v>
      </c>
      <c r="X36" s="54">
        <f t="shared" si="83"/>
        <v>0.1884987391090826</v>
      </c>
    </row>
    <row r="37" spans="1:24" x14ac:dyDescent="0.15">
      <c r="A37" s="3" t="s">
        <v>29</v>
      </c>
      <c r="B37" s="31">
        <f t="shared" ref="B37:X37" si="84">B24/B23</f>
        <v>0.13153936152431892</v>
      </c>
      <c r="C37" s="31">
        <f t="shared" si="84"/>
        <v>0.15011490479317138</v>
      </c>
      <c r="D37" s="31">
        <f t="shared" si="84"/>
        <v>0.15412780656303973</v>
      </c>
      <c r="E37" s="31">
        <f t="shared" si="84"/>
        <v>0.1444400474871389</v>
      </c>
      <c r="F37" s="31">
        <f t="shared" si="84"/>
        <v>0.20082701585113716</v>
      </c>
      <c r="G37" s="31">
        <f t="shared" si="84"/>
        <v>0.14072264248461214</v>
      </c>
      <c r="H37" s="54">
        <f t="shared" si="84"/>
        <v>0.17357731015553524</v>
      </c>
      <c r="I37" s="54">
        <f t="shared" si="84"/>
        <v>-4.9948717948717949</v>
      </c>
      <c r="J37" s="54">
        <f t="shared" si="84"/>
        <v>0.2</v>
      </c>
      <c r="K37" s="54">
        <f t="shared" si="84"/>
        <v>0.2</v>
      </c>
      <c r="L37" s="54">
        <f t="shared" si="84"/>
        <v>0.2</v>
      </c>
      <c r="M37" s="54">
        <f t="shared" si="84"/>
        <v>0.2</v>
      </c>
      <c r="N37" s="54">
        <f t="shared" si="84"/>
        <v>0.19999999999999998</v>
      </c>
      <c r="O37" s="54">
        <f t="shared" si="84"/>
        <v>0.2</v>
      </c>
      <c r="P37" s="54">
        <f t="shared" si="84"/>
        <v>0.2</v>
      </c>
      <c r="Q37" s="54">
        <f t="shared" si="84"/>
        <v>0.2</v>
      </c>
      <c r="R37" s="54">
        <f t="shared" si="84"/>
        <v>0.2</v>
      </c>
      <c r="S37" s="54">
        <f t="shared" si="84"/>
        <v>0.2</v>
      </c>
      <c r="T37" s="54">
        <f t="shared" si="84"/>
        <v>0.2</v>
      </c>
      <c r="U37" s="54">
        <f t="shared" si="84"/>
        <v>0.2</v>
      </c>
      <c r="V37" s="54">
        <f t="shared" si="84"/>
        <v>0.2</v>
      </c>
      <c r="W37" s="54">
        <f t="shared" si="84"/>
        <v>0.2</v>
      </c>
      <c r="X37" s="54">
        <f t="shared" si="84"/>
        <v>0.2</v>
      </c>
    </row>
    <row r="38" spans="1:24" x14ac:dyDescent="0.15">
      <c r="B38" s="22"/>
      <c r="C38" s="22"/>
      <c r="D38" s="22"/>
      <c r="E38" s="22"/>
      <c r="F38" s="22"/>
      <c r="G38" s="22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</row>
    <row r="39" spans="1:24" s="2" customFormat="1" x14ac:dyDescent="0.15">
      <c r="A39" s="2" t="s">
        <v>4</v>
      </c>
      <c r="B39" s="22"/>
      <c r="C39" s="22"/>
      <c r="D39" s="22"/>
      <c r="E39" s="22"/>
      <c r="F39" s="22"/>
      <c r="G39" s="29">
        <f>G40-G41</f>
        <v>131784</v>
      </c>
      <c r="H39" s="29">
        <f>H40-H41</f>
        <v>157003</v>
      </c>
      <c r="I39" s="29">
        <f>I40-I41</f>
        <v>150008</v>
      </c>
      <c r="J39" s="50">
        <f t="shared" ref="J39:X39" si="85">I39+J25</f>
        <v>157795.78700157336</v>
      </c>
      <c r="K39" s="50">
        <f t="shared" si="85"/>
        <v>166631.60636710713</v>
      </c>
      <c r="L39" s="50">
        <f t="shared" si="85"/>
        <v>177221.44385697765</v>
      </c>
      <c r="M39" s="50">
        <f t="shared" si="85"/>
        <v>190468.21263637417</v>
      </c>
      <c r="N39" s="50">
        <f t="shared" si="85"/>
        <v>207522.1702018973</v>
      </c>
      <c r="O39" s="50">
        <f t="shared" si="85"/>
        <v>226972.31728756084</v>
      </c>
      <c r="P39" s="50">
        <f t="shared" si="85"/>
        <v>248934.69917782317</v>
      </c>
      <c r="Q39" s="50">
        <f t="shared" si="85"/>
        <v>273531.67239545716</v>
      </c>
      <c r="R39" s="50">
        <f t="shared" si="85"/>
        <v>300892.21702302818</v>
      </c>
      <c r="S39" s="50">
        <f t="shared" si="85"/>
        <v>331152.2648162797</v>
      </c>
      <c r="T39" s="50">
        <f t="shared" si="85"/>
        <v>364455.04389728105</v>
      </c>
      <c r="U39" s="50">
        <f t="shared" si="85"/>
        <v>400951.44085464883</v>
      </c>
      <c r="V39" s="50">
        <f t="shared" si="85"/>
        <v>440800.38111958094</v>
      </c>
      <c r="W39" s="50">
        <f t="shared" si="85"/>
        <v>484169.22852994082</v>
      </c>
      <c r="X39" s="50">
        <f t="shared" si="85"/>
        <v>531234.20504030224</v>
      </c>
    </row>
    <row r="40" spans="1:24" x14ac:dyDescent="0.15">
      <c r="A40" s="3" t="s">
        <v>37</v>
      </c>
      <c r="B40" s="22"/>
      <c r="C40" s="22"/>
      <c r="D40" s="22"/>
      <c r="E40" s="22"/>
      <c r="F40" s="22"/>
      <c r="G40" s="26">
        <f>'Reports RMB'!M29</f>
        <v>175350</v>
      </c>
      <c r="H40" s="48">
        <f>'Reports RMB'!Q29</f>
        <v>221907</v>
      </c>
      <c r="I40" s="48">
        <f>'Reports RMB'!U29</f>
        <v>216773</v>
      </c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</row>
    <row r="41" spans="1:24" x14ac:dyDescent="0.15">
      <c r="A41" s="3" t="s">
        <v>38</v>
      </c>
      <c r="B41" s="22"/>
      <c r="C41" s="22"/>
      <c r="D41" s="22"/>
      <c r="E41" s="22"/>
      <c r="F41" s="22"/>
      <c r="G41" s="26">
        <f>'Reports RMB'!M30</f>
        <v>43566</v>
      </c>
      <c r="H41" s="48">
        <f>'Reports RMB'!Q30</f>
        <v>64904</v>
      </c>
      <c r="I41" s="48">
        <f>'Reports RMB'!U30</f>
        <v>66765</v>
      </c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</row>
    <row r="42" spans="1:24" s="6" customFormat="1" x14ac:dyDescent="0.15">
      <c r="A42" s="6" t="s">
        <v>30</v>
      </c>
      <c r="B42" s="55"/>
      <c r="C42" s="55"/>
      <c r="D42" s="55"/>
      <c r="E42" s="55"/>
      <c r="F42" s="55"/>
      <c r="G42" s="57">
        <f>G22/G40</f>
        <v>3.189620758483034E-2</v>
      </c>
      <c r="H42" s="57">
        <f>H22/H40</f>
        <v>5.3152897384940535E-2</v>
      </c>
      <c r="I42" s="57">
        <f>I22/I40</f>
        <v>-3.0663412878910196E-2</v>
      </c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</row>
    <row r="43" spans="1:24" s="6" customFormat="1" x14ac:dyDescent="0.15">
      <c r="B43" s="55"/>
      <c r="C43" s="55"/>
      <c r="D43" s="55"/>
      <c r="E43" s="55"/>
      <c r="F43" s="55"/>
      <c r="G43" s="57"/>
      <c r="H43" s="57"/>
      <c r="I43" s="57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</row>
    <row r="44" spans="1:24" x14ac:dyDescent="0.15">
      <c r="A44" s="3" t="s">
        <v>31</v>
      </c>
      <c r="B44" s="22"/>
      <c r="C44" s="22"/>
      <c r="D44" s="22"/>
      <c r="E44" s="22"/>
      <c r="F44" s="22"/>
      <c r="G44" s="26">
        <f>'Reports RMB'!M32</f>
        <v>21273</v>
      </c>
      <c r="H44" s="48">
        <f>'Reports RMB'!Q32</f>
        <v>27717</v>
      </c>
      <c r="I44" s="48">
        <f>'Reports RMB'!U32</f>
        <v>26137</v>
      </c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</row>
    <row r="45" spans="1:24" x14ac:dyDescent="0.15">
      <c r="A45" s="3" t="s">
        <v>32</v>
      </c>
      <c r="B45" s="22"/>
      <c r="C45" s="22"/>
      <c r="D45" s="22"/>
      <c r="E45" s="22"/>
      <c r="F45" s="22"/>
      <c r="G45" s="26">
        <f>'Reports RMB'!M33</f>
        <v>251728</v>
      </c>
      <c r="H45" s="48">
        <f>'Reports RMB'!Q33</f>
        <v>297566</v>
      </c>
      <c r="I45" s="48">
        <f>'Reports RMB'!U33</f>
        <v>301316</v>
      </c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</row>
    <row r="46" spans="1:24" x14ac:dyDescent="0.15">
      <c r="A46" s="3" t="s">
        <v>67</v>
      </c>
      <c r="B46" s="22"/>
      <c r="C46" s="22"/>
      <c r="D46" s="22"/>
      <c r="E46" s="22"/>
      <c r="F46" s="22"/>
      <c r="G46" s="26">
        <f>'Reports RMB'!M34</f>
        <v>132378</v>
      </c>
      <c r="H46" s="48">
        <f>'Reports RMB'!Q34</f>
        <v>122530</v>
      </c>
      <c r="I46" s="48">
        <f>'Reports RMB'!U34</f>
        <v>128501</v>
      </c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</row>
    <row r="47" spans="1:24" x14ac:dyDescent="0.15">
      <c r="B47" s="22"/>
      <c r="C47" s="22"/>
      <c r="D47" s="22"/>
      <c r="E47" s="22"/>
      <c r="F47" s="22"/>
      <c r="G47" s="22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</row>
    <row r="48" spans="1:24" x14ac:dyDescent="0.15">
      <c r="A48" s="3" t="s">
        <v>39</v>
      </c>
      <c r="B48" s="22"/>
      <c r="C48" s="22"/>
      <c r="D48" s="22"/>
      <c r="E48" s="22"/>
      <c r="F48" s="22"/>
      <c r="G48" s="30">
        <f>G45-G44-G40</f>
        <v>55105</v>
      </c>
      <c r="H48" s="30">
        <f>H45-H44-H40</f>
        <v>47942</v>
      </c>
      <c r="I48" s="30">
        <f>I45-I44-I40</f>
        <v>58406</v>
      </c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</row>
    <row r="49" spans="1:24" x14ac:dyDescent="0.15">
      <c r="A49" s="3" t="s">
        <v>40</v>
      </c>
      <c r="B49" s="22"/>
      <c r="C49" s="22"/>
      <c r="D49" s="22"/>
      <c r="E49" s="22"/>
      <c r="F49" s="22"/>
      <c r="G49" s="30">
        <f>G45-G46</f>
        <v>119350</v>
      </c>
      <c r="H49" s="30">
        <f>H45-H46</f>
        <v>175036</v>
      </c>
      <c r="I49" s="30">
        <f>I45-I46</f>
        <v>172815</v>
      </c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</row>
    <row r="50" spans="1:24" x14ac:dyDescent="0.15">
      <c r="B50" s="22"/>
      <c r="C50" s="22"/>
      <c r="D50" s="22"/>
      <c r="E50" s="22"/>
      <c r="F50" s="22"/>
      <c r="G50" s="22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</row>
    <row r="51" spans="1:24" x14ac:dyDescent="0.15">
      <c r="A51" s="3" t="s">
        <v>33</v>
      </c>
      <c r="B51" s="22"/>
      <c r="C51" s="22"/>
      <c r="D51" s="22"/>
      <c r="E51" s="22"/>
      <c r="F51" s="22"/>
      <c r="G51" s="31">
        <f>G25/G49</f>
        <v>0.15322999581064098</v>
      </c>
      <c r="H51" s="31">
        <f>H25/H49</f>
        <v>0.12901346008821044</v>
      </c>
      <c r="I51" s="31">
        <f>I25/I49</f>
        <v>-1.352891820733154E-2</v>
      </c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</row>
    <row r="52" spans="1:24" x14ac:dyDescent="0.15">
      <c r="A52" s="3" t="s">
        <v>34</v>
      </c>
      <c r="B52" s="22"/>
      <c r="C52" s="22"/>
      <c r="D52" s="22"/>
      <c r="E52" s="22"/>
      <c r="F52" s="22"/>
      <c r="G52" s="31">
        <f>G25/G45</f>
        <v>7.2649844276361786E-2</v>
      </c>
      <c r="H52" s="31">
        <f>H25/H45</f>
        <v>7.5889046463641682E-2</v>
      </c>
      <c r="I52" s="31">
        <f>I25/I45</f>
        <v>-7.7592958887015622E-3</v>
      </c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</row>
    <row r="53" spans="1:24" x14ac:dyDescent="0.15">
      <c r="A53" s="3" t="s">
        <v>35</v>
      </c>
      <c r="B53" s="22"/>
      <c r="C53" s="22"/>
      <c r="D53" s="22"/>
      <c r="E53" s="22"/>
      <c r="F53" s="22"/>
      <c r="G53" s="31">
        <f>G25/(G49-G44)</f>
        <v>0.18646573610530501</v>
      </c>
      <c r="H53" s="31">
        <f>H25/(H49-H44)</f>
        <v>0.1532864056910514</v>
      </c>
      <c r="I53" s="31">
        <f>I25/(I49-I44)</f>
        <v>-1.5939677388565429E-2</v>
      </c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</row>
    <row r="54" spans="1:24" x14ac:dyDescent="0.15">
      <c r="A54" s="3" t="s">
        <v>36</v>
      </c>
      <c r="B54" s="22"/>
      <c r="C54" s="22"/>
      <c r="D54" s="22"/>
      <c r="E54" s="22"/>
      <c r="F54" s="22"/>
      <c r="G54" s="31">
        <f>G25/G48</f>
        <v>0.33187551038925689</v>
      </c>
      <c r="H54" s="31">
        <f>H25/H48</f>
        <v>0.47102749155229234</v>
      </c>
      <c r="I54" s="31">
        <f>I25/I48</f>
        <v>-4.0030133890353731E-2</v>
      </c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</row>
    <row r="55" spans="1:24" x14ac:dyDescent="0.15">
      <c r="B55" s="22"/>
      <c r="C55" s="22"/>
      <c r="D55" s="22"/>
      <c r="E55" s="22"/>
      <c r="F55" s="22"/>
      <c r="G55" s="22"/>
      <c r="H55" s="49"/>
      <c r="I55" s="49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spans="1:24" s="15" customFormat="1" x14ac:dyDescent="0.15">
      <c r="A56" s="15" t="s">
        <v>49</v>
      </c>
      <c r="B56" s="31"/>
      <c r="C56" s="54">
        <f t="shared" ref="C56:I57" si="86">C12/B12-1</f>
        <v>0.42956037040366812</v>
      </c>
      <c r="D56" s="54">
        <f t="shared" si="86"/>
        <v>0.52490409408213323</v>
      </c>
      <c r="E56" s="54">
        <f t="shared" si="86"/>
        <v>0.32046602742550778</v>
      </c>
      <c r="F56" s="54">
        <f t="shared" si="86"/>
        <v>7.651945780498437E-3</v>
      </c>
      <c r="G56" s="54">
        <f t="shared" si="86"/>
        <v>0.13360505842606085</v>
      </c>
      <c r="H56" s="54">
        <f t="shared" si="86"/>
        <v>0.11982719728765368</v>
      </c>
      <c r="I56" s="54">
        <f t="shared" si="86"/>
        <v>-4.6623205391151501E-2</v>
      </c>
      <c r="J56" s="54">
        <f t="shared" ref="J56:N56" si="87">J12/I12-1</f>
        <v>-2.0000000000000018E-2</v>
      </c>
      <c r="K56" s="54">
        <f t="shared" si="87"/>
        <v>-2.0000000000000018E-2</v>
      </c>
      <c r="L56" s="54">
        <f t="shared" si="87"/>
        <v>-1.9999999999999907E-2</v>
      </c>
      <c r="M56" s="54">
        <f t="shared" si="87"/>
        <v>-2.0000000000000018E-2</v>
      </c>
      <c r="N56" s="54">
        <f t="shared" si="87"/>
        <v>-2.0000000000000018E-2</v>
      </c>
      <c r="O56" s="31"/>
      <c r="P56" s="31"/>
      <c r="Q56" s="31"/>
      <c r="R56" s="31"/>
      <c r="S56" s="31"/>
      <c r="T56" s="31"/>
      <c r="U56" s="31"/>
      <c r="V56" s="31"/>
      <c r="W56" s="31"/>
      <c r="X56" s="31"/>
    </row>
    <row r="57" spans="1:24" s="15" customFormat="1" x14ac:dyDescent="0.15">
      <c r="A57" s="15" t="s">
        <v>50</v>
      </c>
      <c r="B57" s="31"/>
      <c r="C57" s="54">
        <f t="shared" si="86"/>
        <v>1.3278688524590163</v>
      </c>
      <c r="D57" s="54">
        <f t="shared" si="86"/>
        <v>2.9225352112676055</v>
      </c>
      <c r="E57" s="54">
        <f t="shared" si="86"/>
        <v>3.2100538599640931</v>
      </c>
      <c r="F57" s="54">
        <f t="shared" si="86"/>
        <v>1.5692963752665245</v>
      </c>
      <c r="G57" s="54">
        <f t="shared" si="86"/>
        <v>0.93576763485477188</v>
      </c>
      <c r="H57" s="54">
        <f t="shared" si="86"/>
        <v>0.74612020920860833</v>
      </c>
      <c r="I57" s="54">
        <f t="shared" si="86"/>
        <v>0.4397250184139454</v>
      </c>
      <c r="J57" s="54">
        <f>J13/I13-1</f>
        <v>0.25</v>
      </c>
      <c r="K57" s="54">
        <f>K13/J13-1</f>
        <v>0.25</v>
      </c>
      <c r="L57" s="54">
        <f>L13/K13-1</f>
        <v>0.25</v>
      </c>
      <c r="M57" s="54">
        <f>M13/L13-1</f>
        <v>0.25</v>
      </c>
      <c r="N57" s="54">
        <f>N13/M13-1</f>
        <v>0.25</v>
      </c>
      <c r="O57" s="31"/>
      <c r="P57" s="31"/>
      <c r="Q57" s="31"/>
      <c r="R57" s="31"/>
      <c r="S57" s="31"/>
      <c r="T57" s="31"/>
      <c r="U57" s="31"/>
      <c r="V57" s="31"/>
      <c r="W57" s="31"/>
      <c r="X57" s="31"/>
    </row>
    <row r="58" spans="1:24" x14ac:dyDescent="0.15">
      <c r="A58" s="13"/>
      <c r="H58" s="20"/>
    </row>
    <row r="59" spans="1:24" s="47" customFormat="1" x14ac:dyDescent="0.15">
      <c r="A59" s="4" t="s">
        <v>79</v>
      </c>
      <c r="B59" s="46">
        <v>6.2301000000000002</v>
      </c>
      <c r="C59" s="46">
        <v>6.0537000000000001</v>
      </c>
      <c r="D59" s="46">
        <v>6.2046000000000001</v>
      </c>
      <c r="E59" s="46">
        <v>6.47</v>
      </c>
      <c r="F59" s="46">
        <v>6.95</v>
      </c>
      <c r="G59" s="46">
        <v>6.51</v>
      </c>
      <c r="H59" s="46">
        <v>6.88</v>
      </c>
      <c r="I59" s="46">
        <v>6.96</v>
      </c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</row>
    <row r="60" spans="1:24" s="2" customFormat="1" x14ac:dyDescent="0.15">
      <c r="A60" s="2" t="s">
        <v>81</v>
      </c>
      <c r="B60" s="29">
        <f t="shared" ref="B60:I60" si="88">B15/B59</f>
        <v>3580.5203768799856</v>
      </c>
      <c r="C60" s="29">
        <f t="shared" si="88"/>
        <v>5276.7728826998364</v>
      </c>
      <c r="D60" s="29">
        <f t="shared" si="88"/>
        <v>7905.7473487412562</v>
      </c>
      <c r="E60" s="29">
        <f t="shared" si="88"/>
        <v>10259.81452859351</v>
      </c>
      <c r="F60" s="29">
        <f t="shared" si="88"/>
        <v>10151.223021582733</v>
      </c>
      <c r="G60" s="29">
        <f t="shared" si="88"/>
        <v>13027.649769585254</v>
      </c>
      <c r="H60" s="29">
        <f t="shared" si="88"/>
        <v>14865.843023255815</v>
      </c>
      <c r="I60" s="29">
        <f t="shared" si="88"/>
        <v>15432.902298850575</v>
      </c>
      <c r="J60" s="50">
        <f t="shared" ref="J60:X60" si="89">J15/$C$9</f>
        <v>16191.865522174534</v>
      </c>
      <c r="K60" s="50">
        <f t="shared" si="89"/>
        <v>17283.693447782545</v>
      </c>
      <c r="L60" s="50">
        <f t="shared" si="89"/>
        <v>18707.601123891272</v>
      </c>
      <c r="M60" s="50">
        <f t="shared" si="89"/>
        <v>20545.426032743922</v>
      </c>
      <c r="N60" s="50">
        <f t="shared" si="89"/>
        <v>22899.488676252135</v>
      </c>
      <c r="O60" s="50">
        <f t="shared" si="89"/>
        <v>24044.463110064738</v>
      </c>
      <c r="P60" s="50">
        <f t="shared" si="89"/>
        <v>25246.686265567976</v>
      </c>
      <c r="Q60" s="50">
        <f t="shared" si="89"/>
        <v>26509.020578846375</v>
      </c>
      <c r="R60" s="50">
        <f t="shared" si="89"/>
        <v>27834.471607788695</v>
      </c>
      <c r="S60" s="50">
        <f t="shared" si="89"/>
        <v>29226.195188178132</v>
      </c>
      <c r="T60" s="50">
        <f t="shared" si="89"/>
        <v>30687.50494758704</v>
      </c>
      <c r="U60" s="50">
        <f t="shared" si="89"/>
        <v>32221.880194966394</v>
      </c>
      <c r="V60" s="50">
        <f t="shared" si="89"/>
        <v>33832.974204714716</v>
      </c>
      <c r="W60" s="50">
        <f t="shared" si="89"/>
        <v>35524.622914950451</v>
      </c>
      <c r="X60" s="50">
        <f t="shared" si="89"/>
        <v>37300.854060697973</v>
      </c>
    </row>
    <row r="61" spans="1:24" s="2" customFormat="1" x14ac:dyDescent="0.15">
      <c r="A61" s="2" t="s">
        <v>82</v>
      </c>
      <c r="B61" s="29">
        <f t="shared" ref="B61:I61" si="90">B25/B59</f>
        <v>1668.0310107381904</v>
      </c>
      <c r="C61" s="29">
        <f t="shared" si="90"/>
        <v>1710.5241422601055</v>
      </c>
      <c r="D61" s="29">
        <f t="shared" si="90"/>
        <v>1973.3745930438706</v>
      </c>
      <c r="E61" s="29">
        <f t="shared" si="90"/>
        <v>5012.3647604327671</v>
      </c>
      <c r="F61" s="29">
        <f t="shared" si="90"/>
        <v>1668.4892086330935</v>
      </c>
      <c r="G61" s="29">
        <f t="shared" si="90"/>
        <v>2809.2165898617513</v>
      </c>
      <c r="H61" s="29">
        <f t="shared" si="90"/>
        <v>3282.2674418604652</v>
      </c>
      <c r="I61" s="29">
        <f t="shared" si="90"/>
        <v>-335.91954022988506</v>
      </c>
      <c r="J61" s="50">
        <f t="shared" ref="J61:X61" si="91">J25/$C$9</f>
        <v>1114.1326182508385</v>
      </c>
      <c r="K61" s="50">
        <f t="shared" si="91"/>
        <v>1264.0657175298675</v>
      </c>
      <c r="L61" s="50">
        <f t="shared" si="91"/>
        <v>1514.9982102819074</v>
      </c>
      <c r="M61" s="50">
        <f t="shared" si="91"/>
        <v>1895.1028296704585</v>
      </c>
      <c r="N61" s="50">
        <f t="shared" si="91"/>
        <v>2439.7650308330653</v>
      </c>
      <c r="O61" s="50">
        <f t="shared" si="91"/>
        <v>2782.5675372909227</v>
      </c>
      <c r="P61" s="50">
        <f t="shared" si="91"/>
        <v>3141.9716581205039</v>
      </c>
      <c r="Q61" s="50">
        <f t="shared" si="91"/>
        <v>3518.8802886457747</v>
      </c>
      <c r="R61" s="50">
        <f t="shared" si="91"/>
        <v>3914.2410053749677</v>
      </c>
      <c r="S61" s="50">
        <f t="shared" si="91"/>
        <v>4329.0483252148097</v>
      </c>
      <c r="T61" s="50">
        <f t="shared" si="91"/>
        <v>4764.3460773964716</v>
      </c>
      <c r="U61" s="50">
        <f t="shared" si="91"/>
        <v>5221.2298937579053</v>
      </c>
      <c r="V61" s="50">
        <f t="shared" si="91"/>
        <v>5700.8498233093133</v>
      </c>
      <c r="W61" s="50">
        <f t="shared" si="91"/>
        <v>6204.4130773047027</v>
      </c>
      <c r="X61" s="50">
        <f t="shared" si="91"/>
        <v>6733.1869113535668</v>
      </c>
    </row>
    <row r="63" spans="1:24" s="2" customFormat="1" x14ac:dyDescent="0.15">
      <c r="A63" s="2" t="s">
        <v>138</v>
      </c>
      <c r="B63" s="32"/>
      <c r="C63" s="53">
        <f t="shared" ref="C63:I63" si="92">C60/B60-1</f>
        <v>0.47374468716135087</v>
      </c>
      <c r="D63" s="53">
        <f t="shared" si="92"/>
        <v>0.49821633875140692</v>
      </c>
      <c r="E63" s="53">
        <f t="shared" si="92"/>
        <v>0.29776655843005972</v>
      </c>
      <c r="F63" s="53">
        <f t="shared" si="92"/>
        <v>-1.0584158876180361E-2</v>
      </c>
      <c r="G63" s="53">
        <f t="shared" si="92"/>
        <v>0.28335765472661656</v>
      </c>
      <c r="H63" s="53">
        <f t="shared" si="92"/>
        <v>0.14109937603343181</v>
      </c>
      <c r="I63" s="53">
        <f t="shared" si="92"/>
        <v>3.8145113917028795E-2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</row>
    <row r="65" spans="1:24" s="2" customFormat="1" x14ac:dyDescent="0.15">
      <c r="A65" s="2" t="s">
        <v>137</v>
      </c>
      <c r="B65" s="32"/>
      <c r="C65" s="32"/>
      <c r="D65" s="32"/>
      <c r="E65" s="32"/>
      <c r="F65" s="32"/>
      <c r="G65" s="29">
        <f>G39/G59</f>
        <v>20243.317972350233</v>
      </c>
      <c r="H65" s="29">
        <f>H39/H59</f>
        <v>22820.203488372092</v>
      </c>
      <c r="I65" s="29">
        <f>I39/I59</f>
        <v>21552.873563218393</v>
      </c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</row>
  </sheetData>
  <hyperlinks>
    <hyperlink ref="A4" r:id="rId1" xr:uid="{00000000-0004-0000-0000-000000000000}"/>
    <hyperlink ref="A7" r:id="rId2" xr:uid="{00000000-0004-0000-0000-000001000000}"/>
    <hyperlink ref="A8" r:id="rId3" xr:uid="{00000000-0004-0000-0000-000002000000}"/>
    <hyperlink ref="A1" r:id="rId4" xr:uid="{00000000-0004-0000-0000-000003000000}"/>
    <hyperlink ref="L4" r:id="rId5" xr:uid="{BA4807F2-D005-6C48-9ABD-4F99B4D4EFAA}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8"/>
  <sheetViews>
    <sheetView workbookViewId="0">
      <pane xSplit="1" ySplit="2" topLeftCell="N3" activePane="bottomRight" state="frozen"/>
      <selection pane="topRight" activeCell="B1" sqref="B1"/>
      <selection pane="bottomLeft" activeCell="A3" sqref="A3"/>
      <selection pane="bottomRight" activeCell="X44" sqref="X44"/>
    </sheetView>
  </sheetViews>
  <sheetFormatPr baseColWidth="10" defaultRowHeight="13" x14ac:dyDescent="0.15"/>
  <cols>
    <col min="1" max="1" width="18.5" style="3" bestFit="1" customWidth="1"/>
    <col min="2" max="5" width="10.83203125" style="22"/>
    <col min="6" max="6" width="10.83203125" style="23"/>
    <col min="7" max="9" width="10.83203125" style="22"/>
    <col min="10" max="10" width="10.83203125" style="23"/>
    <col min="11" max="13" width="10.83203125" style="22"/>
    <col min="14" max="14" width="10.83203125" style="23"/>
    <col min="15" max="17" width="10.83203125" style="22"/>
    <col min="18" max="18" width="10.83203125" style="23"/>
    <col min="19" max="21" width="10.83203125" style="22"/>
    <col min="22" max="22" width="10.83203125" style="23"/>
    <col min="23" max="24" width="10.83203125" style="22"/>
    <col min="25" max="16384" width="10.83203125" style="3"/>
  </cols>
  <sheetData>
    <row r="1" spans="1:24" x14ac:dyDescent="0.15">
      <c r="A1" s="14" t="s">
        <v>11</v>
      </c>
      <c r="B1" s="22" t="s">
        <v>97</v>
      </c>
      <c r="C1" s="22" t="s">
        <v>96</v>
      </c>
      <c r="D1" s="22" t="s">
        <v>95</v>
      </c>
      <c r="E1" s="22" t="s">
        <v>94</v>
      </c>
      <c r="F1" s="23" t="s">
        <v>87</v>
      </c>
      <c r="G1" s="22" t="s">
        <v>88</v>
      </c>
      <c r="H1" s="22" t="s">
        <v>89</v>
      </c>
      <c r="I1" s="22" t="s">
        <v>90</v>
      </c>
      <c r="J1" s="23" t="s">
        <v>57</v>
      </c>
      <c r="K1" s="22" t="s">
        <v>56</v>
      </c>
      <c r="L1" s="22" t="s">
        <v>55</v>
      </c>
      <c r="M1" s="22" t="s">
        <v>54</v>
      </c>
      <c r="N1" s="23" t="s">
        <v>53</v>
      </c>
      <c r="O1" s="22" t="s">
        <v>52</v>
      </c>
      <c r="P1" s="22" t="s">
        <v>51</v>
      </c>
      <c r="Q1" s="22" t="s">
        <v>48</v>
      </c>
      <c r="R1" s="23" t="s">
        <v>100</v>
      </c>
      <c r="S1" s="22" t="s">
        <v>102</v>
      </c>
      <c r="T1" s="22" t="s">
        <v>105</v>
      </c>
      <c r="U1" s="22" t="s">
        <v>106</v>
      </c>
      <c r="V1" s="23" t="s">
        <v>139</v>
      </c>
    </row>
    <row r="2" spans="1:24" x14ac:dyDescent="0.15">
      <c r="A2" s="14"/>
      <c r="B2" s="22" t="s">
        <v>98</v>
      </c>
      <c r="C2" s="22" t="s">
        <v>91</v>
      </c>
      <c r="D2" s="22" t="s">
        <v>92</v>
      </c>
      <c r="E2" s="22" t="s">
        <v>93</v>
      </c>
      <c r="F2" s="23" t="s">
        <v>86</v>
      </c>
      <c r="G2" s="22" t="s">
        <v>85</v>
      </c>
      <c r="H2" s="22" t="s">
        <v>84</v>
      </c>
      <c r="I2" s="22" t="s">
        <v>83</v>
      </c>
      <c r="J2" s="23" t="s">
        <v>78</v>
      </c>
      <c r="K2" s="22" t="s">
        <v>76</v>
      </c>
      <c r="L2" s="22" t="s">
        <v>74</v>
      </c>
      <c r="M2" s="22" t="s">
        <v>65</v>
      </c>
      <c r="N2" s="23" t="s">
        <v>77</v>
      </c>
      <c r="O2" s="22" t="s">
        <v>75</v>
      </c>
      <c r="P2" s="22" t="s">
        <v>66</v>
      </c>
      <c r="Q2" s="22" t="s">
        <v>64</v>
      </c>
      <c r="R2" s="23" t="s">
        <v>99</v>
      </c>
      <c r="S2" s="22" t="s">
        <v>101</v>
      </c>
      <c r="T2" s="22" t="s">
        <v>104</v>
      </c>
      <c r="U2" s="22" t="s">
        <v>103</v>
      </c>
      <c r="V2" s="59">
        <v>43921</v>
      </c>
    </row>
    <row r="3" spans="1:24" s="5" customFormat="1" x14ac:dyDescent="0.15">
      <c r="A3" s="5" t="s">
        <v>15</v>
      </c>
      <c r="B3" s="26">
        <v>12519</v>
      </c>
      <c r="C3" s="26">
        <v>16227</v>
      </c>
      <c r="D3" s="26">
        <v>17680</v>
      </c>
      <c r="E3" s="26">
        <v>17610</v>
      </c>
      <c r="F3" s="27">
        <v>14931</v>
      </c>
      <c r="G3" s="26">
        <v>16939</v>
      </c>
      <c r="H3" s="26">
        <v>16490</v>
      </c>
      <c r="I3" s="26">
        <v>16166</v>
      </c>
      <c r="J3" s="27">
        <v>14738</v>
      </c>
      <c r="K3" s="26">
        <v>17883</v>
      </c>
      <c r="L3" s="26">
        <v>20108</v>
      </c>
      <c r="M3" s="26">
        <v>20418</v>
      </c>
      <c r="N3" s="27">
        <v>17169</v>
      </c>
      <c r="O3" s="26">
        <v>21065</v>
      </c>
      <c r="P3" s="26">
        <v>22481</v>
      </c>
      <c r="Q3" s="26">
        <v>21197</v>
      </c>
      <c r="R3" s="27">
        <v>17657</v>
      </c>
      <c r="S3" s="26">
        <v>19237</v>
      </c>
      <c r="T3" s="26">
        <v>20434</v>
      </c>
      <c r="U3" s="26">
        <v>20765</v>
      </c>
      <c r="V3" s="27">
        <v>14243</v>
      </c>
      <c r="W3" s="26"/>
      <c r="X3" s="26"/>
    </row>
    <row r="4" spans="1:24" s="5" customFormat="1" x14ac:dyDescent="0.15">
      <c r="A4" s="5" t="s">
        <v>16</v>
      </c>
      <c r="B4" s="26">
        <v>206</v>
      </c>
      <c r="C4" s="26">
        <v>348</v>
      </c>
      <c r="D4" s="26">
        <v>703</v>
      </c>
      <c r="E4" s="26">
        <v>1088</v>
      </c>
      <c r="F4" s="27">
        <v>890</v>
      </c>
      <c r="G4" s="26">
        <v>1325</v>
      </c>
      <c r="H4" s="26">
        <v>1763</v>
      </c>
      <c r="I4" s="26">
        <v>2047</v>
      </c>
      <c r="J4" s="27">
        <v>2153</v>
      </c>
      <c r="K4" s="26">
        <v>2991</v>
      </c>
      <c r="L4" s="26">
        <v>3381</v>
      </c>
      <c r="M4" s="26">
        <v>3138</v>
      </c>
      <c r="N4" s="27">
        <v>3738</v>
      </c>
      <c r="O4" s="26">
        <v>4907</v>
      </c>
      <c r="P4" s="26">
        <v>5722</v>
      </c>
      <c r="Q4" s="26">
        <v>5998</v>
      </c>
      <c r="R4" s="27">
        <v>6466</v>
      </c>
      <c r="S4" s="26">
        <v>7089</v>
      </c>
      <c r="T4" s="26">
        <v>7646</v>
      </c>
      <c r="U4" s="26">
        <v>8119</v>
      </c>
      <c r="V4" s="27">
        <v>8302</v>
      </c>
      <c r="W4" s="26"/>
      <c r="X4" s="26"/>
    </row>
    <row r="5" spans="1:24" s="44" customFormat="1" x14ac:dyDescent="0.15">
      <c r="F5" s="42"/>
      <c r="J5" s="42"/>
      <c r="N5" s="42"/>
      <c r="R5" s="42"/>
      <c r="U5" s="44" t="s">
        <v>140</v>
      </c>
      <c r="V5" s="42"/>
    </row>
    <row r="6" spans="1:24" s="28" customFormat="1" x14ac:dyDescent="0.15">
      <c r="A6" s="28" t="s">
        <v>12</v>
      </c>
      <c r="B6" s="29">
        <f t="shared" ref="B6:R6" si="0">SUM(B3:B4)</f>
        <v>12725</v>
      </c>
      <c r="C6" s="29">
        <f t="shared" si="0"/>
        <v>16575</v>
      </c>
      <c r="D6" s="29">
        <f t="shared" si="0"/>
        <v>18383</v>
      </c>
      <c r="E6" s="29">
        <f t="shared" si="0"/>
        <v>18698</v>
      </c>
      <c r="F6" s="38">
        <f t="shared" si="0"/>
        <v>15821</v>
      </c>
      <c r="G6" s="29">
        <f t="shared" si="0"/>
        <v>18264</v>
      </c>
      <c r="H6" s="29">
        <f t="shared" si="0"/>
        <v>18253</v>
      </c>
      <c r="I6" s="29">
        <f t="shared" si="0"/>
        <v>18213</v>
      </c>
      <c r="J6" s="38">
        <f t="shared" si="0"/>
        <v>16891</v>
      </c>
      <c r="K6" s="29">
        <f t="shared" si="0"/>
        <v>20874</v>
      </c>
      <c r="L6" s="29">
        <f t="shared" si="0"/>
        <v>23489</v>
      </c>
      <c r="M6" s="29">
        <f t="shared" si="0"/>
        <v>23556</v>
      </c>
      <c r="N6" s="38">
        <f t="shared" si="0"/>
        <v>20907</v>
      </c>
      <c r="O6" s="29">
        <f t="shared" si="0"/>
        <v>25972</v>
      </c>
      <c r="P6" s="29">
        <f t="shared" si="0"/>
        <v>28203</v>
      </c>
      <c r="Q6" s="29">
        <f t="shared" si="0"/>
        <v>27195</v>
      </c>
      <c r="R6" s="38">
        <f t="shared" si="0"/>
        <v>24123</v>
      </c>
      <c r="S6" s="29">
        <f>SUM(S3:S4)</f>
        <v>26326</v>
      </c>
      <c r="T6" s="29">
        <f>SUM(T3:T4)</f>
        <v>28080</v>
      </c>
      <c r="U6" s="29">
        <f>SUM(U3:U4)</f>
        <v>28884</v>
      </c>
      <c r="V6" s="38">
        <f>SUM(V3:V4)</f>
        <v>22545</v>
      </c>
      <c r="W6" s="45"/>
      <c r="X6" s="45"/>
    </row>
    <row r="7" spans="1:24" s="5" customFormat="1" x14ac:dyDescent="0.15">
      <c r="A7" s="5" t="s">
        <v>17</v>
      </c>
      <c r="B7" s="26">
        <v>5326</v>
      </c>
      <c r="C7" s="26">
        <v>6503</v>
      </c>
      <c r="D7" s="26">
        <v>7480</v>
      </c>
      <c r="E7" s="26">
        <v>8149</v>
      </c>
      <c r="F7" s="27">
        <v>7563</v>
      </c>
      <c r="G7" s="26">
        <v>8738</v>
      </c>
      <c r="H7" s="26">
        <v>9256</v>
      </c>
      <c r="I7" s="26">
        <v>9722</v>
      </c>
      <c r="J7" s="27">
        <v>9233</v>
      </c>
      <c r="K7" s="26">
        <v>10582</v>
      </c>
      <c r="L7" s="26">
        <v>11801</v>
      </c>
      <c r="M7" s="26">
        <v>11446</v>
      </c>
      <c r="N7" s="27">
        <v>9903</v>
      </c>
      <c r="O7" s="26">
        <v>12012</v>
      </c>
      <c r="P7" s="26">
        <v>14218</v>
      </c>
      <c r="Q7" s="26">
        <f>7344+3375+1775+3117</f>
        <v>15611</v>
      </c>
      <c r="R7" s="27">
        <v>14839</v>
      </c>
      <c r="S7" s="26">
        <v>16166</v>
      </c>
      <c r="T7" s="26">
        <v>16378</v>
      </c>
      <c r="U7" s="26">
        <v>15517</v>
      </c>
      <c r="V7" s="27">
        <v>14687</v>
      </c>
      <c r="W7" s="26"/>
      <c r="X7" s="26"/>
    </row>
    <row r="8" spans="1:24" s="5" customFormat="1" x14ac:dyDescent="0.15">
      <c r="A8" s="5" t="s">
        <v>18</v>
      </c>
      <c r="B8" s="30">
        <f t="shared" ref="B8:R8" si="1">B6-B7</f>
        <v>7399</v>
      </c>
      <c r="C8" s="30">
        <f t="shared" si="1"/>
        <v>10072</v>
      </c>
      <c r="D8" s="30">
        <f t="shared" si="1"/>
        <v>10903</v>
      </c>
      <c r="E8" s="30">
        <f t="shared" si="1"/>
        <v>10549</v>
      </c>
      <c r="F8" s="39">
        <f t="shared" si="1"/>
        <v>8258</v>
      </c>
      <c r="G8" s="30">
        <f t="shared" si="1"/>
        <v>9526</v>
      </c>
      <c r="H8" s="30">
        <f t="shared" si="1"/>
        <v>8997</v>
      </c>
      <c r="I8" s="30">
        <f t="shared" si="1"/>
        <v>8491</v>
      </c>
      <c r="J8" s="39">
        <f t="shared" si="1"/>
        <v>7658</v>
      </c>
      <c r="K8" s="30">
        <f t="shared" si="1"/>
        <v>10292</v>
      </c>
      <c r="L8" s="30">
        <f t="shared" si="1"/>
        <v>11688</v>
      </c>
      <c r="M8" s="30">
        <f t="shared" si="1"/>
        <v>12110</v>
      </c>
      <c r="N8" s="39">
        <f t="shared" si="1"/>
        <v>11004</v>
      </c>
      <c r="O8" s="30">
        <f t="shared" si="1"/>
        <v>13960</v>
      </c>
      <c r="P8" s="30">
        <f t="shared" si="1"/>
        <v>13985</v>
      </c>
      <c r="Q8" s="30">
        <f t="shared" si="1"/>
        <v>11584</v>
      </c>
      <c r="R8" s="39">
        <f t="shared" si="1"/>
        <v>9284</v>
      </c>
      <c r="S8" s="30">
        <f t="shared" ref="S8:T8" si="2">S6-S7</f>
        <v>10160</v>
      </c>
      <c r="T8" s="30">
        <f t="shared" si="2"/>
        <v>11702</v>
      </c>
      <c r="U8" s="30">
        <f t="shared" ref="U8:V8" si="3">U6-U7</f>
        <v>13367</v>
      </c>
      <c r="V8" s="39">
        <f t="shared" si="3"/>
        <v>7858</v>
      </c>
      <c r="W8" s="26"/>
      <c r="X8" s="26"/>
    </row>
    <row r="9" spans="1:24" s="5" customFormat="1" x14ac:dyDescent="0.15">
      <c r="A9" s="5" t="s">
        <v>19</v>
      </c>
      <c r="B9" s="26">
        <v>2286</v>
      </c>
      <c r="C9" s="26">
        <v>2713</v>
      </c>
      <c r="D9" s="26">
        <v>2690</v>
      </c>
      <c r="E9" s="26">
        <v>2487</v>
      </c>
      <c r="F9" s="27">
        <v>2101</v>
      </c>
      <c r="G9" s="26">
        <v>2465</v>
      </c>
      <c r="H9" s="26">
        <v>2614</v>
      </c>
      <c r="I9" s="26">
        <v>2972</v>
      </c>
      <c r="J9" s="27">
        <v>2835</v>
      </c>
      <c r="K9" s="26">
        <v>3148</v>
      </c>
      <c r="L9" s="26">
        <v>3242</v>
      </c>
      <c r="M9" s="26">
        <v>3704</v>
      </c>
      <c r="N9" s="27">
        <v>3294</v>
      </c>
      <c r="O9" s="26">
        <v>4033</v>
      </c>
      <c r="P9" s="26">
        <v>3916</v>
      </c>
      <c r="Q9" s="26">
        <v>4529</v>
      </c>
      <c r="R9" s="27">
        <v>4166</v>
      </c>
      <c r="S9" s="26">
        <v>4734</v>
      </c>
      <c r="T9" s="26">
        <v>4690</v>
      </c>
      <c r="U9" s="26">
        <v>4756</v>
      </c>
      <c r="V9" s="27">
        <v>4443</v>
      </c>
      <c r="W9" s="26"/>
      <c r="X9" s="26"/>
    </row>
    <row r="10" spans="1:24" s="5" customFormat="1" x14ac:dyDescent="0.15">
      <c r="A10" s="5" t="s">
        <v>41</v>
      </c>
      <c r="B10" s="26">
        <v>2957</v>
      </c>
      <c r="C10" s="26">
        <v>3890</v>
      </c>
      <c r="D10" s="26">
        <v>5702</v>
      </c>
      <c r="E10" s="26">
        <v>4528</v>
      </c>
      <c r="F10" s="27">
        <v>3946</v>
      </c>
      <c r="G10" s="26">
        <v>4194</v>
      </c>
      <c r="H10" s="26">
        <v>3596</v>
      </c>
      <c r="I10" s="26">
        <v>3334</v>
      </c>
      <c r="J10" s="27">
        <v>2817</v>
      </c>
      <c r="K10" s="26">
        <v>2934</v>
      </c>
      <c r="L10" s="26">
        <v>3746</v>
      </c>
      <c r="M10" s="26">
        <v>3632</v>
      </c>
      <c r="N10" s="27">
        <v>3142</v>
      </c>
      <c r="O10" s="26">
        <v>4505</v>
      </c>
      <c r="P10" s="26">
        <v>5641</v>
      </c>
      <c r="Q10" s="26">
        <v>5943</v>
      </c>
      <c r="R10" s="27">
        <v>6054</v>
      </c>
      <c r="S10" s="26">
        <v>5243</v>
      </c>
      <c r="T10" s="26">
        <v>4657</v>
      </c>
      <c r="U10" s="26">
        <v>3956</v>
      </c>
      <c r="V10" s="27">
        <v>3852</v>
      </c>
      <c r="W10" s="26"/>
      <c r="X10" s="26"/>
    </row>
    <row r="11" spans="1:24" s="5" customFormat="1" x14ac:dyDescent="0.15">
      <c r="A11" s="5" t="s">
        <v>20</v>
      </c>
      <c r="B11" s="30">
        <f t="shared" ref="B11:Q11" si="4">SUM(B9:B10)</f>
        <v>5243</v>
      </c>
      <c r="C11" s="30">
        <f t="shared" si="4"/>
        <v>6603</v>
      </c>
      <c r="D11" s="30">
        <f t="shared" si="4"/>
        <v>8392</v>
      </c>
      <c r="E11" s="30">
        <f t="shared" si="4"/>
        <v>7015</v>
      </c>
      <c r="F11" s="39">
        <f t="shared" si="4"/>
        <v>6047</v>
      </c>
      <c r="G11" s="30">
        <f t="shared" si="4"/>
        <v>6659</v>
      </c>
      <c r="H11" s="30">
        <f t="shared" si="4"/>
        <v>6210</v>
      </c>
      <c r="I11" s="30">
        <f t="shared" si="4"/>
        <v>6306</v>
      </c>
      <c r="J11" s="39">
        <f t="shared" si="4"/>
        <v>5652</v>
      </c>
      <c r="K11" s="30">
        <f t="shared" si="4"/>
        <v>6082</v>
      </c>
      <c r="L11" s="30">
        <f t="shared" si="4"/>
        <v>6988</v>
      </c>
      <c r="M11" s="30">
        <f t="shared" si="4"/>
        <v>7336</v>
      </c>
      <c r="N11" s="39">
        <f t="shared" si="4"/>
        <v>6436</v>
      </c>
      <c r="O11" s="30">
        <f t="shared" si="4"/>
        <v>8538</v>
      </c>
      <c r="P11" s="30">
        <f t="shared" si="4"/>
        <v>9557</v>
      </c>
      <c r="Q11" s="30">
        <f t="shared" si="4"/>
        <v>10472</v>
      </c>
      <c r="R11" s="39">
        <f t="shared" ref="R11:S11" si="5">SUM(R9:R10)</f>
        <v>10220</v>
      </c>
      <c r="S11" s="30">
        <f t="shared" si="5"/>
        <v>9977</v>
      </c>
      <c r="T11" s="30">
        <f t="shared" ref="T11:U11" si="6">SUM(T9:T10)</f>
        <v>9347</v>
      </c>
      <c r="U11" s="30">
        <f t="shared" si="6"/>
        <v>8712</v>
      </c>
      <c r="V11" s="39">
        <f t="shared" ref="V11" si="7">SUM(V9:V10)</f>
        <v>8295</v>
      </c>
      <c r="W11" s="26"/>
      <c r="X11" s="26"/>
    </row>
    <row r="12" spans="1:24" s="5" customFormat="1" x14ac:dyDescent="0.15">
      <c r="A12" s="5" t="s">
        <v>21</v>
      </c>
      <c r="B12" s="30">
        <f t="shared" ref="B12:Q12" si="8">B8-B11</f>
        <v>2156</v>
      </c>
      <c r="C12" s="30">
        <f t="shared" si="8"/>
        <v>3469</v>
      </c>
      <c r="D12" s="30">
        <f t="shared" si="8"/>
        <v>2511</v>
      </c>
      <c r="E12" s="30">
        <f t="shared" si="8"/>
        <v>3534</v>
      </c>
      <c r="F12" s="39">
        <f t="shared" si="8"/>
        <v>2211</v>
      </c>
      <c r="G12" s="30">
        <f t="shared" si="8"/>
        <v>2867</v>
      </c>
      <c r="H12" s="30">
        <f t="shared" si="8"/>
        <v>2787</v>
      </c>
      <c r="I12" s="30">
        <f t="shared" si="8"/>
        <v>2185</v>
      </c>
      <c r="J12" s="39">
        <f t="shared" si="8"/>
        <v>2006</v>
      </c>
      <c r="K12" s="30">
        <f t="shared" si="8"/>
        <v>4210</v>
      </c>
      <c r="L12" s="30">
        <f t="shared" si="8"/>
        <v>4700</v>
      </c>
      <c r="M12" s="30">
        <f t="shared" si="8"/>
        <v>4774</v>
      </c>
      <c r="N12" s="39">
        <f t="shared" si="8"/>
        <v>4568</v>
      </c>
      <c r="O12" s="30">
        <f t="shared" si="8"/>
        <v>5422</v>
      </c>
      <c r="P12" s="30">
        <f t="shared" si="8"/>
        <v>4428</v>
      </c>
      <c r="Q12" s="30">
        <f t="shared" si="8"/>
        <v>1112</v>
      </c>
      <c r="R12" s="39">
        <f t="shared" ref="R12:S12" si="9">R8-R11</f>
        <v>-936</v>
      </c>
      <c r="S12" s="30">
        <f t="shared" si="9"/>
        <v>183</v>
      </c>
      <c r="T12" s="30">
        <f t="shared" ref="T12:U12" si="10">T8-T11</f>
        <v>2355</v>
      </c>
      <c r="U12" s="30">
        <f t="shared" si="10"/>
        <v>4655</v>
      </c>
      <c r="V12" s="39">
        <f t="shared" ref="V12" si="11">V8-V11</f>
        <v>-437</v>
      </c>
      <c r="W12" s="26"/>
      <c r="X12" s="26"/>
    </row>
    <row r="13" spans="1:24" s="5" customFormat="1" x14ac:dyDescent="0.15">
      <c r="A13" s="5" t="s">
        <v>22</v>
      </c>
      <c r="B13" s="26">
        <v>454</v>
      </c>
      <c r="C13" s="26">
        <v>544</v>
      </c>
      <c r="D13" s="26">
        <v>540</v>
      </c>
      <c r="E13" s="26">
        <v>24697</v>
      </c>
      <c r="F13" s="27">
        <v>443</v>
      </c>
      <c r="G13" s="26">
        <v>329</v>
      </c>
      <c r="H13" s="26">
        <v>1351</v>
      </c>
      <c r="I13" s="26">
        <v>2337</v>
      </c>
      <c r="J13" s="27">
        <f>649-323-101-76+21</f>
        <v>170</v>
      </c>
      <c r="K13" s="26">
        <f>712-334-139-118+643</f>
        <v>764</v>
      </c>
      <c r="L13" s="26">
        <f>876-557-130-73+4229</f>
        <v>4345</v>
      </c>
      <c r="M13" s="26">
        <f>917-400-113+204-294</f>
        <v>314</v>
      </c>
      <c r="N13" s="27">
        <f>821-352-48-177+1856</f>
        <v>2100</v>
      </c>
      <c r="O13" s="26">
        <f>882-478+30+69+231</f>
        <v>734</v>
      </c>
      <c r="P13" s="26">
        <f>1258-479-54+419+7877</f>
        <v>9021</v>
      </c>
      <c r="Q13" s="26">
        <f>1490-574-50-390-536</f>
        <v>-60</v>
      </c>
      <c r="R13" s="27">
        <v>900</v>
      </c>
      <c r="S13" s="26">
        <v>1238</v>
      </c>
      <c r="T13" s="26">
        <v>-9484</v>
      </c>
      <c r="U13" s="26">
        <v>699</v>
      </c>
      <c r="V13" s="27">
        <v>-1043</v>
      </c>
      <c r="W13" s="26"/>
      <c r="X13" s="26"/>
    </row>
    <row r="14" spans="1:24" s="5" customFormat="1" x14ac:dyDescent="0.15">
      <c r="A14" s="5" t="s">
        <v>23</v>
      </c>
      <c r="B14" s="30">
        <f t="shared" ref="B14:R14" si="12">B12+B13</f>
        <v>2610</v>
      </c>
      <c r="C14" s="30">
        <f t="shared" si="12"/>
        <v>4013</v>
      </c>
      <c r="D14" s="30">
        <f t="shared" si="12"/>
        <v>3051</v>
      </c>
      <c r="E14" s="30">
        <f t="shared" si="12"/>
        <v>28231</v>
      </c>
      <c r="F14" s="39">
        <f t="shared" si="12"/>
        <v>2654</v>
      </c>
      <c r="G14" s="30">
        <f t="shared" si="12"/>
        <v>3196</v>
      </c>
      <c r="H14" s="30">
        <f t="shared" si="12"/>
        <v>4138</v>
      </c>
      <c r="I14" s="30">
        <f t="shared" si="12"/>
        <v>4522</v>
      </c>
      <c r="J14" s="39">
        <f t="shared" si="12"/>
        <v>2176</v>
      </c>
      <c r="K14" s="30">
        <f t="shared" si="12"/>
        <v>4974</v>
      </c>
      <c r="L14" s="30">
        <f t="shared" si="12"/>
        <v>9045</v>
      </c>
      <c r="M14" s="30">
        <f t="shared" si="12"/>
        <v>5088</v>
      </c>
      <c r="N14" s="39">
        <f t="shared" si="12"/>
        <v>6668</v>
      </c>
      <c r="O14" s="30">
        <f t="shared" si="12"/>
        <v>6156</v>
      </c>
      <c r="P14" s="30">
        <f t="shared" si="12"/>
        <v>13449</v>
      </c>
      <c r="Q14" s="30">
        <f t="shared" si="12"/>
        <v>1052</v>
      </c>
      <c r="R14" s="39">
        <f t="shared" si="12"/>
        <v>-36</v>
      </c>
      <c r="S14" s="30">
        <f t="shared" ref="S14:T14" si="13">S12+S13</f>
        <v>1421</v>
      </c>
      <c r="T14" s="30">
        <f t="shared" si="13"/>
        <v>-7129</v>
      </c>
      <c r="U14" s="30">
        <f t="shared" ref="U14:V14" si="14">U12+U13</f>
        <v>5354</v>
      </c>
      <c r="V14" s="39">
        <f t="shared" si="14"/>
        <v>-1480</v>
      </c>
      <c r="W14" s="26"/>
      <c r="X14" s="26"/>
    </row>
    <row r="15" spans="1:24" s="5" customFormat="1" x14ac:dyDescent="0.15">
      <c r="A15" s="5" t="s">
        <v>24</v>
      </c>
      <c r="B15" s="26">
        <v>541</v>
      </c>
      <c r="C15" s="26">
        <v>763</v>
      </c>
      <c r="D15" s="26">
        <v>591</v>
      </c>
      <c r="E15" s="26">
        <v>3580</v>
      </c>
      <c r="F15" s="27">
        <v>675</v>
      </c>
      <c r="G15" s="26">
        <v>793</v>
      </c>
      <c r="H15" s="26">
        <v>1045</v>
      </c>
      <c r="I15" s="26">
        <v>401</v>
      </c>
      <c r="J15" s="27">
        <v>405</v>
      </c>
      <c r="K15" s="26">
        <v>564</v>
      </c>
      <c r="L15" s="26">
        <v>1097</v>
      </c>
      <c r="M15" s="26">
        <v>929</v>
      </c>
      <c r="N15" s="27">
        <v>1120</v>
      </c>
      <c r="O15" s="26">
        <v>1086</v>
      </c>
      <c r="P15" s="26">
        <v>2053</v>
      </c>
      <c r="Q15" s="26">
        <v>484</v>
      </c>
      <c r="R15" s="27">
        <v>294</v>
      </c>
      <c r="S15" s="26">
        <v>416</v>
      </c>
      <c r="T15" s="26">
        <v>934</v>
      </c>
      <c r="U15" s="26">
        <v>304</v>
      </c>
      <c r="V15" s="27">
        <v>198</v>
      </c>
      <c r="W15" s="26"/>
      <c r="X15" s="26"/>
    </row>
    <row r="16" spans="1:24" s="28" customFormat="1" x14ac:dyDescent="0.15">
      <c r="A16" s="28" t="s">
        <v>13</v>
      </c>
      <c r="B16" s="29">
        <f t="shared" ref="B16:Q16" si="15">B14-B15</f>
        <v>2069</v>
      </c>
      <c r="C16" s="29">
        <f t="shared" si="15"/>
        <v>3250</v>
      </c>
      <c r="D16" s="29">
        <f t="shared" si="15"/>
        <v>2460</v>
      </c>
      <c r="E16" s="29">
        <f t="shared" si="15"/>
        <v>24651</v>
      </c>
      <c r="F16" s="38">
        <f t="shared" si="15"/>
        <v>1979</v>
      </c>
      <c r="G16" s="29">
        <f t="shared" si="15"/>
        <v>2403</v>
      </c>
      <c r="H16" s="29">
        <f t="shared" si="15"/>
        <v>3093</v>
      </c>
      <c r="I16" s="29">
        <f t="shared" si="15"/>
        <v>4121</v>
      </c>
      <c r="J16" s="38">
        <f t="shared" si="15"/>
        <v>1771</v>
      </c>
      <c r="K16" s="29">
        <f t="shared" si="15"/>
        <v>4410</v>
      </c>
      <c r="L16" s="29">
        <f t="shared" si="15"/>
        <v>7948</v>
      </c>
      <c r="M16" s="29">
        <f t="shared" si="15"/>
        <v>4159</v>
      </c>
      <c r="N16" s="38">
        <f t="shared" si="15"/>
        <v>5548</v>
      </c>
      <c r="O16" s="29">
        <f t="shared" si="15"/>
        <v>5070</v>
      </c>
      <c r="P16" s="29">
        <f t="shared" si="15"/>
        <v>11396</v>
      </c>
      <c r="Q16" s="29">
        <f t="shared" si="15"/>
        <v>568</v>
      </c>
      <c r="R16" s="38">
        <f t="shared" ref="R16:S16" si="16">R14-R15</f>
        <v>-330</v>
      </c>
      <c r="S16" s="29">
        <f t="shared" si="16"/>
        <v>1005</v>
      </c>
      <c r="T16" s="29">
        <f t="shared" ref="T16:U16" si="17">T14-T15</f>
        <v>-8063</v>
      </c>
      <c r="U16" s="29">
        <f t="shared" si="17"/>
        <v>5050</v>
      </c>
      <c r="V16" s="38">
        <f t="shared" ref="V16" si="18">V14-V15</f>
        <v>-1678</v>
      </c>
      <c r="W16" s="45"/>
      <c r="X16" s="45"/>
    </row>
    <row r="17" spans="1:24" s="4" customFormat="1" x14ac:dyDescent="0.15">
      <c r="A17" s="4" t="s">
        <v>25</v>
      </c>
      <c r="B17" s="36">
        <f t="shared" ref="B17:Q17" si="19">B16/B18</f>
        <v>58.666125127387581</v>
      </c>
      <c r="C17" s="36">
        <f t="shared" si="19"/>
        <v>92.150569153104513</v>
      </c>
      <c r="D17" s="36">
        <f t="shared" si="19"/>
        <v>70.429013180446262</v>
      </c>
      <c r="E17" s="36">
        <f t="shared" si="19"/>
        <v>710.81985115603595</v>
      </c>
      <c r="F17" s="40">
        <f t="shared" si="19"/>
        <v>57.061319552962196</v>
      </c>
      <c r="G17" s="36">
        <f t="shared" si="19"/>
        <v>69.156446472982367</v>
      </c>
      <c r="H17" s="36">
        <f t="shared" si="19"/>
        <v>88.969867864644655</v>
      </c>
      <c r="I17" s="36">
        <f t="shared" si="19"/>
        <v>118.36495289858996</v>
      </c>
      <c r="J17" s="40">
        <f t="shared" si="19"/>
        <v>50.788959598630143</v>
      </c>
      <c r="K17" s="36">
        <f t="shared" si="19"/>
        <v>126.63539490300288</v>
      </c>
      <c r="L17" s="36">
        <f t="shared" si="19"/>
        <v>227.14297378450573</v>
      </c>
      <c r="M17" s="36">
        <f t="shared" si="19"/>
        <v>118.4093920314038</v>
      </c>
      <c r="N17" s="40">
        <f t="shared" si="19"/>
        <v>157.69898197746221</v>
      </c>
      <c r="O17" s="36">
        <f t="shared" si="19"/>
        <v>143.62838967248987</v>
      </c>
      <c r="P17" s="36">
        <f t="shared" si="19"/>
        <v>324.12986731296201</v>
      </c>
      <c r="Q17" s="36">
        <f t="shared" si="19"/>
        <v>16.208039084658981</v>
      </c>
      <c r="R17" s="40">
        <f t="shared" ref="R17:S17" si="20">R16/R18</f>
        <v>-9.4375659682286344</v>
      </c>
      <c r="S17" s="36">
        <f t="shared" si="20"/>
        <v>28.677644697336564</v>
      </c>
      <c r="T17" s="36">
        <f t="shared" ref="T17:U17" si="21">T16/T18</f>
        <v>-231.74201707239962</v>
      </c>
      <c r="U17" s="36">
        <f t="shared" si="21"/>
        <v>145.89472467787601</v>
      </c>
      <c r="V17" s="40">
        <f t="shared" ref="V17" si="22">V16/V18</f>
        <v>-48.276734903443511</v>
      </c>
      <c r="W17" s="46"/>
      <c r="X17" s="46"/>
    </row>
    <row r="18" spans="1:24" s="5" customFormat="1" x14ac:dyDescent="0.15">
      <c r="A18" s="5" t="s">
        <v>2</v>
      </c>
      <c r="B18" s="26">
        <v>35.267370999999997</v>
      </c>
      <c r="C18" s="26">
        <v>35.268366</v>
      </c>
      <c r="D18" s="26">
        <v>34.928787</v>
      </c>
      <c r="E18" s="26">
        <v>34.679673000000001</v>
      </c>
      <c r="F18" s="27">
        <v>34.681987999999997</v>
      </c>
      <c r="G18" s="26">
        <v>34.747303000000002</v>
      </c>
      <c r="H18" s="26">
        <v>34.764578999999998</v>
      </c>
      <c r="I18" s="26">
        <v>34.816049</v>
      </c>
      <c r="J18" s="27">
        <v>34.869782999999998</v>
      </c>
      <c r="K18" s="26">
        <v>34.824387000000002</v>
      </c>
      <c r="L18" s="26">
        <v>34.991177</v>
      </c>
      <c r="M18" s="26">
        <v>35.123902999999999</v>
      </c>
      <c r="N18" s="27">
        <v>35.180950000000003</v>
      </c>
      <c r="O18" s="26">
        <v>35.299427999999999</v>
      </c>
      <c r="P18" s="26">
        <v>35.158746999999998</v>
      </c>
      <c r="Q18" s="26">
        <v>35.044338000000003</v>
      </c>
      <c r="R18" s="27">
        <v>34.966642999999998</v>
      </c>
      <c r="S18" s="26">
        <v>35.044719000000001</v>
      </c>
      <c r="T18" s="26">
        <v>34.792999999999999</v>
      </c>
      <c r="U18" s="26">
        <v>34.613999999999997</v>
      </c>
      <c r="V18" s="27">
        <v>34.757942999999997</v>
      </c>
      <c r="W18" s="26"/>
      <c r="X18" s="26"/>
    </row>
    <row r="20" spans="1:24" s="2" customFormat="1" x14ac:dyDescent="0.15">
      <c r="A20" s="2" t="s">
        <v>14</v>
      </c>
      <c r="B20" s="34"/>
      <c r="C20" s="34"/>
      <c r="D20" s="34"/>
      <c r="E20" s="32"/>
      <c r="F20" s="41">
        <f t="shared" ref="F20:T20" si="23">F6/B6-1</f>
        <v>0.24330058939096277</v>
      </c>
      <c r="G20" s="34">
        <f t="shared" si="23"/>
        <v>0.10190045248868773</v>
      </c>
      <c r="H20" s="34">
        <f t="shared" si="23"/>
        <v>-7.0717510743621981E-3</v>
      </c>
      <c r="I20" s="34">
        <f t="shared" si="23"/>
        <v>-2.5938603059150744E-2</v>
      </c>
      <c r="J20" s="41">
        <f t="shared" si="23"/>
        <v>6.7631628847734104E-2</v>
      </c>
      <c r="K20" s="34">
        <f t="shared" si="23"/>
        <v>0.14290407358738499</v>
      </c>
      <c r="L20" s="34">
        <f t="shared" si="23"/>
        <v>0.28685695502109243</v>
      </c>
      <c r="M20" s="34">
        <f t="shared" si="23"/>
        <v>0.29336188436830835</v>
      </c>
      <c r="N20" s="41">
        <f t="shared" si="23"/>
        <v>0.23775975371499625</v>
      </c>
      <c r="O20" s="34">
        <f t="shared" si="23"/>
        <v>0.2442272683721376</v>
      </c>
      <c r="P20" s="34">
        <f t="shared" si="23"/>
        <v>0.20068968453318581</v>
      </c>
      <c r="Q20" s="34">
        <f t="shared" si="23"/>
        <v>0.15448293428425885</v>
      </c>
      <c r="R20" s="41">
        <f t="shared" si="23"/>
        <v>0.15382407805998</v>
      </c>
      <c r="S20" s="34">
        <f t="shared" si="23"/>
        <v>1.363006314492532E-2</v>
      </c>
      <c r="T20" s="34">
        <f t="shared" si="23"/>
        <v>-4.3612381661525257E-3</v>
      </c>
      <c r="U20" s="34">
        <f>U6/Q6-1</f>
        <v>6.2107004964147894E-2</v>
      </c>
      <c r="V20" s="41">
        <f>V6/R6-1</f>
        <v>-6.5414749409277495E-2</v>
      </c>
      <c r="W20" s="32"/>
      <c r="X20" s="32"/>
    </row>
    <row r="21" spans="1:24" x14ac:dyDescent="0.15">
      <c r="A21" s="3" t="s">
        <v>26</v>
      </c>
      <c r="B21" s="31"/>
      <c r="C21" s="31"/>
      <c r="D21" s="31"/>
      <c r="F21" s="35">
        <f t="shared" ref="F21:R22" si="24">F9/B9-1</f>
        <v>-8.0927384076990405E-2</v>
      </c>
      <c r="G21" s="31">
        <f t="shared" si="24"/>
        <v>-9.1411721341688179E-2</v>
      </c>
      <c r="H21" s="31">
        <f t="shared" si="24"/>
        <v>-2.8252788104089266E-2</v>
      </c>
      <c r="I21" s="31">
        <f t="shared" si="24"/>
        <v>0.19501407318053876</v>
      </c>
      <c r="J21" s="35">
        <f t="shared" si="24"/>
        <v>0.34935744883388864</v>
      </c>
      <c r="K21" s="31">
        <f t="shared" si="24"/>
        <v>0.27707910750507092</v>
      </c>
      <c r="L21" s="31">
        <f t="shared" si="24"/>
        <v>0.24024483550114772</v>
      </c>
      <c r="M21" s="31">
        <f t="shared" si="24"/>
        <v>0.24629878869448185</v>
      </c>
      <c r="N21" s="35">
        <f t="shared" si="24"/>
        <v>0.161904761904762</v>
      </c>
      <c r="O21" s="31">
        <f t="shared" si="24"/>
        <v>0.28113087674714099</v>
      </c>
      <c r="P21" s="31">
        <f t="shared" si="24"/>
        <v>0.20789636027143743</v>
      </c>
      <c r="Q21" s="31">
        <f t="shared" si="24"/>
        <v>0.2227321814254859</v>
      </c>
      <c r="R21" s="35">
        <f t="shared" si="24"/>
        <v>0.26472374013357625</v>
      </c>
      <c r="S21" s="31">
        <f t="shared" ref="S21:V22" si="25">S9/O9-1</f>
        <v>0.17381601785271505</v>
      </c>
      <c r="T21" s="31">
        <f t="shared" si="25"/>
        <v>0.19765066394279884</v>
      </c>
      <c r="U21" s="31">
        <f t="shared" si="25"/>
        <v>5.0121439611393148E-2</v>
      </c>
      <c r="V21" s="35">
        <f t="shared" si="25"/>
        <v>6.6490638502160415E-2</v>
      </c>
    </row>
    <row r="22" spans="1:24" x14ac:dyDescent="0.15">
      <c r="A22" s="3" t="s">
        <v>42</v>
      </c>
      <c r="B22" s="31"/>
      <c r="C22" s="31"/>
      <c r="D22" s="31"/>
      <c r="F22" s="35">
        <f t="shared" si="24"/>
        <v>0.33446060196144733</v>
      </c>
      <c r="G22" s="31">
        <f t="shared" si="24"/>
        <v>7.8149100257069337E-2</v>
      </c>
      <c r="H22" s="31">
        <f t="shared" si="24"/>
        <v>-0.36934408979305511</v>
      </c>
      <c r="I22" s="31">
        <f t="shared" si="24"/>
        <v>-0.26369257950530034</v>
      </c>
      <c r="J22" s="35">
        <f t="shared" si="24"/>
        <v>-0.28611251900658896</v>
      </c>
      <c r="K22" s="31">
        <f t="shared" si="24"/>
        <v>-0.30042918454935619</v>
      </c>
      <c r="L22" s="31">
        <f t="shared" si="24"/>
        <v>4.1713014460511788E-2</v>
      </c>
      <c r="M22" s="31">
        <f t="shared" si="24"/>
        <v>8.9382123575284966E-2</v>
      </c>
      <c r="N22" s="35">
        <f t="shared" si="24"/>
        <v>0.11537096201632946</v>
      </c>
      <c r="O22" s="31">
        <f t="shared" si="24"/>
        <v>0.53544648943421946</v>
      </c>
      <c r="P22" s="31">
        <f t="shared" si="24"/>
        <v>0.50587293112653486</v>
      </c>
      <c r="Q22" s="31">
        <f t="shared" si="24"/>
        <v>0.63628854625550657</v>
      </c>
      <c r="R22" s="35">
        <f t="shared" si="24"/>
        <v>0.92679821769573523</v>
      </c>
      <c r="S22" s="31">
        <f t="shared" si="25"/>
        <v>0.1638179800221975</v>
      </c>
      <c r="T22" s="31">
        <f t="shared" si="25"/>
        <v>-0.17443715653252967</v>
      </c>
      <c r="U22" s="31">
        <f t="shared" si="25"/>
        <v>-0.33434292444893154</v>
      </c>
      <c r="V22" s="35">
        <f t="shared" si="25"/>
        <v>-0.36372646184340929</v>
      </c>
    </row>
    <row r="24" spans="1:24" x14ac:dyDescent="0.15">
      <c r="A24" s="3" t="s">
        <v>27</v>
      </c>
      <c r="B24" s="31">
        <f t="shared" ref="B24:Q24" si="26">B8/B6</f>
        <v>0.58145383104125736</v>
      </c>
      <c r="C24" s="31">
        <f t="shared" si="26"/>
        <v>0.60766214177978883</v>
      </c>
      <c r="D24" s="31">
        <f t="shared" si="26"/>
        <v>0.59310232279823749</v>
      </c>
      <c r="E24" s="31">
        <f t="shared" si="26"/>
        <v>0.56417798695047594</v>
      </c>
      <c r="F24" s="35">
        <f t="shared" si="26"/>
        <v>0.52196447759307252</v>
      </c>
      <c r="G24" s="31">
        <f t="shared" si="26"/>
        <v>0.52157249233464742</v>
      </c>
      <c r="H24" s="31">
        <f t="shared" si="26"/>
        <v>0.49290527584506655</v>
      </c>
      <c r="I24" s="31">
        <f t="shared" si="26"/>
        <v>0.46620545764014715</v>
      </c>
      <c r="J24" s="35">
        <f t="shared" si="26"/>
        <v>0.45337753833402406</v>
      </c>
      <c r="K24" s="31">
        <f t="shared" si="26"/>
        <v>0.49305355945194979</v>
      </c>
      <c r="L24" s="31">
        <f t="shared" si="26"/>
        <v>0.49759461875771638</v>
      </c>
      <c r="M24" s="31">
        <f t="shared" si="26"/>
        <v>0.51409407369672266</v>
      </c>
      <c r="N24" s="35">
        <f t="shared" si="26"/>
        <v>0.52633089395896115</v>
      </c>
      <c r="O24" s="31">
        <f t="shared" si="26"/>
        <v>0.53750192515016171</v>
      </c>
      <c r="P24" s="31">
        <f t="shared" si="26"/>
        <v>0.49586923376945713</v>
      </c>
      <c r="Q24" s="31">
        <f t="shared" si="26"/>
        <v>0.42596065453208309</v>
      </c>
      <c r="R24" s="35">
        <f t="shared" ref="R24:S24" si="27">R8/R6</f>
        <v>0.38486092111263109</v>
      </c>
      <c r="S24" s="31">
        <f t="shared" si="27"/>
        <v>0.38593025905948491</v>
      </c>
      <c r="T24" s="31">
        <f t="shared" ref="T24:U24" si="28">T8/T6</f>
        <v>0.41673789173789172</v>
      </c>
      <c r="U24" s="31">
        <f t="shared" si="28"/>
        <v>0.4627821631352998</v>
      </c>
      <c r="V24" s="35">
        <f t="shared" ref="V24" si="29">V8/V6</f>
        <v>0.34854734974495455</v>
      </c>
    </row>
    <row r="25" spans="1:24" x14ac:dyDescent="0.15">
      <c r="A25" s="3" t="s">
        <v>28</v>
      </c>
      <c r="B25" s="31">
        <f t="shared" ref="B25:Q25" si="30">B12/B6</f>
        <v>0.1694302554027505</v>
      </c>
      <c r="C25" s="31">
        <f t="shared" si="30"/>
        <v>0.20929110105580695</v>
      </c>
      <c r="D25" s="31">
        <f t="shared" si="30"/>
        <v>0.13659359190556492</v>
      </c>
      <c r="E25" s="31">
        <f t="shared" si="30"/>
        <v>0.18900417156915178</v>
      </c>
      <c r="F25" s="35">
        <f t="shared" si="30"/>
        <v>0.1397509639087289</v>
      </c>
      <c r="G25" s="31">
        <f t="shared" si="30"/>
        <v>0.15697547087166008</v>
      </c>
      <c r="H25" s="31">
        <f t="shared" si="30"/>
        <v>0.15268722949652111</v>
      </c>
      <c r="I25" s="31">
        <f t="shared" si="30"/>
        <v>0.11996925273156536</v>
      </c>
      <c r="J25" s="35">
        <f t="shared" si="30"/>
        <v>0.11876147060564798</v>
      </c>
      <c r="K25" s="31">
        <f t="shared" si="30"/>
        <v>0.20168630832614737</v>
      </c>
      <c r="L25" s="31">
        <f t="shared" si="30"/>
        <v>0.20009366086253139</v>
      </c>
      <c r="M25" s="31">
        <f t="shared" si="30"/>
        <v>0.20266598743419936</v>
      </c>
      <c r="N25" s="35">
        <f t="shared" si="30"/>
        <v>0.21849141435882719</v>
      </c>
      <c r="O25" s="31">
        <f t="shared" si="30"/>
        <v>0.20876328353611581</v>
      </c>
      <c r="P25" s="31">
        <f t="shared" si="30"/>
        <v>0.15700457398149134</v>
      </c>
      <c r="Q25" s="31">
        <f t="shared" si="30"/>
        <v>4.088986946129803E-2</v>
      </c>
      <c r="R25" s="35">
        <f t="shared" ref="R25:S25" si="31">R12/R6</f>
        <v>-3.8801144136301452E-2</v>
      </c>
      <c r="S25" s="31">
        <f t="shared" si="31"/>
        <v>6.9513028944769425E-3</v>
      </c>
      <c r="T25" s="31">
        <f t="shared" ref="T25:U25" si="32">T12/T6</f>
        <v>8.3867521367521361E-2</v>
      </c>
      <c r="U25" s="31">
        <f t="shared" si="32"/>
        <v>0.16116188893505054</v>
      </c>
      <c r="V25" s="35">
        <f t="shared" ref="V25" si="33">V12/V6</f>
        <v>-1.9383455311599025E-2</v>
      </c>
    </row>
    <row r="26" spans="1:24" x14ac:dyDescent="0.15">
      <c r="A26" s="3" t="s">
        <v>29</v>
      </c>
      <c r="B26" s="31">
        <f t="shared" ref="B26:Q26" si="34">B15/B14</f>
        <v>0.20727969348659003</v>
      </c>
      <c r="C26" s="31">
        <f t="shared" si="34"/>
        <v>0.1901320707699975</v>
      </c>
      <c r="D26" s="31">
        <f t="shared" si="34"/>
        <v>0.19370698131760078</v>
      </c>
      <c r="E26" s="31">
        <f t="shared" si="34"/>
        <v>0.12681095249902588</v>
      </c>
      <c r="F26" s="35">
        <f t="shared" si="34"/>
        <v>0.25433308214016581</v>
      </c>
      <c r="G26" s="31">
        <f t="shared" si="34"/>
        <v>0.24812265331664582</v>
      </c>
      <c r="H26" s="31">
        <f t="shared" si="34"/>
        <v>0.25253745770903818</v>
      </c>
      <c r="I26" s="31">
        <f t="shared" si="34"/>
        <v>8.867757629367537E-2</v>
      </c>
      <c r="J26" s="35">
        <f t="shared" si="34"/>
        <v>0.18612132352941177</v>
      </c>
      <c r="K26" s="31">
        <f t="shared" si="34"/>
        <v>0.11338962605548854</v>
      </c>
      <c r="L26" s="31">
        <f t="shared" si="34"/>
        <v>0.12128247650635711</v>
      </c>
      <c r="M26" s="31">
        <f t="shared" si="34"/>
        <v>0.18258647798742139</v>
      </c>
      <c r="N26" s="35">
        <f t="shared" si="34"/>
        <v>0.16796640671865626</v>
      </c>
      <c r="O26" s="31">
        <f t="shared" si="34"/>
        <v>0.17641325536062377</v>
      </c>
      <c r="P26" s="31">
        <f t="shared" si="34"/>
        <v>0.15265075470295189</v>
      </c>
      <c r="Q26" s="31">
        <f t="shared" si="34"/>
        <v>0.46007604562737642</v>
      </c>
      <c r="R26" s="35">
        <f t="shared" ref="R26:S26" si="35">R15/R14</f>
        <v>-8.1666666666666661</v>
      </c>
      <c r="S26" s="31">
        <f t="shared" si="35"/>
        <v>0.29275158339197749</v>
      </c>
      <c r="T26" s="31">
        <f t="shared" ref="T26:U26" si="36">T15/T14</f>
        <v>-0.13101416748492076</v>
      </c>
      <c r="U26" s="31">
        <f t="shared" si="36"/>
        <v>5.6779977586850952E-2</v>
      </c>
      <c r="V26" s="35">
        <f t="shared" ref="V26" si="37">V15/V14</f>
        <v>-0.13378378378378378</v>
      </c>
    </row>
    <row r="28" spans="1:24" s="2" customFormat="1" x14ac:dyDescent="0.15">
      <c r="A28" s="2" t="s">
        <v>4</v>
      </c>
      <c r="B28" s="32"/>
      <c r="C28" s="32"/>
      <c r="D28" s="22"/>
      <c r="E28" s="22"/>
      <c r="F28" s="33"/>
      <c r="G28" s="32"/>
      <c r="H28" s="22"/>
      <c r="I28" s="22"/>
      <c r="J28" s="33"/>
      <c r="K28" s="32"/>
      <c r="L28" s="22"/>
      <c r="M28" s="29">
        <f t="shared" ref="M28:S28" si="38">M29-M30</f>
        <v>131784</v>
      </c>
      <c r="N28" s="38">
        <f t="shared" si="38"/>
        <v>119373</v>
      </c>
      <c r="O28" s="29">
        <f t="shared" si="38"/>
        <v>169991</v>
      </c>
      <c r="P28" s="29">
        <f t="shared" si="38"/>
        <v>135845</v>
      </c>
      <c r="Q28" s="29">
        <f t="shared" si="38"/>
        <v>157003</v>
      </c>
      <c r="R28" s="38">
        <f t="shared" si="38"/>
        <v>153377</v>
      </c>
      <c r="S28" s="29">
        <f t="shared" si="38"/>
        <v>158816</v>
      </c>
      <c r="T28" s="29">
        <f t="shared" ref="T28:V28" si="39">T29-T30</f>
        <v>144669</v>
      </c>
      <c r="U28" s="29">
        <f t="shared" si="39"/>
        <v>150008</v>
      </c>
      <c r="V28" s="38">
        <f t="shared" si="39"/>
        <v>148381</v>
      </c>
      <c r="W28" s="32"/>
      <c r="X28" s="32"/>
    </row>
    <row r="29" spans="1:24" s="5" customFormat="1" x14ac:dyDescent="0.15">
      <c r="A29" s="5" t="s">
        <v>37</v>
      </c>
      <c r="B29" s="26"/>
      <c r="C29" s="26"/>
      <c r="D29" s="22"/>
      <c r="E29" s="22"/>
      <c r="F29" s="27"/>
      <c r="G29" s="26"/>
      <c r="H29" s="22"/>
      <c r="I29" s="22"/>
      <c r="J29" s="27"/>
      <c r="K29" s="26"/>
      <c r="L29" s="22"/>
      <c r="M29" s="26">
        <f>11084+252+89381+18350+56283</f>
        <v>175350</v>
      </c>
      <c r="N29" s="27">
        <f>21025+89433+59488</f>
        <v>169946</v>
      </c>
      <c r="O29" s="26">
        <f>28859+681+98725+63123</f>
        <v>191388</v>
      </c>
      <c r="P29" s="26">
        <f>15775+15+88716+80589</f>
        <v>185095</v>
      </c>
      <c r="Q29" s="26">
        <f>27638+2189+111626+80454</f>
        <v>221907</v>
      </c>
      <c r="R29" s="27">
        <f>32390+2177+109062+80685</f>
        <v>224314</v>
      </c>
      <c r="S29" s="26">
        <f>20718+2221+114374+83648</f>
        <v>220961</v>
      </c>
      <c r="T29" s="26">
        <f>14564+120233+78489</f>
        <v>213286</v>
      </c>
      <c r="U29" s="26">
        <f>33443+996+112924+69410</f>
        <v>216773</v>
      </c>
      <c r="V29" s="27">
        <f>21761+1009+123916+69599</f>
        <v>216285</v>
      </c>
      <c r="W29" s="26"/>
      <c r="X29" s="26"/>
    </row>
    <row r="30" spans="1:24" s="5" customFormat="1" x14ac:dyDescent="0.15">
      <c r="A30" s="5" t="s">
        <v>38</v>
      </c>
      <c r="B30" s="26"/>
      <c r="C30" s="26"/>
      <c r="D30" s="22"/>
      <c r="E30" s="22"/>
      <c r="F30" s="27"/>
      <c r="G30" s="26"/>
      <c r="H30" s="22"/>
      <c r="I30" s="22"/>
      <c r="J30" s="27"/>
      <c r="K30" s="26"/>
      <c r="L30" s="22"/>
      <c r="M30" s="26">
        <f>1244+10+6500+6701+29111</f>
        <v>43566</v>
      </c>
      <c r="N30" s="27">
        <f>397+10+6270+6473+37423</f>
        <v>50573</v>
      </c>
      <c r="O30" s="26">
        <f>633+10+13220+7534</f>
        <v>21397</v>
      </c>
      <c r="P30" s="26">
        <f>1173+10+6856+7069+34142</f>
        <v>49250</v>
      </c>
      <c r="Q30" s="26">
        <f>3046+84+6871+7456+42735+4712</f>
        <v>64904</v>
      </c>
      <c r="R30" s="27">
        <f>3586+79+6708+7304+41707+11553</f>
        <v>70937</v>
      </c>
      <c r="S30" s="26">
        <f>353+5142+7197+37534+11919</f>
        <v>62145</v>
      </c>
      <c r="T30" s="26">
        <f>3510+363+5356+7774+39096+12518</f>
        <v>68617</v>
      </c>
      <c r="U30" s="26">
        <f>2618+737+5219+7804+38090+12297</f>
        <v>66765</v>
      </c>
      <c r="V30" s="27">
        <f>2572+746+5308+7927+38740+12611</f>
        <v>67904</v>
      </c>
      <c r="W30" s="26"/>
      <c r="X30" s="26"/>
    </row>
    <row r="32" spans="1:24" s="5" customFormat="1" x14ac:dyDescent="0.15">
      <c r="A32" s="5" t="s">
        <v>31</v>
      </c>
      <c r="B32" s="26"/>
      <c r="C32" s="26"/>
      <c r="D32" s="22"/>
      <c r="E32" s="22"/>
      <c r="F32" s="27"/>
      <c r="G32" s="26"/>
      <c r="H32" s="22"/>
      <c r="I32" s="22"/>
      <c r="J32" s="27"/>
      <c r="K32" s="26"/>
      <c r="L32" s="22"/>
      <c r="M32" s="26">
        <f>5467+15806</f>
        <v>21273</v>
      </c>
      <c r="N32" s="27">
        <f>8732+17051</f>
        <v>25783</v>
      </c>
      <c r="O32" s="26">
        <f>6875+15806</f>
        <v>22681</v>
      </c>
      <c r="P32" s="26">
        <f>8732+17051</f>
        <v>25783</v>
      </c>
      <c r="Q32" s="26">
        <f>9181+18536</f>
        <v>27717</v>
      </c>
      <c r="R32" s="27">
        <f>19096+80685</f>
        <v>99781</v>
      </c>
      <c r="S32" s="26">
        <f>19096+83648</f>
        <v>102744</v>
      </c>
      <c r="T32" s="26">
        <f>19103+8950</f>
        <v>28053</v>
      </c>
      <c r="U32" s="26">
        <f>7887+18250</f>
        <v>26137</v>
      </c>
      <c r="V32" s="27">
        <f>18250+1226</f>
        <v>19476</v>
      </c>
      <c r="W32" s="26"/>
      <c r="X32" s="26"/>
    </row>
    <row r="33" spans="1:24" s="5" customFormat="1" x14ac:dyDescent="0.15">
      <c r="A33" s="5" t="s">
        <v>32</v>
      </c>
      <c r="B33" s="26"/>
      <c r="C33" s="26"/>
      <c r="D33" s="22"/>
      <c r="E33" s="22"/>
      <c r="F33" s="27"/>
      <c r="G33" s="26"/>
      <c r="H33" s="22"/>
      <c r="I33" s="22"/>
      <c r="J33" s="27"/>
      <c r="K33" s="26"/>
      <c r="L33" s="22"/>
      <c r="M33" s="26">
        <v>251728</v>
      </c>
      <c r="N33" s="27">
        <v>275336</v>
      </c>
      <c r="O33" s="26">
        <v>288320</v>
      </c>
      <c r="P33" s="26">
        <v>275336</v>
      </c>
      <c r="Q33" s="26">
        <v>297566</v>
      </c>
      <c r="R33" s="27">
        <v>308956</v>
      </c>
      <c r="S33" s="26">
        <v>308595</v>
      </c>
      <c r="T33" s="26">
        <v>302859</v>
      </c>
      <c r="U33" s="26">
        <v>301316</v>
      </c>
      <c r="V33" s="27">
        <v>299017</v>
      </c>
      <c r="W33" s="26"/>
      <c r="X33" s="26"/>
    </row>
    <row r="34" spans="1:24" s="5" customFormat="1" x14ac:dyDescent="0.15">
      <c r="A34" s="5" t="s">
        <v>67</v>
      </c>
      <c r="B34" s="26"/>
      <c r="C34" s="26"/>
      <c r="D34" s="22"/>
      <c r="E34" s="22"/>
      <c r="F34" s="27"/>
      <c r="G34" s="26"/>
      <c r="H34" s="22"/>
      <c r="I34" s="22"/>
      <c r="J34" s="27"/>
      <c r="K34" s="26"/>
      <c r="L34" s="22"/>
      <c r="M34" s="26">
        <f>121356+11022</f>
        <v>132378</v>
      </c>
      <c r="N34" s="27">
        <v>102492</v>
      </c>
      <c r="O34" s="26">
        <v>126632</v>
      </c>
      <c r="P34" s="26">
        <v>102492</v>
      </c>
      <c r="Q34" s="26">
        <f>121814+716</f>
        <v>122530</v>
      </c>
      <c r="R34" s="27">
        <v>131616</v>
      </c>
      <c r="S34" s="26">
        <v>130391</v>
      </c>
      <c r="T34" s="26">
        <v>133560</v>
      </c>
      <c r="U34" s="26">
        <v>128501</v>
      </c>
      <c r="V34" s="27">
        <v>128204</v>
      </c>
      <c r="W34" s="26"/>
      <c r="X34" s="26"/>
    </row>
    <row r="36" spans="1:24" x14ac:dyDescent="0.15">
      <c r="A36" s="3" t="s">
        <v>39</v>
      </c>
      <c r="M36" s="30">
        <f t="shared" ref="M36:R36" si="40">M33-M32-M29</f>
        <v>55105</v>
      </c>
      <c r="N36" s="39">
        <f t="shared" si="40"/>
        <v>79607</v>
      </c>
      <c r="O36" s="30">
        <f t="shared" si="40"/>
        <v>74251</v>
      </c>
      <c r="P36" s="30">
        <f t="shared" si="40"/>
        <v>64458</v>
      </c>
      <c r="Q36" s="30">
        <f t="shared" si="40"/>
        <v>47942</v>
      </c>
      <c r="R36" s="39">
        <f t="shared" si="40"/>
        <v>-15139</v>
      </c>
      <c r="S36" s="30">
        <f t="shared" ref="S36:T36" si="41">S33-S32-S29</f>
        <v>-15110</v>
      </c>
      <c r="T36" s="30">
        <f t="shared" si="41"/>
        <v>61520</v>
      </c>
      <c r="U36" s="30">
        <f t="shared" ref="U36:V36" si="42">U33-U32-U29</f>
        <v>58406</v>
      </c>
      <c r="V36" s="39">
        <f t="shared" si="42"/>
        <v>63256</v>
      </c>
    </row>
    <row r="37" spans="1:24" x14ac:dyDescent="0.15">
      <c r="A37" s="3" t="s">
        <v>40</v>
      </c>
      <c r="M37" s="30">
        <f t="shared" ref="M37:R37" si="43">M33-M34</f>
        <v>119350</v>
      </c>
      <c r="N37" s="39">
        <f t="shared" si="43"/>
        <v>172844</v>
      </c>
      <c r="O37" s="30">
        <f t="shared" si="43"/>
        <v>161688</v>
      </c>
      <c r="P37" s="30">
        <f t="shared" si="43"/>
        <v>172844</v>
      </c>
      <c r="Q37" s="30">
        <f t="shared" si="43"/>
        <v>175036</v>
      </c>
      <c r="R37" s="39">
        <f t="shared" si="43"/>
        <v>177340</v>
      </c>
      <c r="S37" s="30">
        <f t="shared" ref="S37:T37" si="44">S33-S34</f>
        <v>178204</v>
      </c>
      <c r="T37" s="30">
        <f t="shared" si="44"/>
        <v>169299</v>
      </c>
      <c r="U37" s="30">
        <f t="shared" ref="U37:V37" si="45">U33-U34</f>
        <v>172815</v>
      </c>
      <c r="V37" s="39">
        <f t="shared" si="45"/>
        <v>170813</v>
      </c>
    </row>
    <row r="39" spans="1:24" s="2" customFormat="1" x14ac:dyDescent="0.15">
      <c r="A39" s="2" t="s">
        <v>68</v>
      </c>
      <c r="B39" s="32"/>
      <c r="C39" s="32"/>
      <c r="D39" s="22"/>
      <c r="E39" s="22"/>
      <c r="F39" s="33"/>
      <c r="G39" s="32"/>
      <c r="H39" s="22"/>
      <c r="I39" s="22"/>
      <c r="J39" s="33"/>
      <c r="K39" s="32"/>
      <c r="L39" s="22"/>
      <c r="M39" s="29">
        <f t="shared" ref="M39:V39" si="46">SUM(J16:M16)</f>
        <v>18288</v>
      </c>
      <c r="N39" s="38">
        <f t="shared" si="46"/>
        <v>22065</v>
      </c>
      <c r="O39" s="29">
        <f t="shared" si="46"/>
        <v>22725</v>
      </c>
      <c r="P39" s="29">
        <f t="shared" si="46"/>
        <v>26173</v>
      </c>
      <c r="Q39" s="29">
        <f t="shared" si="46"/>
        <v>22582</v>
      </c>
      <c r="R39" s="38">
        <f t="shared" si="46"/>
        <v>16704</v>
      </c>
      <c r="S39" s="29">
        <f t="shared" si="46"/>
        <v>12639</v>
      </c>
      <c r="T39" s="29">
        <f t="shared" si="46"/>
        <v>-6820</v>
      </c>
      <c r="U39" s="29">
        <f t="shared" si="46"/>
        <v>-2338</v>
      </c>
      <c r="V39" s="38">
        <f t="shared" si="46"/>
        <v>-3686</v>
      </c>
      <c r="W39" s="32"/>
      <c r="X39" s="32"/>
    </row>
    <row r="40" spans="1:24" x14ac:dyDescent="0.15">
      <c r="A40" s="3" t="s">
        <v>33</v>
      </c>
      <c r="M40" s="37">
        <f t="shared" ref="M40:S40" si="47">M39/M37</f>
        <v>0.15322999581064098</v>
      </c>
      <c r="N40" s="35">
        <f t="shared" si="47"/>
        <v>0.12765846659415428</v>
      </c>
      <c r="O40" s="37">
        <f t="shared" si="47"/>
        <v>0.14054846370788185</v>
      </c>
      <c r="P40" s="37">
        <f t="shared" si="47"/>
        <v>0.15142556293536369</v>
      </c>
      <c r="Q40" s="37">
        <f t="shared" si="47"/>
        <v>0.12901346008821044</v>
      </c>
      <c r="R40" s="35">
        <f t="shared" si="47"/>
        <v>9.4191947671140183E-2</v>
      </c>
      <c r="S40" s="37">
        <f t="shared" si="47"/>
        <v>7.0924333909452089E-2</v>
      </c>
      <c r="T40" s="37">
        <f t="shared" ref="T40:U40" si="48">T39/T37</f>
        <v>-4.0283758321076911E-2</v>
      </c>
      <c r="U40" s="37">
        <f t="shared" si="48"/>
        <v>-1.352891820733154E-2</v>
      </c>
      <c r="V40" s="35">
        <f t="shared" ref="V40" si="49">V39/V37</f>
        <v>-2.1579153811478048E-2</v>
      </c>
    </row>
    <row r="41" spans="1:24" x14ac:dyDescent="0.15">
      <c r="A41" s="3" t="s">
        <v>34</v>
      </c>
      <c r="M41" s="37">
        <f t="shared" ref="M41:R41" si="50">M39/M33</f>
        <v>7.2649844276361786E-2</v>
      </c>
      <c r="N41" s="35">
        <f t="shared" si="50"/>
        <v>8.0138449022285493E-2</v>
      </c>
      <c r="O41" s="37">
        <f t="shared" si="50"/>
        <v>7.8818673695893446E-2</v>
      </c>
      <c r="P41" s="37">
        <f t="shared" si="50"/>
        <v>9.5058401371415288E-2</v>
      </c>
      <c r="Q41" s="37">
        <f t="shared" si="50"/>
        <v>7.5889046463641682E-2</v>
      </c>
      <c r="R41" s="35">
        <f t="shared" si="50"/>
        <v>5.406595113867347E-2</v>
      </c>
      <c r="S41" s="37">
        <f t="shared" ref="S41:T41" si="51">S39/S33</f>
        <v>4.0956593593544935E-2</v>
      </c>
      <c r="T41" s="37">
        <f t="shared" si="51"/>
        <v>-2.2518729837977407E-2</v>
      </c>
      <c r="U41" s="37">
        <f t="shared" ref="U41:V41" si="52">U39/U33</f>
        <v>-7.7592958887015622E-3</v>
      </c>
      <c r="V41" s="35">
        <f t="shared" si="52"/>
        <v>-1.2327058327787384E-2</v>
      </c>
    </row>
    <row r="42" spans="1:24" x14ac:dyDescent="0.15">
      <c r="A42" s="3" t="s">
        <v>35</v>
      </c>
      <c r="M42" s="37">
        <f t="shared" ref="M42:R42" si="53">M39/(M37-M32)</f>
        <v>0.18646573610530501</v>
      </c>
      <c r="N42" s="35">
        <f t="shared" si="53"/>
        <v>0.1500397794112647</v>
      </c>
      <c r="O42" s="37">
        <f t="shared" si="53"/>
        <v>0.16348097577819823</v>
      </c>
      <c r="P42" s="37">
        <f t="shared" si="53"/>
        <v>0.17797376598826337</v>
      </c>
      <c r="Q42" s="37">
        <f t="shared" si="53"/>
        <v>0.1532864056910514</v>
      </c>
      <c r="R42" s="35">
        <f t="shared" si="53"/>
        <v>0.21537152361428075</v>
      </c>
      <c r="S42" s="37">
        <f t="shared" ref="S42:T42" si="54">S39/(S37-S32)</f>
        <v>0.16749271137026239</v>
      </c>
      <c r="T42" s="37">
        <f t="shared" si="54"/>
        <v>-4.8284553190886821E-2</v>
      </c>
      <c r="U42" s="37">
        <f t="shared" ref="U42:V42" si="55">U39/(U37-U32)</f>
        <v>-1.5939677388565429E-2</v>
      </c>
      <c r="V42" s="35">
        <f t="shared" si="55"/>
        <v>-2.4356238064716495E-2</v>
      </c>
    </row>
    <row r="43" spans="1:24" x14ac:dyDescent="0.15">
      <c r="A43" s="3" t="s">
        <v>36</v>
      </c>
      <c r="M43" s="37">
        <f t="shared" ref="M43:R43" si="56">M39/M36</f>
        <v>0.33187551038925689</v>
      </c>
      <c r="N43" s="35">
        <f t="shared" si="56"/>
        <v>0.27717411785395757</v>
      </c>
      <c r="O43" s="37">
        <f t="shared" si="56"/>
        <v>0.30605648408775638</v>
      </c>
      <c r="P43" s="37">
        <f t="shared" si="56"/>
        <v>0.40604734866114367</v>
      </c>
      <c r="Q43" s="37">
        <f t="shared" si="56"/>
        <v>0.47102749155229234</v>
      </c>
      <c r="R43" s="35">
        <f t="shared" si="56"/>
        <v>-1.1033753880705464</v>
      </c>
      <c r="S43" s="37">
        <f t="shared" ref="S43:T43" si="57">S39/S36</f>
        <v>-0.83646591661151559</v>
      </c>
      <c r="T43" s="37">
        <f t="shared" si="57"/>
        <v>-0.11085825747724318</v>
      </c>
      <c r="U43" s="37">
        <f t="shared" ref="U43:V43" si="58">U39/U36</f>
        <v>-4.0030133890353731E-2</v>
      </c>
      <c r="V43" s="35">
        <f t="shared" si="58"/>
        <v>-5.8271152143670166E-2</v>
      </c>
    </row>
    <row r="45" spans="1:24" s="15" customFormat="1" x14ac:dyDescent="0.15">
      <c r="A45" s="15" t="s">
        <v>49</v>
      </c>
      <c r="B45" s="31"/>
      <c r="C45" s="31"/>
      <c r="D45" s="22"/>
      <c r="E45" s="22"/>
      <c r="F45" s="35">
        <f t="shared" ref="F45:V46" si="59">F3/B3-1</f>
        <v>0.19266714593817391</v>
      </c>
      <c r="G45" s="31">
        <f t="shared" si="59"/>
        <v>4.3877488137055609E-2</v>
      </c>
      <c r="H45" s="31">
        <f t="shared" si="59"/>
        <v>-6.7307692307692291E-2</v>
      </c>
      <c r="I45" s="31">
        <f t="shared" si="59"/>
        <v>-8.1998864281658146E-2</v>
      </c>
      <c r="J45" s="35">
        <f t="shared" si="59"/>
        <v>-1.2926126850177466E-2</v>
      </c>
      <c r="K45" s="31">
        <f t="shared" si="59"/>
        <v>5.5729381899757957E-2</v>
      </c>
      <c r="L45" s="31">
        <f t="shared" si="59"/>
        <v>0.21940570042449981</v>
      </c>
      <c r="M45" s="31">
        <f t="shared" si="59"/>
        <v>0.26302115551156757</v>
      </c>
      <c r="N45" s="35">
        <f t="shared" si="59"/>
        <v>0.16494775410503459</v>
      </c>
      <c r="O45" s="31">
        <f t="shared" si="59"/>
        <v>0.1779343510596656</v>
      </c>
      <c r="P45" s="31">
        <f t="shared" si="59"/>
        <v>0.11801273125124334</v>
      </c>
      <c r="Q45" s="31">
        <f t="shared" si="59"/>
        <v>3.8152610441767099E-2</v>
      </c>
      <c r="R45" s="35">
        <f t="shared" si="59"/>
        <v>2.8423321101986199E-2</v>
      </c>
      <c r="S45" s="31">
        <f t="shared" si="59"/>
        <v>-8.6779017327320185E-2</v>
      </c>
      <c r="T45" s="31">
        <f t="shared" si="59"/>
        <v>-9.1054668386637561E-2</v>
      </c>
      <c r="U45" s="31">
        <f t="shared" si="59"/>
        <v>-2.0380242487144429E-2</v>
      </c>
      <c r="V45" s="35">
        <f t="shared" si="59"/>
        <v>-0.19335107889222403</v>
      </c>
      <c r="W45" s="31"/>
      <c r="X45" s="31"/>
    </row>
    <row r="46" spans="1:24" s="15" customFormat="1" x14ac:dyDescent="0.15">
      <c r="A46" s="15" t="s">
        <v>50</v>
      </c>
      <c r="B46" s="31"/>
      <c r="C46" s="31"/>
      <c r="D46" s="22"/>
      <c r="E46" s="22"/>
      <c r="F46" s="35">
        <f t="shared" si="59"/>
        <v>3.3203883495145634</v>
      </c>
      <c r="G46" s="31">
        <f t="shared" si="59"/>
        <v>2.8074712643678161</v>
      </c>
      <c r="H46" s="31">
        <f t="shared" si="59"/>
        <v>1.5078236130867708</v>
      </c>
      <c r="I46" s="31">
        <f t="shared" si="59"/>
        <v>0.88143382352941169</v>
      </c>
      <c r="J46" s="35">
        <f t="shared" si="59"/>
        <v>1.4191011235955058</v>
      </c>
      <c r="K46" s="31">
        <f t="shared" si="59"/>
        <v>1.2573584905660375</v>
      </c>
      <c r="L46" s="31">
        <f t="shared" si="59"/>
        <v>0.9177538287010778</v>
      </c>
      <c r="M46" s="31">
        <f t="shared" si="59"/>
        <v>0.53297508549096229</v>
      </c>
      <c r="N46" s="35">
        <f t="shared" si="59"/>
        <v>0.73618207152810022</v>
      </c>
      <c r="O46" s="31">
        <f t="shared" si="59"/>
        <v>0.64058843196255433</v>
      </c>
      <c r="P46" s="31">
        <f t="shared" si="59"/>
        <v>0.69239869860987868</v>
      </c>
      <c r="Q46" s="31">
        <f t="shared" si="59"/>
        <v>0.91140854047163788</v>
      </c>
      <c r="R46" s="35">
        <f t="shared" si="59"/>
        <v>0.72980203317281966</v>
      </c>
      <c r="S46" s="31">
        <f t="shared" si="59"/>
        <v>0.44467087833706942</v>
      </c>
      <c r="T46" s="31">
        <f t="shared" si="59"/>
        <v>0.33624606780845867</v>
      </c>
      <c r="U46" s="31">
        <f t="shared" si="59"/>
        <v>0.35361787262420807</v>
      </c>
      <c r="V46" s="35">
        <f t="shared" si="59"/>
        <v>0.28394679863903494</v>
      </c>
      <c r="W46" s="31"/>
      <c r="X46" s="31"/>
    </row>
    <row r="48" spans="1:24" s="21" customFormat="1" x14ac:dyDescent="0.15">
      <c r="A48" s="21" t="s">
        <v>58</v>
      </c>
      <c r="B48" s="24"/>
      <c r="C48" s="24"/>
      <c r="D48" s="24"/>
      <c r="E48" s="24"/>
      <c r="F48" s="25"/>
      <c r="G48" s="24"/>
      <c r="H48" s="24"/>
      <c r="I48" s="24"/>
      <c r="J48" s="25"/>
      <c r="K48" s="24"/>
      <c r="L48" s="24"/>
      <c r="M48" s="24"/>
      <c r="N48" s="25"/>
      <c r="O48" s="24">
        <v>148</v>
      </c>
      <c r="P48" s="24">
        <v>151</v>
      </c>
      <c r="Q48" s="24">
        <v>161</v>
      </c>
      <c r="R48" s="25">
        <v>174</v>
      </c>
      <c r="S48" s="24">
        <v>188</v>
      </c>
      <c r="T48" s="24">
        <v>189</v>
      </c>
      <c r="U48" s="24">
        <v>195</v>
      </c>
      <c r="V48" s="25">
        <v>222</v>
      </c>
      <c r="W48" s="24"/>
      <c r="X48" s="24"/>
    </row>
    <row r="49" spans="1:24" s="21" customFormat="1" x14ac:dyDescent="0.15">
      <c r="A49" s="21" t="s">
        <v>59</v>
      </c>
      <c r="B49" s="24"/>
      <c r="C49" s="24"/>
      <c r="D49" s="24"/>
      <c r="E49" s="24"/>
      <c r="F49" s="25"/>
      <c r="G49" s="24"/>
      <c r="H49" s="24"/>
      <c r="I49" s="24"/>
      <c r="J49" s="25"/>
      <c r="K49" s="24"/>
      <c r="L49" s="24"/>
      <c r="M49" s="24"/>
      <c r="N49" s="25"/>
      <c r="O49" s="24"/>
      <c r="P49" s="24">
        <v>1.5</v>
      </c>
      <c r="Q49" s="24">
        <v>1.9</v>
      </c>
      <c r="R49" s="25">
        <v>2.1</v>
      </c>
      <c r="S49" s="24">
        <v>2.2000000000000002</v>
      </c>
      <c r="T49" s="24">
        <v>2.4</v>
      </c>
      <c r="U49" s="24">
        <v>2.6</v>
      </c>
      <c r="V49" s="25">
        <v>3</v>
      </c>
      <c r="W49" s="24"/>
      <c r="X49" s="24"/>
    </row>
    <row r="50" spans="1:24" s="21" customFormat="1" x14ac:dyDescent="0.15">
      <c r="A50" s="21" t="s">
        <v>60</v>
      </c>
      <c r="B50" s="24"/>
      <c r="C50" s="24"/>
      <c r="D50" s="24"/>
      <c r="E50" s="24"/>
      <c r="F50" s="25"/>
      <c r="G50" s="24"/>
      <c r="H50" s="24"/>
      <c r="I50" s="24"/>
      <c r="J50" s="25"/>
      <c r="K50" s="24"/>
      <c r="L50" s="24"/>
      <c r="M50" s="24"/>
      <c r="N50" s="25"/>
      <c r="O50" s="24"/>
      <c r="P50" s="24"/>
      <c r="Q50" s="24">
        <v>147</v>
      </c>
      <c r="R50" s="25">
        <v>181</v>
      </c>
      <c r="S50" s="24">
        <v>270</v>
      </c>
      <c r="T50" s="24">
        <v>290</v>
      </c>
      <c r="U50" s="24">
        <v>316</v>
      </c>
      <c r="V50" s="25">
        <v>354</v>
      </c>
      <c r="W50" s="24"/>
      <c r="X50" s="24"/>
    </row>
    <row r="51" spans="1:24" s="21" customFormat="1" x14ac:dyDescent="0.15">
      <c r="A51" s="21" t="s">
        <v>61</v>
      </c>
      <c r="B51" s="24"/>
      <c r="C51" s="24"/>
      <c r="D51" s="24"/>
      <c r="E51" s="24"/>
      <c r="F51" s="25"/>
      <c r="G51" s="24"/>
      <c r="H51" s="24"/>
      <c r="I51" s="24"/>
      <c r="J51" s="25"/>
      <c r="K51" s="24"/>
      <c r="L51" s="24"/>
      <c r="M51" s="24"/>
      <c r="N51" s="25"/>
      <c r="O51" s="24"/>
      <c r="P51" s="24"/>
      <c r="Q51" s="24">
        <v>19</v>
      </c>
      <c r="R51" s="25">
        <v>22</v>
      </c>
      <c r="S51" s="24"/>
      <c r="T51" s="24"/>
      <c r="U51" s="24"/>
      <c r="V51" s="25"/>
      <c r="W51" s="24"/>
      <c r="X51" s="24"/>
    </row>
    <row r="52" spans="1:24" s="21" customFormat="1" x14ac:dyDescent="0.15">
      <c r="A52" s="21" t="s">
        <v>62</v>
      </c>
      <c r="B52" s="24"/>
      <c r="C52" s="24"/>
      <c r="D52" s="24"/>
      <c r="E52" s="24"/>
      <c r="F52" s="25"/>
      <c r="G52" s="24"/>
      <c r="H52" s="24"/>
      <c r="I52" s="24"/>
      <c r="J52" s="25"/>
      <c r="K52" s="24"/>
      <c r="L52" s="24"/>
      <c r="M52" s="24"/>
      <c r="N52" s="25"/>
      <c r="O52" s="24"/>
      <c r="P52" s="24"/>
      <c r="Q52" s="24">
        <v>4</v>
      </c>
      <c r="R52" s="25"/>
      <c r="S52" s="24"/>
      <c r="T52" s="24"/>
      <c r="U52" s="24"/>
      <c r="V52" s="25"/>
      <c r="W52" s="24"/>
      <c r="X52" s="24"/>
    </row>
    <row r="53" spans="1:24" s="21" customFormat="1" x14ac:dyDescent="0.15">
      <c r="B53" s="24"/>
      <c r="C53" s="24"/>
      <c r="D53" s="24"/>
      <c r="E53" s="24"/>
      <c r="F53" s="25"/>
      <c r="G53" s="24"/>
      <c r="H53" s="24"/>
      <c r="I53" s="24"/>
      <c r="J53" s="25"/>
      <c r="K53" s="24"/>
      <c r="L53" s="24"/>
      <c r="M53" s="24"/>
      <c r="N53" s="25"/>
      <c r="O53" s="24"/>
      <c r="P53" s="24"/>
      <c r="Q53" s="24"/>
      <c r="R53" s="25"/>
      <c r="S53" s="24"/>
      <c r="T53" s="24"/>
      <c r="U53" s="24"/>
      <c r="V53" s="25"/>
      <c r="W53" s="24"/>
      <c r="X53" s="24"/>
    </row>
    <row r="54" spans="1:24" s="21" customFormat="1" x14ac:dyDescent="0.15">
      <c r="A54" s="21" t="s">
        <v>63</v>
      </c>
      <c r="B54" s="24"/>
      <c r="C54" s="24"/>
      <c r="D54" s="24"/>
      <c r="E54" s="24"/>
      <c r="F54" s="25"/>
      <c r="G54" s="24"/>
      <c r="H54" s="24"/>
      <c r="I54" s="24"/>
      <c r="J54" s="25"/>
      <c r="K54" s="24"/>
      <c r="L54" s="24"/>
      <c r="M54" s="24"/>
      <c r="N54" s="25"/>
      <c r="O54" s="24"/>
      <c r="P54" s="24">
        <v>80.7</v>
      </c>
      <c r="Q54" s="24">
        <v>87.4</v>
      </c>
      <c r="R54" s="25">
        <v>96.8</v>
      </c>
      <c r="S54" s="24">
        <v>100.5</v>
      </c>
      <c r="T54" s="24">
        <v>105.8</v>
      </c>
      <c r="U54" s="24">
        <v>106.9</v>
      </c>
      <c r="V54" s="25">
        <v>118.9</v>
      </c>
      <c r="W54" s="24"/>
      <c r="X54" s="24"/>
    </row>
    <row r="56" spans="1:24" x14ac:dyDescent="0.15">
      <c r="A56" s="3" t="s">
        <v>141</v>
      </c>
      <c r="S56" s="37"/>
      <c r="T56" s="37">
        <f>T54/P54-1</f>
        <v>0.31102850061957854</v>
      </c>
      <c r="U56" s="37">
        <f>U54/Q54-1</f>
        <v>0.22311212814645298</v>
      </c>
      <c r="V56" s="35">
        <f>V54/R54-1</f>
        <v>0.22830578512396693</v>
      </c>
    </row>
    <row r="58" spans="1:24" x14ac:dyDescent="0.15">
      <c r="A58" s="21" t="s">
        <v>142</v>
      </c>
      <c r="T58" s="37">
        <f>T48/P48-1</f>
        <v>0.2516556291390728</v>
      </c>
      <c r="U58" s="37">
        <f>U48/Q48-1</f>
        <v>0.21118012422360244</v>
      </c>
      <c r="V58" s="35">
        <f>V48/R48-1</f>
        <v>0.27586206896551735</v>
      </c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D20"/>
  <sheetViews>
    <sheetView workbookViewId="0">
      <selection activeCell="C12" sqref="C12"/>
    </sheetView>
  </sheetViews>
  <sheetFormatPr baseColWidth="10" defaultRowHeight="13" x14ac:dyDescent="0.15"/>
  <cols>
    <col min="1" max="1" width="10.83203125" style="3"/>
    <col min="2" max="2" width="16.6640625" style="3" bestFit="1" customWidth="1"/>
    <col min="3" max="3" width="29" style="3" bestFit="1" customWidth="1"/>
    <col min="4" max="16384" width="10.83203125" style="3"/>
  </cols>
  <sheetData>
    <row r="4" spans="2:4" x14ac:dyDescent="0.15">
      <c r="B4" s="2" t="s">
        <v>112</v>
      </c>
    </row>
    <row r="6" spans="2:4" x14ac:dyDescent="0.15">
      <c r="B6" s="3" t="s">
        <v>113</v>
      </c>
      <c r="C6" s="3" t="s">
        <v>116</v>
      </c>
    </row>
    <row r="7" spans="2:4" x14ac:dyDescent="0.15">
      <c r="B7" s="3" t="s">
        <v>114</v>
      </c>
    </row>
    <row r="8" spans="2:4" x14ac:dyDescent="0.15">
      <c r="B8" s="3" t="s">
        <v>115</v>
      </c>
      <c r="C8" s="3" t="s">
        <v>117</v>
      </c>
    </row>
    <row r="9" spans="2:4" x14ac:dyDescent="0.15">
      <c r="B9" s="3" t="s">
        <v>118</v>
      </c>
      <c r="C9" s="3" t="s">
        <v>119</v>
      </c>
      <c r="D9" s="1" t="s">
        <v>133</v>
      </c>
    </row>
    <row r="10" spans="2:4" x14ac:dyDescent="0.15">
      <c r="B10" s="3" t="s">
        <v>120</v>
      </c>
      <c r="C10" s="3" t="s">
        <v>117</v>
      </c>
    </row>
    <row r="11" spans="2:4" x14ac:dyDescent="0.15">
      <c r="B11" s="3" t="s">
        <v>70</v>
      </c>
      <c r="C11" s="3" t="s">
        <v>121</v>
      </c>
    </row>
    <row r="12" spans="2:4" x14ac:dyDescent="0.15">
      <c r="B12" s="3" t="s">
        <v>71</v>
      </c>
      <c r="C12" s="3" t="s">
        <v>122</v>
      </c>
    </row>
    <row r="13" spans="2:4" x14ac:dyDescent="0.15">
      <c r="B13" s="3" t="s">
        <v>72</v>
      </c>
      <c r="C13" s="3" t="s">
        <v>123</v>
      </c>
      <c r="D13" s="1" t="s">
        <v>134</v>
      </c>
    </row>
    <row r="14" spans="2:4" x14ac:dyDescent="0.15">
      <c r="B14" s="3" t="s">
        <v>124</v>
      </c>
      <c r="C14" s="3" t="s">
        <v>125</v>
      </c>
    </row>
    <row r="16" spans="2:4" x14ac:dyDescent="0.15">
      <c r="B16" s="2" t="s">
        <v>126</v>
      </c>
    </row>
    <row r="18" spans="2:4" x14ac:dyDescent="0.15">
      <c r="B18" s="3" t="s">
        <v>127</v>
      </c>
      <c r="C18" s="3" t="s">
        <v>128</v>
      </c>
      <c r="D18" s="1" t="s">
        <v>131</v>
      </c>
    </row>
    <row r="19" spans="2:4" x14ac:dyDescent="0.15">
      <c r="B19" s="3" t="s">
        <v>129</v>
      </c>
      <c r="C19" s="3" t="s">
        <v>130</v>
      </c>
      <c r="D19" s="1" t="s">
        <v>136</v>
      </c>
    </row>
    <row r="20" spans="2:4" x14ac:dyDescent="0.15">
      <c r="B20" s="3" t="s">
        <v>73</v>
      </c>
      <c r="C20" s="3" t="s">
        <v>132</v>
      </c>
      <c r="D20" s="1" t="s">
        <v>135</v>
      </c>
    </row>
  </sheetData>
  <hyperlinks>
    <hyperlink ref="D18" r:id="rId1" xr:uid="{D793F14B-F89A-6744-A7EB-AAE8C68A3A24}"/>
    <hyperlink ref="D9" r:id="rId2" xr:uid="{5D5C5F25-437E-E946-931A-A4DAE00C19FD}"/>
    <hyperlink ref="D13" r:id="rId3" xr:uid="{3392DE70-9BB6-5944-A896-7A3991E3B930}"/>
    <hyperlink ref="D20" r:id="rId4" xr:uid="{A4B1D6AA-1084-E54F-AE8C-AF4DF7AF7DB5}"/>
    <hyperlink ref="D19" r:id="rId5" xr:uid="{7B2C4DF9-002C-9449-933D-E2BA6110093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 RMB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2019-01-08T19:28:27Z</dcterms:created>
  <dcterms:modified xsi:type="dcterms:W3CDTF">2020-07-20T13:21:49Z</dcterms:modified>
</cp:coreProperties>
</file>