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BA7E3404-8A48-F947-A5F7-AE0FD53652F9}" xr6:coauthVersionLast="45" xr6:coauthVersionMax="45" xr10:uidLastSave="{00000000-0000-0000-0000-000000000000}"/>
  <bookViews>
    <workbookView xWindow="8600" yWindow="460" windowWidth="27240" windowHeight="20320" tabRatio="500" xr2:uid="{00000000-000D-0000-FFFF-FFFF00000000}"/>
  </bookViews>
  <sheets>
    <sheet name="Main" sheetId="1" r:id="rId1"/>
    <sheet name=" Reports RMB" sheetId="2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N25" i="1"/>
  <c r="N24" i="1"/>
  <c r="N23" i="1"/>
  <c r="O25" i="1"/>
  <c r="P25" i="1" s="1"/>
  <c r="Q25" i="1" s="1"/>
  <c r="R25" i="1" s="1"/>
  <c r="S25" i="1" s="1"/>
  <c r="O24" i="1"/>
  <c r="P24" i="1" s="1"/>
  <c r="Q24" i="1" s="1"/>
  <c r="R24" i="1" s="1"/>
  <c r="S24" i="1" s="1"/>
  <c r="O23" i="1"/>
  <c r="P23" i="1" s="1"/>
  <c r="Q23" i="1" s="1"/>
  <c r="R23" i="1" s="1"/>
  <c r="S23" i="1" s="1"/>
  <c r="P20" i="1"/>
  <c r="Q20" i="1" s="1"/>
  <c r="R20" i="1" s="1"/>
  <c r="S20" i="1" s="1"/>
  <c r="O20" i="1"/>
  <c r="E31" i="1" l="1"/>
  <c r="E36" i="1"/>
  <c r="E18" i="1"/>
  <c r="E17" i="1"/>
  <c r="D73" i="1"/>
  <c r="C5" i="1"/>
  <c r="C3" i="1"/>
  <c r="O57" i="2"/>
  <c r="O56" i="2"/>
  <c r="O54" i="2"/>
  <c r="O53" i="2"/>
  <c r="O52" i="2"/>
  <c r="O51" i="2"/>
  <c r="O49" i="2"/>
  <c r="O48" i="2"/>
  <c r="O47" i="2"/>
  <c r="O46" i="2"/>
  <c r="O44" i="2"/>
  <c r="O43" i="2"/>
  <c r="O39" i="2"/>
  <c r="O37" i="2"/>
  <c r="O35" i="2" s="1"/>
  <c r="O36" i="2"/>
  <c r="P30" i="2"/>
  <c r="O33" i="2"/>
  <c r="O32" i="2"/>
  <c r="O31" i="2"/>
  <c r="O30" i="2"/>
  <c r="O28" i="2"/>
  <c r="O27" i="2"/>
  <c r="O26" i="2"/>
  <c r="O23" i="2"/>
  <c r="O22" i="2"/>
  <c r="O20" i="2"/>
  <c r="O17" i="2"/>
  <c r="O18" i="2" s="1"/>
  <c r="O13" i="2"/>
  <c r="O11" i="2"/>
  <c r="O9" i="2"/>
  <c r="B11" i="2"/>
  <c r="C11" i="2"/>
  <c r="D11" i="2"/>
  <c r="E11" i="2"/>
  <c r="O63" i="2"/>
  <c r="O60" i="2"/>
  <c r="S11" i="1" l="1"/>
  <c r="R11" i="1"/>
  <c r="Q11" i="1"/>
  <c r="P11" i="1"/>
  <c r="O11" i="1"/>
  <c r="C33" i="1"/>
  <c r="N39" i="2"/>
  <c r="N37" i="2"/>
  <c r="N36" i="2"/>
  <c r="N54" i="2"/>
  <c r="N53" i="2"/>
  <c r="N52" i="2"/>
  <c r="N51" i="2"/>
  <c r="N44" i="2"/>
  <c r="N33" i="2"/>
  <c r="N32" i="2"/>
  <c r="N31" i="2"/>
  <c r="N17" i="2"/>
  <c r="N9" i="2"/>
  <c r="N11" i="2" s="1"/>
  <c r="N60" i="2"/>
  <c r="N56" i="2"/>
  <c r="N35" i="2" l="1"/>
  <c r="N43" i="2"/>
  <c r="N13" i="2" l="1"/>
  <c r="F4" i="1"/>
  <c r="D55" i="1"/>
  <c r="D54" i="1"/>
  <c r="D51" i="1"/>
  <c r="D33" i="1"/>
  <c r="D30" i="1"/>
  <c r="D28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D24" i="1"/>
  <c r="D23" i="1"/>
  <c r="E23" i="1" s="1"/>
  <c r="F23" i="1" s="1"/>
  <c r="G23" i="1" s="1"/>
  <c r="H23" i="1" s="1"/>
  <c r="I23" i="1" s="1"/>
  <c r="J23" i="1" s="1"/>
  <c r="D21" i="1"/>
  <c r="D17" i="1"/>
  <c r="F17" i="1" s="1"/>
  <c r="G17" i="1" s="1"/>
  <c r="H17" i="1" s="1"/>
  <c r="I17" i="1" s="1"/>
  <c r="D15" i="1"/>
  <c r="D14" i="1"/>
  <c r="D13" i="1"/>
  <c r="D12" i="1"/>
  <c r="D18" i="1" l="1"/>
  <c r="N26" i="2"/>
  <c r="N18" i="2"/>
  <c r="E46" i="1"/>
  <c r="D26" i="1"/>
  <c r="K23" i="1"/>
  <c r="L23" i="1" s="1"/>
  <c r="M23" i="1" s="1"/>
  <c r="D58" i="1"/>
  <c r="D20" i="1"/>
  <c r="K39" i="2"/>
  <c r="K37" i="2"/>
  <c r="K36" i="2"/>
  <c r="K60" i="2"/>
  <c r="K56" i="2"/>
  <c r="K54" i="2"/>
  <c r="K53" i="2"/>
  <c r="K52" i="2"/>
  <c r="K51" i="2"/>
  <c r="K44" i="2"/>
  <c r="K33" i="2"/>
  <c r="K32" i="2"/>
  <c r="K31" i="2"/>
  <c r="K17" i="2"/>
  <c r="K9" i="2"/>
  <c r="K11" i="2" s="1"/>
  <c r="L51" i="2"/>
  <c r="L39" i="2"/>
  <c r="L36" i="2"/>
  <c r="L35" i="2" s="1"/>
  <c r="L60" i="2"/>
  <c r="L56" i="2"/>
  <c r="L54" i="2"/>
  <c r="L52" i="2"/>
  <c r="L33" i="2"/>
  <c r="L31" i="2"/>
  <c r="L32" i="2"/>
  <c r="M33" i="2"/>
  <c r="M32" i="2"/>
  <c r="M31" i="2"/>
  <c r="J32" i="2"/>
  <c r="J31" i="2"/>
  <c r="J33" i="2"/>
  <c r="I31" i="2"/>
  <c r="I33" i="2"/>
  <c r="I32" i="2"/>
  <c r="H31" i="2"/>
  <c r="H33" i="2"/>
  <c r="H32" i="2"/>
  <c r="G33" i="2"/>
  <c r="G32" i="2"/>
  <c r="G31" i="2"/>
  <c r="F32" i="2"/>
  <c r="F33" i="2"/>
  <c r="F31" i="2"/>
  <c r="M60" i="2"/>
  <c r="J60" i="2"/>
  <c r="J56" i="2"/>
  <c r="M56" i="2"/>
  <c r="M39" i="2"/>
  <c r="D53" i="1" s="1"/>
  <c r="M36" i="2"/>
  <c r="D50" i="1" s="1"/>
  <c r="D49" i="1" s="1"/>
  <c r="L53" i="2"/>
  <c r="L44" i="2"/>
  <c r="L17" i="2"/>
  <c r="L9" i="2"/>
  <c r="L11" i="2" s="1"/>
  <c r="M54" i="2"/>
  <c r="M53" i="2"/>
  <c r="M52" i="2"/>
  <c r="M51" i="2"/>
  <c r="M44" i="2"/>
  <c r="M17" i="2"/>
  <c r="M9" i="2"/>
  <c r="M11" i="2" s="1"/>
  <c r="D57" i="1" l="1"/>
  <c r="O44" i="1"/>
  <c r="D22" i="1"/>
  <c r="D36" i="1"/>
  <c r="M43" i="2"/>
  <c r="M35" i="2"/>
  <c r="N20" i="2"/>
  <c r="N27" i="2"/>
  <c r="D27" i="1"/>
  <c r="D29" i="1" s="1"/>
  <c r="K35" i="2"/>
  <c r="K43" i="2"/>
  <c r="L43" i="2"/>
  <c r="L13" i="2"/>
  <c r="L26" i="2" s="1"/>
  <c r="M13" i="2"/>
  <c r="C4" i="1"/>
  <c r="J39" i="2"/>
  <c r="J36" i="2"/>
  <c r="J35" i="2" s="1"/>
  <c r="J54" i="2"/>
  <c r="J53" i="2"/>
  <c r="J52" i="2"/>
  <c r="J51" i="2"/>
  <c r="J9" i="2"/>
  <c r="J11" i="2" s="1"/>
  <c r="J17" i="2"/>
  <c r="J44" i="2"/>
  <c r="C12" i="1"/>
  <c r="D65" i="1" s="1"/>
  <c r="C13" i="1"/>
  <c r="D66" i="1" s="1"/>
  <c r="C14" i="1"/>
  <c r="D67" i="1" s="1"/>
  <c r="C15" i="1"/>
  <c r="D68" i="1" s="1"/>
  <c r="C17" i="1"/>
  <c r="D70" i="1" s="1"/>
  <c r="C51" i="1"/>
  <c r="C21" i="1"/>
  <c r="C23" i="1"/>
  <c r="C24" i="1"/>
  <c r="C25" i="1"/>
  <c r="C30" i="1"/>
  <c r="C54" i="1"/>
  <c r="C55" i="1"/>
  <c r="B12" i="1"/>
  <c r="B13" i="1"/>
  <c r="B14" i="1"/>
  <c r="B15" i="1"/>
  <c r="F9" i="2"/>
  <c r="F11" i="2" s="1"/>
  <c r="G9" i="2"/>
  <c r="H9" i="2"/>
  <c r="I39" i="2"/>
  <c r="I43" i="2" s="1"/>
  <c r="I36" i="2"/>
  <c r="I35" i="2" s="1"/>
  <c r="I54" i="2"/>
  <c r="I53" i="2"/>
  <c r="I52" i="2"/>
  <c r="I51" i="2"/>
  <c r="I44" i="2"/>
  <c r="I19" i="2"/>
  <c r="C28" i="1" s="1"/>
  <c r="I17" i="2"/>
  <c r="I9" i="2"/>
  <c r="B21" i="1"/>
  <c r="B23" i="1"/>
  <c r="B24" i="1"/>
  <c r="B25" i="1"/>
  <c r="B28" i="1"/>
  <c r="B30" i="1"/>
  <c r="B54" i="1"/>
  <c r="E39" i="2"/>
  <c r="E36" i="2"/>
  <c r="E35" i="2" s="1"/>
  <c r="E13" i="2"/>
  <c r="E17" i="2"/>
  <c r="B51" i="1"/>
  <c r="H17" i="2"/>
  <c r="H36" i="2"/>
  <c r="H35" i="2" s="1"/>
  <c r="E41" i="2"/>
  <c r="E44" i="2" s="1"/>
  <c r="B55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G36" i="2"/>
  <c r="G35" i="2"/>
  <c r="B33" i="1"/>
  <c r="B13" i="2"/>
  <c r="B26" i="2" s="1"/>
  <c r="B17" i="2"/>
  <c r="D13" i="2"/>
  <c r="H54" i="2"/>
  <c r="G54" i="2"/>
  <c r="H53" i="2"/>
  <c r="G53" i="2"/>
  <c r="H52" i="2"/>
  <c r="G52" i="2"/>
  <c r="H51" i="2"/>
  <c r="G51" i="2"/>
  <c r="F54" i="2"/>
  <c r="F53" i="2"/>
  <c r="F52" i="2"/>
  <c r="F51" i="2"/>
  <c r="C13" i="2"/>
  <c r="C17" i="2"/>
  <c r="G17" i="2"/>
  <c r="G39" i="2"/>
  <c r="G44" i="2"/>
  <c r="F41" i="2"/>
  <c r="F39" i="2"/>
  <c r="F36" i="2"/>
  <c r="F35" i="2" s="1"/>
  <c r="F17" i="2"/>
  <c r="F43" i="2"/>
  <c r="F44" i="2"/>
  <c r="H39" i="2"/>
  <c r="H44" i="2"/>
  <c r="D17" i="2"/>
  <c r="C53" i="1" l="1"/>
  <c r="G11" i="2"/>
  <c r="G30" i="2" s="1"/>
  <c r="H11" i="2"/>
  <c r="L30" i="2" s="1"/>
  <c r="I11" i="2"/>
  <c r="M30" i="2" s="1"/>
  <c r="J43" i="2"/>
  <c r="G43" i="2"/>
  <c r="B18" i="2"/>
  <c r="M57" i="2"/>
  <c r="C18" i="2"/>
  <c r="C27" i="2" s="1"/>
  <c r="P44" i="1"/>
  <c r="C66" i="1"/>
  <c r="E43" i="2"/>
  <c r="F18" i="1"/>
  <c r="G18" i="1" s="1"/>
  <c r="H18" i="1" s="1"/>
  <c r="I18" i="1" s="1"/>
  <c r="I20" i="1" s="1"/>
  <c r="E20" i="1"/>
  <c r="H43" i="2"/>
  <c r="C45" i="1"/>
  <c r="C44" i="1"/>
  <c r="B58" i="1"/>
  <c r="F30" i="2"/>
  <c r="F13" i="2"/>
  <c r="F26" i="2" s="1"/>
  <c r="N22" i="2"/>
  <c r="N28" i="2"/>
  <c r="N57" i="2"/>
  <c r="J57" i="2"/>
  <c r="B53" i="1"/>
  <c r="L57" i="2"/>
  <c r="K57" i="2"/>
  <c r="E18" i="2"/>
  <c r="E27" i="2" s="1"/>
  <c r="E26" i="2"/>
  <c r="K30" i="2"/>
  <c r="F70" i="1"/>
  <c r="C68" i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K13" i="2"/>
  <c r="K26" i="2" s="1"/>
  <c r="L18" i="2"/>
  <c r="L27" i="2" s="1"/>
  <c r="C46" i="1"/>
  <c r="M26" i="2"/>
  <c r="M18" i="2"/>
  <c r="C65" i="1"/>
  <c r="B18" i="1"/>
  <c r="D44" i="1"/>
  <c r="B26" i="1"/>
  <c r="B20" i="1"/>
  <c r="B36" i="1" s="1"/>
  <c r="C67" i="1"/>
  <c r="C26" i="1"/>
  <c r="D18" i="2"/>
  <c r="D26" i="2"/>
  <c r="G13" i="2"/>
  <c r="I30" i="2"/>
  <c r="I13" i="2"/>
  <c r="C6" i="1"/>
  <c r="C7" i="1" s="1"/>
  <c r="B50" i="1"/>
  <c r="C26" i="2"/>
  <c r="C58" i="1"/>
  <c r="C50" i="1"/>
  <c r="C49" i="1" s="1"/>
  <c r="J13" i="2"/>
  <c r="C18" i="1"/>
  <c r="C20" i="1" s="1"/>
  <c r="D43" i="1" s="1"/>
  <c r="C70" i="1"/>
  <c r="D74" i="1" s="1"/>
  <c r="C20" i="2" l="1"/>
  <c r="H30" i="2"/>
  <c r="H13" i="2"/>
  <c r="B20" i="2"/>
  <c r="B27" i="2"/>
  <c r="F18" i="2"/>
  <c r="F27" i="2" s="1"/>
  <c r="J20" i="1"/>
  <c r="K20" i="1" s="1"/>
  <c r="L20" i="1" s="1"/>
  <c r="M20" i="1" s="1"/>
  <c r="N20" i="1" s="1"/>
  <c r="I36" i="1"/>
  <c r="E43" i="1"/>
  <c r="Q44" i="1"/>
  <c r="E20" i="2"/>
  <c r="E22" i="2" s="1"/>
  <c r="K18" i="2"/>
  <c r="K20" i="2" s="1"/>
  <c r="F20" i="2"/>
  <c r="F22" i="2" s="1"/>
  <c r="N23" i="2"/>
  <c r="N47" i="2"/>
  <c r="N48" i="2"/>
  <c r="N46" i="2"/>
  <c r="N49" i="2"/>
  <c r="J30" i="2"/>
  <c r="N30" i="2"/>
  <c r="C47" i="1"/>
  <c r="D47" i="1"/>
  <c r="B22" i="1"/>
  <c r="B39" i="1" s="1"/>
  <c r="C36" i="1"/>
  <c r="C43" i="1"/>
  <c r="L20" i="2"/>
  <c r="L28" i="2" s="1"/>
  <c r="M27" i="2"/>
  <c r="M20" i="2"/>
  <c r="C22" i="1"/>
  <c r="C57" i="1"/>
  <c r="I18" i="2"/>
  <c r="I26" i="2"/>
  <c r="E70" i="1"/>
  <c r="E74" i="1" s="1"/>
  <c r="D46" i="1"/>
  <c r="E24" i="1"/>
  <c r="D45" i="1"/>
  <c r="E44" i="1"/>
  <c r="B57" i="1"/>
  <c r="B49" i="1"/>
  <c r="G18" i="2"/>
  <c r="G26" i="2"/>
  <c r="D20" i="2"/>
  <c r="D27" i="2"/>
  <c r="C28" i="2"/>
  <c r="C22" i="2"/>
  <c r="C23" i="2" s="1"/>
  <c r="C71" i="1"/>
  <c r="J18" i="2"/>
  <c r="J26" i="2"/>
  <c r="H26" i="2"/>
  <c r="H18" i="2"/>
  <c r="E28" i="2" l="1"/>
  <c r="B22" i="2"/>
  <c r="B23" i="2" s="1"/>
  <c r="B28" i="2"/>
  <c r="F28" i="2"/>
  <c r="K27" i="2"/>
  <c r="S44" i="1"/>
  <c r="R44" i="1"/>
  <c r="B27" i="1"/>
  <c r="B40" i="1" s="1"/>
  <c r="F74" i="1"/>
  <c r="K28" i="2"/>
  <c r="K22" i="2"/>
  <c r="L22" i="2"/>
  <c r="M22" i="2"/>
  <c r="M28" i="2"/>
  <c r="G27" i="2"/>
  <c r="G20" i="2"/>
  <c r="D28" i="2"/>
  <c r="D22" i="2"/>
  <c r="D23" i="2" s="1"/>
  <c r="F24" i="1"/>
  <c r="F26" i="1" s="1"/>
  <c r="E45" i="1"/>
  <c r="J27" i="2"/>
  <c r="J20" i="2"/>
  <c r="H27" i="2"/>
  <c r="H20" i="2"/>
  <c r="I27" i="2"/>
  <c r="I20" i="2"/>
  <c r="F48" i="2"/>
  <c r="F47" i="2"/>
  <c r="F46" i="2"/>
  <c r="F23" i="2"/>
  <c r="F49" i="2"/>
  <c r="F44" i="1"/>
  <c r="C27" i="1"/>
  <c r="C39" i="1"/>
  <c r="E48" i="2"/>
  <c r="E46" i="2"/>
  <c r="E23" i="2"/>
  <c r="E49" i="2"/>
  <c r="E47" i="2"/>
  <c r="E26" i="1"/>
  <c r="E47" i="1" s="1"/>
  <c r="D71" i="1"/>
  <c r="B29" i="1" l="1"/>
  <c r="F47" i="1"/>
  <c r="L47" i="2"/>
  <c r="L46" i="2"/>
  <c r="L48" i="2"/>
  <c r="L49" i="2"/>
  <c r="K48" i="2"/>
  <c r="K46" i="2"/>
  <c r="K49" i="2"/>
  <c r="K23" i="2"/>
  <c r="K47" i="2"/>
  <c r="L23" i="2"/>
  <c r="M23" i="2"/>
  <c r="M49" i="2"/>
  <c r="M48" i="2"/>
  <c r="M47" i="2"/>
  <c r="M46" i="2"/>
  <c r="H28" i="2"/>
  <c r="H22" i="2"/>
  <c r="G44" i="1"/>
  <c r="B41" i="1"/>
  <c r="B31" i="1"/>
  <c r="B37" i="1" s="1"/>
  <c r="G70" i="1"/>
  <c r="G74" i="1" s="1"/>
  <c r="I70" i="1"/>
  <c r="C40" i="1"/>
  <c r="C29" i="1"/>
  <c r="G24" i="1"/>
  <c r="F45" i="1"/>
  <c r="G28" i="2"/>
  <c r="G22" i="2"/>
  <c r="J28" i="2"/>
  <c r="J22" i="2"/>
  <c r="E71" i="1"/>
  <c r="I28" i="2"/>
  <c r="I22" i="2"/>
  <c r="F46" i="1"/>
  <c r="G26" i="1" l="1"/>
  <c r="G47" i="1" s="1"/>
  <c r="E73" i="1"/>
  <c r="B32" i="1"/>
  <c r="B60" i="1"/>
  <c r="B61" i="1"/>
  <c r="B62" i="1"/>
  <c r="B63" i="1"/>
  <c r="H44" i="1"/>
  <c r="G46" i="1"/>
  <c r="I48" i="2"/>
  <c r="I47" i="2"/>
  <c r="I46" i="2"/>
  <c r="I23" i="2"/>
  <c r="I49" i="2"/>
  <c r="H24" i="1"/>
  <c r="I24" i="1" s="1"/>
  <c r="J24" i="1" s="1"/>
  <c r="K24" i="1" s="1"/>
  <c r="L24" i="1" s="1"/>
  <c r="M24" i="1" s="1"/>
  <c r="G45" i="1"/>
  <c r="G48" i="2"/>
  <c r="G47" i="2"/>
  <c r="G46" i="2"/>
  <c r="G23" i="2"/>
  <c r="G49" i="2"/>
  <c r="C31" i="1"/>
  <c r="C37" i="1" s="1"/>
  <c r="C41" i="1"/>
  <c r="H70" i="1"/>
  <c r="H74" i="1" s="1"/>
  <c r="F71" i="1"/>
  <c r="F20" i="1"/>
  <c r="F36" i="1" s="1"/>
  <c r="J23" i="2"/>
  <c r="J49" i="2"/>
  <c r="J48" i="2"/>
  <c r="J47" i="2"/>
  <c r="J46" i="2"/>
  <c r="D39" i="1"/>
  <c r="E22" i="1" s="1"/>
  <c r="H47" i="2"/>
  <c r="H46" i="2"/>
  <c r="H23" i="2"/>
  <c r="H48" i="2"/>
  <c r="H49" i="2"/>
  <c r="I74" i="1" l="1"/>
  <c r="E39" i="1"/>
  <c r="F22" i="1" s="1"/>
  <c r="F21" i="1" s="1"/>
  <c r="E27" i="1"/>
  <c r="E21" i="1"/>
  <c r="D40" i="1"/>
  <c r="G71" i="1"/>
  <c r="G20" i="1"/>
  <c r="G36" i="1" s="1"/>
  <c r="I44" i="1"/>
  <c r="H45" i="1"/>
  <c r="C63" i="1"/>
  <c r="C60" i="1"/>
  <c r="C62" i="1"/>
  <c r="C61" i="1"/>
  <c r="C32" i="1"/>
  <c r="F43" i="1"/>
  <c r="F73" i="1" s="1"/>
  <c r="H46" i="1"/>
  <c r="H26" i="1"/>
  <c r="H47" i="1" s="1"/>
  <c r="I71" i="1" l="1"/>
  <c r="J44" i="1"/>
  <c r="I45" i="1"/>
  <c r="I26" i="1"/>
  <c r="I47" i="1" s="1"/>
  <c r="I46" i="1"/>
  <c r="H71" i="1"/>
  <c r="H20" i="1"/>
  <c r="H36" i="1" s="1"/>
  <c r="F27" i="1"/>
  <c r="F39" i="1"/>
  <c r="G22" i="1" s="1"/>
  <c r="D41" i="1"/>
  <c r="E40" i="1"/>
  <c r="G43" i="1"/>
  <c r="G73" i="1" s="1"/>
  <c r="J26" i="1" l="1"/>
  <c r="J47" i="1" s="1"/>
  <c r="D31" i="1"/>
  <c r="G39" i="1"/>
  <c r="G27" i="1"/>
  <c r="G21" i="1"/>
  <c r="J45" i="1"/>
  <c r="F40" i="1"/>
  <c r="H22" i="1"/>
  <c r="H21" i="1" s="1"/>
  <c r="H43" i="1"/>
  <c r="H73" i="1" s="1"/>
  <c r="J46" i="1"/>
  <c r="K44" i="1"/>
  <c r="D61" i="1" l="1"/>
  <c r="D37" i="1"/>
  <c r="D60" i="1"/>
  <c r="D62" i="1"/>
  <c r="D32" i="1"/>
  <c r="D63" i="1"/>
  <c r="E28" i="1"/>
  <c r="E29" i="1" s="1"/>
  <c r="K45" i="1"/>
  <c r="K46" i="1"/>
  <c r="I43" i="1"/>
  <c r="I73" i="1" s="1"/>
  <c r="H27" i="1"/>
  <c r="H39" i="1"/>
  <c r="I22" i="1" s="1"/>
  <c r="L44" i="1"/>
  <c r="K26" i="1"/>
  <c r="K47" i="1" s="1"/>
  <c r="G40" i="1"/>
  <c r="L26" i="1" l="1"/>
  <c r="L47" i="1" s="1"/>
  <c r="I27" i="1"/>
  <c r="I39" i="1"/>
  <c r="J22" i="1" s="1"/>
  <c r="I21" i="1"/>
  <c r="M44" i="1"/>
  <c r="H40" i="1"/>
  <c r="L46" i="1"/>
  <c r="E30" i="1"/>
  <c r="E41" i="1" s="1"/>
  <c r="J43" i="1"/>
  <c r="L45" i="1"/>
  <c r="M26" i="1" l="1"/>
  <c r="M47" i="1" s="1"/>
  <c r="N44" i="1"/>
  <c r="J39" i="1"/>
  <c r="K22" i="1" s="1"/>
  <c r="K21" i="1" s="1"/>
  <c r="J27" i="1"/>
  <c r="K43" i="1"/>
  <c r="M46" i="1"/>
  <c r="M45" i="1"/>
  <c r="J21" i="1"/>
  <c r="I40" i="1"/>
  <c r="O45" i="1" l="1"/>
  <c r="O46" i="1"/>
  <c r="O26" i="1"/>
  <c r="E37" i="1"/>
  <c r="E49" i="1"/>
  <c r="L43" i="1"/>
  <c r="E32" i="1"/>
  <c r="N46" i="1"/>
  <c r="N45" i="1"/>
  <c r="J40" i="1"/>
  <c r="N26" i="1"/>
  <c r="N47" i="1" s="1"/>
  <c r="K27" i="1"/>
  <c r="K39" i="1"/>
  <c r="L22" i="1" s="1"/>
  <c r="L21" i="1" s="1"/>
  <c r="O47" i="1" l="1"/>
  <c r="P45" i="1"/>
  <c r="P46" i="1"/>
  <c r="P26" i="1"/>
  <c r="P47" i="1" s="1"/>
  <c r="O43" i="1"/>
  <c r="F28" i="1"/>
  <c r="F29" i="1" s="1"/>
  <c r="M43" i="1"/>
  <c r="K40" i="1"/>
  <c r="L39" i="1"/>
  <c r="M22" i="1" s="1"/>
  <c r="L27" i="1"/>
  <c r="Q45" i="1" l="1"/>
  <c r="Q46" i="1"/>
  <c r="Q26" i="1"/>
  <c r="Q47" i="1" s="1"/>
  <c r="P43" i="1"/>
  <c r="M27" i="1"/>
  <c r="M39" i="1"/>
  <c r="N22" i="1" s="1"/>
  <c r="N21" i="1" s="1"/>
  <c r="L40" i="1"/>
  <c r="N43" i="1"/>
  <c r="M21" i="1"/>
  <c r="F41" i="1"/>
  <c r="R45" i="1" l="1"/>
  <c r="S45" i="1"/>
  <c r="R46" i="1"/>
  <c r="R26" i="1"/>
  <c r="R47" i="1" s="1"/>
  <c r="Q43" i="1"/>
  <c r="F31" i="1"/>
  <c r="N27" i="1"/>
  <c r="N39" i="1"/>
  <c r="O22" i="1" s="1"/>
  <c r="M40" i="1"/>
  <c r="S46" i="1" l="1"/>
  <c r="S26" i="1"/>
  <c r="S47" i="1" s="1"/>
  <c r="F37" i="1"/>
  <c r="F49" i="1"/>
  <c r="F32" i="1"/>
  <c r="O39" i="1"/>
  <c r="P22" i="1" s="1"/>
  <c r="O27" i="1"/>
  <c r="O21" i="1"/>
  <c r="R43" i="1"/>
  <c r="G28" i="1"/>
  <c r="G29" i="1" s="1"/>
  <c r="N40" i="1"/>
  <c r="S43" i="1" l="1"/>
  <c r="O40" i="1"/>
  <c r="P39" i="1"/>
  <c r="Q22" i="1" s="1"/>
  <c r="P27" i="1"/>
  <c r="P21" i="1"/>
  <c r="G41" i="1"/>
  <c r="P40" i="1" l="1"/>
  <c r="Q39" i="1"/>
  <c r="R22" i="1" s="1"/>
  <c r="Q27" i="1"/>
  <c r="Q21" i="1"/>
  <c r="G31" i="1"/>
  <c r="G37" i="1" l="1"/>
  <c r="Q40" i="1"/>
  <c r="R27" i="1"/>
  <c r="R39" i="1"/>
  <c r="S22" i="1" s="1"/>
  <c r="R21" i="1"/>
  <c r="G32" i="1"/>
  <c r="G49" i="1"/>
  <c r="H28" i="1" s="1"/>
  <c r="H29" i="1" s="1"/>
  <c r="S39" i="1" l="1"/>
  <c r="S27" i="1"/>
  <c r="S21" i="1"/>
  <c r="R40" i="1"/>
  <c r="H41" i="1"/>
  <c r="H31" i="1"/>
  <c r="H37" i="1" l="1"/>
  <c r="S40" i="1"/>
  <c r="H32" i="1"/>
  <c r="H49" i="1"/>
  <c r="I28" i="1" l="1"/>
  <c r="I29" i="1" s="1"/>
  <c r="I30" i="1" l="1"/>
  <c r="I41" i="1" s="1"/>
  <c r="I31" i="1" l="1"/>
  <c r="I32" i="1"/>
  <c r="I37" i="1" l="1"/>
  <c r="I49" i="1"/>
  <c r="J28" i="1"/>
  <c r="J29" i="1" s="1"/>
  <c r="J30" i="1" l="1"/>
  <c r="J41" i="1" s="1"/>
  <c r="J31" i="1" l="1"/>
  <c r="J32" i="1" l="1"/>
  <c r="J49" i="1"/>
  <c r="K28" i="1" l="1"/>
  <c r="K29" i="1" s="1"/>
  <c r="K30" i="1" l="1"/>
  <c r="K41" i="1" s="1"/>
  <c r="K31" i="1"/>
  <c r="K32" i="1" l="1"/>
  <c r="K49" i="1"/>
  <c r="L28" i="1" l="1"/>
  <c r="L29" i="1" s="1"/>
  <c r="L30" i="1" l="1"/>
  <c r="L41" i="1" s="1"/>
  <c r="L31" i="1" l="1"/>
  <c r="L32" i="1"/>
  <c r="L49" i="1"/>
  <c r="M28" i="1" l="1"/>
  <c r="M29" i="1" s="1"/>
  <c r="M30" i="1" l="1"/>
  <c r="M41" i="1" s="1"/>
  <c r="M31" i="1" l="1"/>
  <c r="M32" i="1" s="1"/>
  <c r="M49" i="1" l="1"/>
  <c r="N28" i="1"/>
  <c r="N29" i="1" s="1"/>
  <c r="N30" i="1" l="1"/>
  <c r="N41" i="1" s="1"/>
  <c r="N31" i="1" l="1"/>
  <c r="N32" i="1"/>
  <c r="N49" i="1"/>
  <c r="O28" i="1" l="1"/>
  <c r="O29" i="1" s="1"/>
  <c r="O30" i="1" l="1"/>
  <c r="O41" i="1" s="1"/>
  <c r="O31" i="1"/>
  <c r="O32" i="1" l="1"/>
  <c r="O49" i="1"/>
  <c r="P28" i="1" l="1"/>
  <c r="P29" i="1" s="1"/>
  <c r="P30" i="1" l="1"/>
  <c r="P41" i="1" s="1"/>
  <c r="P31" i="1"/>
  <c r="P32" i="1" l="1"/>
  <c r="P49" i="1"/>
  <c r="Q28" i="1" l="1"/>
  <c r="Q29" i="1" s="1"/>
  <c r="Q30" i="1" l="1"/>
  <c r="Q41" i="1" s="1"/>
  <c r="Q31" i="1"/>
  <c r="Q32" i="1" l="1"/>
  <c r="Q49" i="1"/>
  <c r="R28" i="1" l="1"/>
  <c r="R29" i="1" s="1"/>
  <c r="R30" i="1" l="1"/>
  <c r="R41" i="1" s="1"/>
  <c r="R31" i="1"/>
  <c r="R32" i="1" l="1"/>
  <c r="R49" i="1"/>
  <c r="S28" i="1" l="1"/>
  <c r="S29" i="1" s="1"/>
  <c r="S30" i="1" l="1"/>
  <c r="S41" i="1" s="1"/>
  <c r="S31" i="1"/>
  <c r="S32" i="1" l="1"/>
  <c r="T31" i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S49" i="1"/>
  <c r="AI31" i="1" l="1"/>
  <c r="AJ31" i="1" l="1"/>
  <c r="AK31" i="1" l="1"/>
  <c r="AL31" i="1" l="1"/>
  <c r="AM31" i="1" l="1"/>
  <c r="AN31" i="1" l="1"/>
  <c r="AO31" i="1" l="1"/>
  <c r="AP31" i="1" l="1"/>
  <c r="AQ31" i="1" l="1"/>
  <c r="AR31" i="1" l="1"/>
  <c r="AS31" i="1" l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DR31" i="1" s="1"/>
  <c r="DS31" i="1" s="1"/>
  <c r="DT31" i="1" s="1"/>
  <c r="DU31" i="1" s="1"/>
  <c r="DV31" i="1" s="1"/>
  <c r="DW31" i="1" s="1"/>
  <c r="DX31" i="1" s="1"/>
  <c r="DY31" i="1" s="1"/>
  <c r="DZ31" i="1" s="1"/>
  <c r="EA31" i="1" s="1"/>
  <c r="EB31" i="1" s="1"/>
  <c r="EC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FN31" i="1" s="1"/>
  <c r="FO31" i="1" s="1"/>
  <c r="FP31" i="1" s="1"/>
  <c r="FQ31" i="1" s="1"/>
  <c r="FR31" i="1" s="1"/>
  <c r="FS31" i="1" s="1"/>
  <c r="FT31" i="1" s="1"/>
  <c r="FU31" i="1" s="1"/>
  <c r="FV31" i="1" s="1"/>
  <c r="F6" i="1" s="1"/>
  <c r="F7" i="1" s="1"/>
  <c r="G7" i="1" l="1"/>
</calcChain>
</file>

<file path=xl/sharedStrings.xml><?xml version="1.0" encoding="utf-8"?>
<sst xmlns="http://schemas.openxmlformats.org/spreadsheetml/2006/main" count="165" uniqueCount="116">
  <si>
    <t>Price</t>
  </si>
  <si>
    <t>CEO</t>
  </si>
  <si>
    <t>Shares</t>
  </si>
  <si>
    <t>Q318</t>
  </si>
  <si>
    <t>Market Cap</t>
  </si>
  <si>
    <t>Net Cash</t>
  </si>
  <si>
    <t>Founder</t>
  </si>
  <si>
    <t>EV</t>
  </si>
  <si>
    <t>per share</t>
  </si>
  <si>
    <t>EDGAR</t>
  </si>
  <si>
    <t>Bilibili Inc (BILI)</t>
  </si>
  <si>
    <t>USD/RMB</t>
  </si>
  <si>
    <t>Rui Chen</t>
  </si>
  <si>
    <t>Xu Yi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</si>
  <si>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</si>
  <si>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</si>
  <si>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</si>
  <si>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</si>
  <si>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</si>
  <si>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</si>
  <si>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</si>
  <si>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</si>
  <si>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</si>
  <si>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</si>
  <si>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</si>
  <si>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</si>
  <si>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</si>
  <si>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</si>
  <si>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R&amp;D y/y</t>
  </si>
  <si>
    <t>S&amp;M y/y</t>
  </si>
  <si>
    <t>G&amp;A y/y</t>
  </si>
  <si>
    <t>Gross Margin</t>
  </si>
  <si>
    <t>Operating Margin</t>
  </si>
  <si>
    <t>Tax Rate</t>
  </si>
  <si>
    <t>Cash</t>
  </si>
  <si>
    <t>Debt</t>
  </si>
  <si>
    <t>ROIC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</si>
  <si>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</si>
  <si>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</si>
  <si>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</si>
  <si>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</si>
  <si>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</si>
  <si>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</si>
  <si>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</si>
  <si>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</si>
  <si>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</si>
  <si>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Q117</t>
  </si>
  <si>
    <t>Q217</t>
  </si>
  <si>
    <t>Q317</t>
  </si>
  <si>
    <t>Q417</t>
  </si>
  <si>
    <t>Q118</t>
  </si>
  <si>
    <t>Q218</t>
  </si>
  <si>
    <t>Q418</t>
  </si>
  <si>
    <t>Q119</t>
  </si>
  <si>
    <t>Q219</t>
  </si>
  <si>
    <t>Q319</t>
  </si>
  <si>
    <t>Q419</t>
  </si>
  <si>
    <t>31/3/2017</t>
  </si>
  <si>
    <t>30/6/2017</t>
  </si>
  <si>
    <t>30/9/2017</t>
  </si>
  <si>
    <t>31/12/2017</t>
  </si>
  <si>
    <t>31/3/2018</t>
  </si>
  <si>
    <t>30/6/2018</t>
  </si>
  <si>
    <t>30/9/2018</t>
  </si>
  <si>
    <t>31/12/2018</t>
  </si>
  <si>
    <t>Mobile games</t>
  </si>
  <si>
    <t>Livestreaming</t>
  </si>
  <si>
    <t>Advertising</t>
  </si>
  <si>
    <t>Other</t>
  </si>
  <si>
    <t>Mobile games y/y</t>
  </si>
  <si>
    <t>Livestreaming y/y</t>
  </si>
  <si>
    <t>Advertising y/y</t>
  </si>
  <si>
    <t>Other y/y</t>
  </si>
  <si>
    <t>Maturity</t>
  </si>
  <si>
    <t>Discount</t>
  </si>
  <si>
    <t>NPV</t>
  </si>
  <si>
    <t>Value</t>
  </si>
  <si>
    <t>Net Income USD</t>
  </si>
  <si>
    <t>Revenue USD</t>
  </si>
  <si>
    <t>Investor Relations</t>
  </si>
  <si>
    <t>Paying users</t>
  </si>
  <si>
    <t>ARPU</t>
  </si>
  <si>
    <t>Paying users y/y</t>
  </si>
  <si>
    <t>ARPU y/y</t>
  </si>
  <si>
    <t>MAU</t>
  </si>
  <si>
    <t>MAU y/y</t>
  </si>
  <si>
    <t>Shares ADS</t>
  </si>
  <si>
    <t>31/3/2019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</si>
  <si>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</si>
  <si>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</si>
  <si>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</si>
  <si>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</si>
  <si>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30/6/2019</t>
  </si>
  <si>
    <t>30/9/2019</t>
  </si>
  <si>
    <t>31/12/2019</t>
  </si>
  <si>
    <t>DAU</t>
  </si>
  <si>
    <t>DAU y/y</t>
  </si>
  <si>
    <t>Products</t>
  </si>
  <si>
    <t>bilibili.com</t>
  </si>
  <si>
    <t>Multimedia entertainment</t>
  </si>
  <si>
    <t>https://www.bilibili.com/</t>
  </si>
  <si>
    <t>Smart TV</t>
  </si>
  <si>
    <t>Bilibili Comic</t>
  </si>
  <si>
    <t>Audio streaming</t>
  </si>
  <si>
    <t>Aquired</t>
  </si>
  <si>
    <t>Maoer Inc</t>
  </si>
  <si>
    <t>https://www.missevan.com/</t>
  </si>
  <si>
    <t>https://manga.bilibili.com/</t>
  </si>
  <si>
    <t>OE y/y</t>
  </si>
  <si>
    <t>Revenue D</t>
  </si>
  <si>
    <t>Paying users D</t>
  </si>
  <si>
    <t xml:space="preserve"> </t>
  </si>
  <si>
    <t>Q120</t>
  </si>
  <si>
    <t>Q220</t>
  </si>
  <si>
    <t>Q320</t>
  </si>
  <si>
    <t>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</si>
</sst>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[Red]\-#,##0\ "/>
    <numFmt numFmtId="166" formatCode="#,##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4" fillId="0" borderId="0" xfId="0" applyFont="1"/>
    <xf numFmtId="4" fontId="2" fillId="0" borderId="0" xfId="0" applyNumberFormat="1" applyFont="1" applyBorder="1"/>
    <xf numFmtId="3" fontId="2" fillId="0" borderId="0" xfId="0" applyNumberFormat="1" applyFont="1" applyBorder="1"/>
    <xf numFmtId="0" fontId="3" fillId="0" borderId="0" xfId="1" applyFont="1"/>
    <xf numFmtId="3" fontId="2" fillId="2" borderId="0" xfId="0" applyNumberFormat="1" applyFont="1" applyFill="1" applyBorder="1"/>
    <xf numFmtId="0" fontId="5" fillId="0" borderId="0" xfId="0" applyFont="1"/>
    <xf numFmtId="4" fontId="2" fillId="2" borderId="0" xfId="0" applyNumberFormat="1" applyFont="1" applyFill="1" applyBorder="1"/>
    <xf numFmtId="3" fontId="4" fillId="2" borderId="0" xfId="0" applyNumberFormat="1" applyFont="1" applyFill="1" applyBorder="1"/>
    <xf numFmtId="3" fontId="4" fillId="0" borderId="0" xfId="0" applyNumberFormat="1" applyFont="1" applyBorder="1"/>
    <xf numFmtId="3" fontId="2" fillId="0" borderId="0" xfId="0" applyNumberFormat="1" applyFont="1"/>
    <xf numFmtId="2" fontId="2" fillId="2" borderId="0" xfId="0" applyNumberFormat="1" applyFont="1" applyFill="1" applyBorder="1"/>
    <xf numFmtId="2" fontId="2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/>
    <xf numFmtId="9" fontId="4" fillId="0" borderId="0" xfId="2" applyFont="1" applyBorder="1"/>
    <xf numFmtId="9" fontId="2" fillId="0" borderId="0" xfId="2" applyFont="1" applyBorder="1"/>
    <xf numFmtId="9" fontId="2" fillId="0" borderId="0" xfId="0" applyNumberFormat="1" applyFont="1" applyBorder="1"/>
    <xf numFmtId="3" fontId="4" fillId="0" borderId="0" xfId="0" applyNumberFormat="1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/>
    <xf numFmtId="3" fontId="2" fillId="0" borderId="0" xfId="0" applyNumberFormat="1" applyFont="1" applyFill="1"/>
    <xf numFmtId="3" fontId="2" fillId="2" borderId="0" xfId="0" applyNumberFormat="1" applyFont="1" applyFill="1"/>
    <xf numFmtId="0" fontId="2" fillId="0" borderId="0" xfId="0" applyFont="1" applyFill="1" applyBorder="1"/>
    <xf numFmtId="9" fontId="2" fillId="0" borderId="0" xfId="0" applyNumberFormat="1" applyFont="1"/>
    <xf numFmtId="3" fontId="2" fillId="0" borderId="1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9" fontId="2" fillId="0" borderId="1" xfId="0" applyNumberFormat="1" applyFont="1" applyBorder="1" applyAlignment="1">
      <alignment horizontal="right"/>
    </xf>
    <xf numFmtId="9" fontId="2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1" xfId="0" applyFont="1" applyBorder="1"/>
    <xf numFmtId="9" fontId="2" fillId="0" borderId="1" xfId="0" applyNumberFormat="1" applyFont="1" applyBorder="1"/>
    <xf numFmtId="9" fontId="4" fillId="0" borderId="0" xfId="0" applyNumberFormat="1" applyFont="1" applyBorder="1" applyAlignment="1">
      <alignment horizontal="right"/>
    </xf>
    <xf numFmtId="9" fontId="4" fillId="0" borderId="1" xfId="0" applyNumberFormat="1" applyFont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9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165" fontId="2" fillId="2" borderId="0" xfId="0" applyNumberFormat="1" applyFont="1" applyFill="1"/>
    <xf numFmtId="165" fontId="4" fillId="2" borderId="0" xfId="0" applyNumberFormat="1" applyFont="1" applyFill="1"/>
    <xf numFmtId="0" fontId="5" fillId="0" borderId="0" xfId="0" applyFont="1" applyBorder="1"/>
    <xf numFmtId="2" fontId="2" fillId="2" borderId="0" xfId="0" applyNumberFormat="1" applyFont="1" applyFill="1"/>
    <xf numFmtId="3" fontId="4" fillId="2" borderId="0" xfId="0" applyNumberFormat="1" applyFont="1" applyFill="1"/>
    <xf numFmtId="4" fontId="2" fillId="2" borderId="0" xfId="0" applyNumberFormat="1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166" fontId="2" fillId="0" borderId="0" xfId="0" applyNumberFormat="1" applyFont="1"/>
    <xf numFmtId="166" fontId="2" fillId="0" borderId="0" xfId="0" applyNumberFormat="1" applyFont="1" applyBorder="1"/>
    <xf numFmtId="166" fontId="2" fillId="0" borderId="1" xfId="0" applyNumberFormat="1" applyFont="1" applyBorder="1"/>
    <xf numFmtId="166" fontId="2" fillId="0" borderId="0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9" fontId="7" fillId="0" borderId="0" xfId="0" applyNumberFormat="1" applyFont="1"/>
    <xf numFmtId="0" fontId="8" fillId="0" borderId="0" xfId="1" applyFont="1"/>
    <xf numFmtId="4" fontId="7" fillId="0" borderId="0" xfId="0" applyNumberFormat="1" applyFont="1"/>
    <xf numFmtId="3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9" fontId="2" fillId="0" borderId="0" xfId="0" applyNumberFormat="1" applyFont="1" applyAlignment="1">
      <alignment horizontal="right"/>
    </xf>
    <xf numFmtId="0" fontId="9" fillId="0" borderId="0" xfId="0" applyFont="1"/>
    <xf numFmtId="0" fontId="8" fillId="0" borderId="0" xfId="1"/>
    <xf numFmtId="9" fontId="4" fillId="0" borderId="1" xfId="0" applyNumberFormat="1" applyFont="1" applyFill="1" applyBorder="1" applyAlignment="1">
      <alignment horizontal="right"/>
    </xf>
    <xf numFmtId="0" fontId="6" fillId="0" borderId="0" xfId="0" applyFont="1" applyBorder="1"/>
    <xf numFmtId="9" fontId="6" fillId="0" borderId="0" xfId="2" applyFont="1" applyBorder="1"/>
    <xf numFmtId="9" fontId="6" fillId="0" borderId="0" xfId="0" applyNumberFormat="1" applyFont="1"/>
    <xf numFmtId="10" fontId="7" fillId="0" borderId="0" xfId="0" applyNumberFormat="1" applyFont="1"/>
    <xf numFmtId="14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3" fontId="4" fillId="0" borderId="0" xfId="0" applyNumberFormat="1" applyFon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right"/>
    </xf>
    <xf numFmtId="9" fontId="2" fillId="0" borderId="1" xfId="0" applyNumberFormat="1" applyFont="1" applyFill="1" applyBorder="1" applyAlignment="1">
      <alignment horizontal="right"/>
    </xf>
    <xf numFmtId="3" fontId="6" fillId="0" borderId="0" xfId="0" applyNumberFormat="1" applyFont="1"/>
    <xf numFmtId="3" fontId="6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</cellXfs>
  <cellStyles count="3">
    <cellStyle name="Hyperlink" xfId="1" builtinId="8" customBuiltin="1"/>
    <cellStyle name="Normal" xfId="0" builtinId="0"/>
    <cellStyle name="Per 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9</xdr:row>
      <xdr:rowOff>152400</xdr:rowOff>
    </xdr:from>
    <xdr:to>
      <xdr:col>4</xdr:col>
      <xdr:colOff>139700</xdr:colOff>
      <xdr:row>75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848100" y="1638300"/>
          <a:ext cx="0" cy="10922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338666</xdr:colOff>
      <xdr:row>1</xdr:row>
      <xdr:rowOff>12700</xdr:rowOff>
    </xdr:from>
    <xdr:to>
      <xdr:col>16</xdr:col>
      <xdr:colOff>338666</xdr:colOff>
      <xdr:row>64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4033499" y="182033"/>
          <a:ext cx="0" cy="10668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://ir.bilibili.com/investor-overview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bili&amp;owner=exclude&amp;action=getcompan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anga.bilibili.com/" TargetMode="External"/><Relationship Id="rId2" Type="http://schemas.openxmlformats.org/officeDocument/2006/relationships/hyperlink" Target="https://www.missevan.com/" TargetMode="External"/><Relationship Id="rId1" Type="http://schemas.openxmlformats.org/officeDocument/2006/relationships/hyperlink" Target="https://www.bilibil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74"/>
  <sheetViews>
    <sheetView tabSelected="1" zoomScale="110" zoomScaleNormal="11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K15" sqref="K15"/>
    </sheetView>
  </sheetViews>
  <sheetFormatPr baseColWidth="10" defaultRowHeight="13" x14ac:dyDescent="0.15"/>
  <cols>
    <col min="1" max="1" width="16.1640625" style="1" bestFit="1" customWidth="1"/>
    <col min="2" max="16384" width="10.83203125" style="1"/>
  </cols>
  <sheetData>
    <row r="1" spans="1:19" x14ac:dyDescent="0.15">
      <c r="A1" s="5" t="s">
        <v>79</v>
      </c>
      <c r="B1" s="2" t="s">
        <v>10</v>
      </c>
    </row>
    <row r="2" spans="1:19" x14ac:dyDescent="0.15">
      <c r="B2" s="1" t="s">
        <v>0</v>
      </c>
      <c r="C2" s="3">
        <v>49.41</v>
      </c>
      <c r="D2" s="76">
        <v>44152</v>
      </c>
      <c r="E2" s="14" t="s">
        <v>73</v>
      </c>
      <c r="F2" s="75">
        <v>-0.01</v>
      </c>
      <c r="I2" s="11"/>
    </row>
    <row r="3" spans="1:19" x14ac:dyDescent="0.15">
      <c r="A3" s="2" t="s">
        <v>1</v>
      </c>
      <c r="B3" s="1" t="s">
        <v>86</v>
      </c>
      <c r="C3" s="4">
        <f>' Reports RMB'!O24</f>
        <v>348.63440000000003</v>
      </c>
      <c r="D3" s="77" t="s">
        <v>113</v>
      </c>
      <c r="E3" s="14" t="s">
        <v>36</v>
      </c>
      <c r="F3" s="45">
        <v>0.02</v>
      </c>
      <c r="G3" s="60" t="s">
        <v>88</v>
      </c>
      <c r="H3" s="61"/>
      <c r="I3" s="62"/>
      <c r="J3" s="61"/>
      <c r="K3" s="61"/>
      <c r="L3" s="61"/>
    </row>
    <row r="4" spans="1:19" x14ac:dyDescent="0.15">
      <c r="A4" s="5" t="s">
        <v>12</v>
      </c>
      <c r="B4" s="1" t="s">
        <v>4</v>
      </c>
      <c r="C4" s="6">
        <f>C2*C3</f>
        <v>17226.025704</v>
      </c>
      <c r="D4" s="77"/>
      <c r="E4" s="14" t="s">
        <v>74</v>
      </c>
      <c r="F4" s="45">
        <f>8%</f>
        <v>0.08</v>
      </c>
      <c r="G4" s="60" t="s">
        <v>89</v>
      </c>
      <c r="H4" s="61"/>
      <c r="I4" s="63"/>
      <c r="J4" s="61"/>
      <c r="K4" s="61"/>
      <c r="L4" s="64" t="s">
        <v>90</v>
      </c>
    </row>
    <row r="5" spans="1:19" x14ac:dyDescent="0.15">
      <c r="B5" s="1" t="s">
        <v>5</v>
      </c>
      <c r="C5" s="4">
        <f>' Reports RMB'!O35/C9</f>
        <v>1225.6097560975611</v>
      </c>
      <c r="D5" s="77" t="s">
        <v>113</v>
      </c>
      <c r="E5" s="14" t="s">
        <v>75</v>
      </c>
      <c r="F5" s="46">
        <f>NPV(F4,E31:FV31)</f>
        <v>123487.09750802032</v>
      </c>
      <c r="G5" s="60" t="s">
        <v>91</v>
      </c>
      <c r="H5" s="61"/>
      <c r="I5" s="63"/>
      <c r="J5" s="61"/>
      <c r="K5" s="61"/>
      <c r="L5" s="61"/>
    </row>
    <row r="6" spans="1:19" x14ac:dyDescent="0.15">
      <c r="A6" s="2" t="s">
        <v>6</v>
      </c>
      <c r="B6" s="1" t="s">
        <v>7</v>
      </c>
      <c r="C6" s="6">
        <f>C4-C5</f>
        <v>16000.415947902438</v>
      </c>
      <c r="D6" s="77"/>
      <c r="E6" s="15" t="s">
        <v>76</v>
      </c>
      <c r="F6" s="47">
        <f>F5/C9+C5</f>
        <v>20049.862425003099</v>
      </c>
      <c r="I6" s="25"/>
    </row>
    <row r="7" spans="1:19" x14ac:dyDescent="0.15">
      <c r="A7" s="5" t="s">
        <v>13</v>
      </c>
      <c r="B7" s="7" t="s">
        <v>8</v>
      </c>
      <c r="C7" s="8">
        <f>C6/C3</f>
        <v>45.894541525169167</v>
      </c>
      <c r="D7" s="77"/>
      <c r="E7" s="48" t="s">
        <v>8</v>
      </c>
      <c r="F7" s="49">
        <f>F6/C3</f>
        <v>57.509707662247607</v>
      </c>
      <c r="G7" s="25">
        <f>F7/C2-1</f>
        <v>0.16392850965892758</v>
      </c>
    </row>
    <row r="8" spans="1:19" x14ac:dyDescent="0.15">
      <c r="A8" s="5"/>
      <c r="D8" s="77"/>
    </row>
    <row r="9" spans="1:19" x14ac:dyDescent="0.15">
      <c r="B9" s="2" t="s">
        <v>11</v>
      </c>
      <c r="C9" s="65">
        <v>6.56</v>
      </c>
      <c r="D9" s="76">
        <v>44152</v>
      </c>
    </row>
    <row r="11" spans="1:19" x14ac:dyDescent="0.15">
      <c r="B11" s="1">
        <v>2017</v>
      </c>
      <c r="C11" s="1">
        <v>2018</v>
      </c>
      <c r="D11" s="1">
        <f>C11+1</f>
        <v>2019</v>
      </c>
      <c r="E11" s="1">
        <f t="shared" ref="E11:G11" si="0">D11+1</f>
        <v>2020</v>
      </c>
      <c r="F11" s="1">
        <f t="shared" si="0"/>
        <v>2021</v>
      </c>
      <c r="G11" s="1">
        <f t="shared" si="0"/>
        <v>2022</v>
      </c>
      <c r="H11" s="1">
        <f>G11+1</f>
        <v>2023</v>
      </c>
      <c r="I11" s="1">
        <f t="shared" ref="I11:S11" si="1">H11+1</f>
        <v>2024</v>
      </c>
      <c r="J11" s="1">
        <f t="shared" si="1"/>
        <v>2025</v>
      </c>
      <c r="K11" s="1">
        <f t="shared" si="1"/>
        <v>2026</v>
      </c>
      <c r="L11" s="1">
        <f t="shared" si="1"/>
        <v>2027</v>
      </c>
      <c r="M11" s="1">
        <f t="shared" si="1"/>
        <v>2028</v>
      </c>
      <c r="N11" s="1">
        <f t="shared" si="1"/>
        <v>2029</v>
      </c>
      <c r="O11" s="1">
        <f t="shared" si="1"/>
        <v>2030</v>
      </c>
      <c r="P11" s="1">
        <f t="shared" si="1"/>
        <v>2031</v>
      </c>
      <c r="Q11" s="1">
        <f t="shared" si="1"/>
        <v>2032</v>
      </c>
      <c r="R11" s="1">
        <f t="shared" si="1"/>
        <v>2033</v>
      </c>
      <c r="S11" s="1">
        <f t="shared" si="1"/>
        <v>2034</v>
      </c>
    </row>
    <row r="12" spans="1:19" x14ac:dyDescent="0.15">
      <c r="A12" s="1" t="s">
        <v>65</v>
      </c>
      <c r="B12" s="11">
        <f>SUM(' Reports RMB'!B3:E3)</f>
        <v>2058</v>
      </c>
      <c r="C12" s="11">
        <f>SUM(' Reports RMB'!F3:I3)</f>
        <v>2936</v>
      </c>
      <c r="D12" s="11">
        <f>SUM(' Reports RMB'!J3:M3)</f>
        <v>3597.4549999999999</v>
      </c>
      <c r="E12" s="11"/>
      <c r="F12" s="11"/>
      <c r="G12" s="11"/>
    </row>
    <row r="13" spans="1:19" x14ac:dyDescent="0.15">
      <c r="A13" s="1" t="s">
        <v>66</v>
      </c>
      <c r="B13" s="11">
        <f>SUM(' Reports RMB'!B4:E4)</f>
        <v>176</v>
      </c>
      <c r="C13" s="11">
        <f>SUM(' Reports RMB'!F4:I4)</f>
        <v>586</v>
      </c>
      <c r="D13" s="11">
        <f>SUM(' Reports RMB'!J4:M4)</f>
        <v>1641.652</v>
      </c>
      <c r="E13" s="11"/>
      <c r="F13" s="11"/>
      <c r="G13" s="11"/>
    </row>
    <row r="14" spans="1:19" x14ac:dyDescent="0.15">
      <c r="A14" s="1" t="s">
        <v>67</v>
      </c>
      <c r="B14" s="11">
        <f>SUM(' Reports RMB'!B5:E5)</f>
        <v>159</v>
      </c>
      <c r="C14" s="11">
        <f>SUM(' Reports RMB'!F5:I5)</f>
        <v>463</v>
      </c>
      <c r="D14" s="11">
        <f>SUM(' Reports RMB'!J5:M5)</f>
        <v>817.49900000000002</v>
      </c>
      <c r="E14" s="11"/>
      <c r="F14" s="11"/>
      <c r="G14" s="11"/>
    </row>
    <row r="15" spans="1:19" x14ac:dyDescent="0.15">
      <c r="A15" s="1" t="s">
        <v>68</v>
      </c>
      <c r="B15" s="11">
        <f>SUM(' Reports RMB'!B6:E6)</f>
        <v>74</v>
      </c>
      <c r="C15" s="11">
        <f>SUM(' Reports RMB'!F6:I6)</f>
        <v>143</v>
      </c>
      <c r="D15" s="11">
        <f>SUM(' Reports RMB'!J6:M6)</f>
        <v>721.90100000000007</v>
      </c>
      <c r="E15" s="11"/>
      <c r="F15" s="62" t="s">
        <v>111</v>
      </c>
      <c r="G15" s="11"/>
    </row>
    <row r="16" spans="1:19" x14ac:dyDescent="0.15">
      <c r="B16" s="11"/>
      <c r="C16" s="11"/>
      <c r="D16" s="11"/>
      <c r="E16" s="11"/>
      <c r="F16" s="11"/>
      <c r="G16" s="11"/>
    </row>
    <row r="17" spans="1:178" s="53" customFormat="1" x14ac:dyDescent="0.15">
      <c r="A17" s="53" t="s">
        <v>80</v>
      </c>
      <c r="B17" s="53">
        <v>2</v>
      </c>
      <c r="C17" s="53">
        <f>' Reports RMB'!I8</f>
        <v>4.4000000000000004</v>
      </c>
      <c r="D17" s="53">
        <f>' Reports RMB'!M8</f>
        <v>8.8000000000000007</v>
      </c>
      <c r="E17" s="53">
        <f>D17*1.8</f>
        <v>15.840000000000002</v>
      </c>
      <c r="F17" s="53">
        <f>E17*1.75</f>
        <v>27.720000000000002</v>
      </c>
      <c r="G17" s="53">
        <f>F17*1.7</f>
        <v>47.124000000000002</v>
      </c>
      <c r="H17" s="53">
        <f>G17*1.65</f>
        <v>77.754599999999996</v>
      </c>
      <c r="I17" s="53">
        <f>H17*1.6</f>
        <v>124.40736</v>
      </c>
    </row>
    <row r="18" spans="1:178" x14ac:dyDescent="0.15">
      <c r="A18" s="1" t="s">
        <v>81</v>
      </c>
      <c r="B18" s="23">
        <f>SUM(B12:B15)/B17</f>
        <v>1233.5</v>
      </c>
      <c r="C18" s="23">
        <f>SUM(C12:C15)/C17</f>
        <v>938.18181818181813</v>
      </c>
      <c r="D18" s="23">
        <f>SUM(D12:D15)/D17</f>
        <v>770.28488636363625</v>
      </c>
      <c r="E18" s="11">
        <f>D18*0.9</f>
        <v>693.25639772727266</v>
      </c>
      <c r="F18" s="11">
        <f t="shared" ref="F18:I18" si="2">E18*0.9</f>
        <v>623.93075795454536</v>
      </c>
      <c r="G18" s="11">
        <f t="shared" si="2"/>
        <v>561.53768215909088</v>
      </c>
      <c r="H18" s="11">
        <f t="shared" si="2"/>
        <v>505.38391394318182</v>
      </c>
      <c r="I18" s="11">
        <f t="shared" si="2"/>
        <v>454.84552254886364</v>
      </c>
    </row>
    <row r="20" spans="1:178" x14ac:dyDescent="0.15">
      <c r="A20" s="2" t="s">
        <v>14</v>
      </c>
      <c r="B20" s="9">
        <f>SUM(B12:B15)</f>
        <v>2467</v>
      </c>
      <c r="C20" s="9">
        <f>C17*C18</f>
        <v>4128</v>
      </c>
      <c r="D20" s="9">
        <f>D17*D18</f>
        <v>6778.5069999999996</v>
      </c>
      <c r="E20" s="19">
        <f>E17*E18</f>
        <v>10981.181339999999</v>
      </c>
      <c r="F20" s="19">
        <f t="shared" ref="F20:H20" si="3">F17*F18</f>
        <v>17295.3606105</v>
      </c>
      <c r="G20" s="19">
        <f t="shared" si="3"/>
        <v>26461.901734064999</v>
      </c>
      <c r="H20" s="19">
        <f t="shared" si="3"/>
        <v>39295.924075086521</v>
      </c>
      <c r="I20" s="19">
        <f>I17*I18</f>
        <v>56586.130668124599</v>
      </c>
      <c r="J20" s="19">
        <f>I20*1.2</f>
        <v>67903.356801749513</v>
      </c>
      <c r="K20" s="19">
        <f t="shared" ref="K20:S20" si="4">J20*1.2</f>
        <v>81484.028162099406</v>
      </c>
      <c r="L20" s="19">
        <f t="shared" si="4"/>
        <v>97780.833794519291</v>
      </c>
      <c r="M20" s="19">
        <f t="shared" si="4"/>
        <v>117337.00055342315</v>
      </c>
      <c r="N20" s="19">
        <f t="shared" si="4"/>
        <v>140804.40066410776</v>
      </c>
      <c r="O20" s="19">
        <f>N20*1.1</f>
        <v>154884.84073051854</v>
      </c>
      <c r="P20" s="19">
        <f t="shared" ref="P20:S20" si="5">O20*1.1</f>
        <v>170373.3248035704</v>
      </c>
      <c r="Q20" s="19">
        <f t="shared" si="5"/>
        <v>187410.65728392746</v>
      </c>
      <c r="R20" s="19">
        <f t="shared" si="5"/>
        <v>206151.72301232023</v>
      </c>
      <c r="S20" s="19">
        <f t="shared" si="5"/>
        <v>226766.89531355226</v>
      </c>
    </row>
    <row r="21" spans="1:178" x14ac:dyDescent="0.15">
      <c r="A21" s="1" t="s">
        <v>15</v>
      </c>
      <c r="B21" s="11">
        <f>SUM(' Reports RMB'!B12:E12)</f>
        <v>1919</v>
      </c>
      <c r="C21" s="11">
        <f>SUM(' Reports RMB'!F12:I12)</f>
        <v>3274</v>
      </c>
      <c r="D21" s="11">
        <f>SUM(' Reports RMB'!J12:M12)</f>
        <v>5588.1909999999998</v>
      </c>
      <c r="E21" s="11">
        <f t="shared" ref="E21:F21" si="6">E20-E22</f>
        <v>9052.8694199999991</v>
      </c>
      <c r="F21" s="11">
        <f t="shared" si="6"/>
        <v>14258.2693365</v>
      </c>
      <c r="G21" s="11">
        <f>G20-G22</f>
        <v>21815.152084845002</v>
      </c>
      <c r="H21" s="11">
        <f>H20-H22</f>
        <v>32395.500845994822</v>
      </c>
      <c r="I21" s="11">
        <f t="shared" ref="I21:N21" si="7">I20-I22</f>
        <v>46649.521218232549</v>
      </c>
      <c r="J21" s="11">
        <f t="shared" si="7"/>
        <v>55979.425461879058</v>
      </c>
      <c r="K21" s="11">
        <f t="shared" si="7"/>
        <v>67175.310554254858</v>
      </c>
      <c r="L21" s="11">
        <f t="shared" si="7"/>
        <v>80610.372665105839</v>
      </c>
      <c r="M21" s="11">
        <f t="shared" si="7"/>
        <v>96732.447198127004</v>
      </c>
      <c r="N21" s="11">
        <f t="shared" si="7"/>
        <v>116078.9366377524</v>
      </c>
      <c r="O21" s="11">
        <f t="shared" ref="O21:S21" si="8">O20-O22</f>
        <v>127686.83030152763</v>
      </c>
      <c r="P21" s="11">
        <f t="shared" si="8"/>
        <v>140455.51333168041</v>
      </c>
      <c r="Q21" s="11">
        <f t="shared" si="8"/>
        <v>154501.06466484847</v>
      </c>
      <c r="R21" s="11">
        <f t="shared" si="8"/>
        <v>169951.17113133334</v>
      </c>
      <c r="S21" s="11">
        <f t="shared" si="8"/>
        <v>186946.28824446665</v>
      </c>
    </row>
    <row r="22" spans="1:178" x14ac:dyDescent="0.15">
      <c r="A22" s="1" t="s">
        <v>16</v>
      </c>
      <c r="B22" s="6">
        <f>B20-B21</f>
        <v>548</v>
      </c>
      <c r="C22" s="6">
        <f>C20-C21</f>
        <v>854</v>
      </c>
      <c r="D22" s="6">
        <f>D20-D21</f>
        <v>1190.3159999999998</v>
      </c>
      <c r="E22" s="11">
        <f t="shared" ref="E22:S22" si="9">E20*D39</f>
        <v>1928.3119199999996</v>
      </c>
      <c r="F22" s="11">
        <f t="shared" si="9"/>
        <v>3037.0912739999999</v>
      </c>
      <c r="G22" s="11">
        <f t="shared" si="9"/>
        <v>4646.7496492199989</v>
      </c>
      <c r="H22" s="11">
        <f t="shared" si="9"/>
        <v>6900.423229091698</v>
      </c>
      <c r="I22" s="11">
        <f t="shared" si="9"/>
        <v>9936.6094498920465</v>
      </c>
      <c r="J22" s="11">
        <f t="shared" si="9"/>
        <v>11923.931339870454</v>
      </c>
      <c r="K22" s="11">
        <f t="shared" si="9"/>
        <v>14308.717607844543</v>
      </c>
      <c r="L22" s="11">
        <f t="shared" si="9"/>
        <v>17170.461129413452</v>
      </c>
      <c r="M22" s="11">
        <f t="shared" si="9"/>
        <v>20604.553355296142</v>
      </c>
      <c r="N22" s="11">
        <f t="shared" si="9"/>
        <v>24725.464026355367</v>
      </c>
      <c r="O22" s="11">
        <f t="shared" si="9"/>
        <v>27198.010428990907</v>
      </c>
      <c r="P22" s="11">
        <f t="shared" si="9"/>
        <v>29917.81147189</v>
      </c>
      <c r="Q22" s="11">
        <f t="shared" si="9"/>
        <v>32909.592619078998</v>
      </c>
      <c r="R22" s="11">
        <f t="shared" si="9"/>
        <v>36200.551880986903</v>
      </c>
      <c r="S22" s="11">
        <f t="shared" si="9"/>
        <v>39820.6070690856</v>
      </c>
    </row>
    <row r="23" spans="1:178" x14ac:dyDescent="0.15">
      <c r="A23" s="1" t="s">
        <v>17</v>
      </c>
      <c r="B23" s="11">
        <f>SUM(' Reports RMB'!B14:E14)</f>
        <v>279</v>
      </c>
      <c r="C23" s="11">
        <f>SUM(' Reports RMB'!F14:I14)</f>
        <v>537</v>
      </c>
      <c r="D23" s="11">
        <f>SUM(' Reports RMB'!J14:M14)</f>
        <v>894.07500000000005</v>
      </c>
      <c r="E23" s="11">
        <f>D23*1.3</f>
        <v>1162.2975000000001</v>
      </c>
      <c r="F23" s="11">
        <f t="shared" ref="F23:I23" si="10">E23*1.3</f>
        <v>1510.9867500000003</v>
      </c>
      <c r="G23" s="11">
        <f t="shared" si="10"/>
        <v>1964.2827750000004</v>
      </c>
      <c r="H23" s="11">
        <f t="shared" si="10"/>
        <v>2553.5676075000006</v>
      </c>
      <c r="I23" s="11">
        <f t="shared" si="10"/>
        <v>3319.6378897500008</v>
      </c>
      <c r="J23" s="11">
        <f>I23*1.15</f>
        <v>3817.5835732125006</v>
      </c>
      <c r="K23" s="11">
        <f t="shared" ref="K23:S23" si="11">J23*1.15</f>
        <v>4390.2211091943755</v>
      </c>
      <c r="L23" s="11">
        <f t="shared" si="11"/>
        <v>5048.7542755735312</v>
      </c>
      <c r="M23" s="11">
        <f t="shared" si="11"/>
        <v>5806.0674169095601</v>
      </c>
      <c r="N23" s="11">
        <f t="shared" si="11"/>
        <v>6676.9775294459932</v>
      </c>
      <c r="O23" s="11">
        <f t="shared" ref="O23:S23" si="12">N23*1.05</f>
        <v>7010.8264059182929</v>
      </c>
      <c r="P23" s="11">
        <f t="shared" si="12"/>
        <v>7361.3677262142082</v>
      </c>
      <c r="Q23" s="11">
        <f t="shared" si="12"/>
        <v>7729.4361125249188</v>
      </c>
      <c r="R23" s="11">
        <f t="shared" si="12"/>
        <v>8115.9079181511652</v>
      </c>
      <c r="S23" s="11">
        <f t="shared" si="12"/>
        <v>8521.7033140587246</v>
      </c>
    </row>
    <row r="24" spans="1:178" x14ac:dyDescent="0.15">
      <c r="A24" s="1" t="s">
        <v>18</v>
      </c>
      <c r="B24" s="11">
        <f>SUM(' Reports RMB'!B15:E15)</f>
        <v>233</v>
      </c>
      <c r="C24" s="11">
        <f>SUM(' Reports RMB'!F15:I15)</f>
        <v>586</v>
      </c>
      <c r="D24" s="11">
        <f>SUM(' Reports RMB'!J15:M15)</f>
        <v>1198.4870000000001</v>
      </c>
      <c r="E24" s="11">
        <f>D24*1.2</f>
        <v>1438.1844000000001</v>
      </c>
      <c r="F24" s="11">
        <f t="shared" ref="F24:I24" si="13">E24*1.2</f>
        <v>1725.8212800000001</v>
      </c>
      <c r="G24" s="11">
        <f t="shared" si="13"/>
        <v>2070.9855360000001</v>
      </c>
      <c r="H24" s="11">
        <f t="shared" si="13"/>
        <v>2485.1826432000003</v>
      </c>
      <c r="I24" s="11">
        <f t="shared" si="13"/>
        <v>2982.2191718400004</v>
      </c>
      <c r="J24" s="11">
        <f>I24*1.1</f>
        <v>3280.4410890240006</v>
      </c>
      <c r="K24" s="11">
        <f t="shared" ref="K24:S24" si="14">J24*1.1</f>
        <v>3608.4851979264008</v>
      </c>
      <c r="L24" s="11">
        <f t="shared" si="14"/>
        <v>3969.333717719041</v>
      </c>
      <c r="M24" s="11">
        <f t="shared" si="14"/>
        <v>4366.2670894909452</v>
      </c>
      <c r="N24" s="11">
        <f t="shared" si="14"/>
        <v>4802.89379844004</v>
      </c>
      <c r="O24" s="11">
        <f t="shared" ref="O24:S24" si="15">N24*0.98</f>
        <v>4706.8359224712394</v>
      </c>
      <c r="P24" s="11">
        <f t="shared" si="15"/>
        <v>4612.6992040218147</v>
      </c>
      <c r="Q24" s="11">
        <f t="shared" si="15"/>
        <v>4520.4452199413781</v>
      </c>
      <c r="R24" s="11">
        <f t="shared" si="15"/>
        <v>4430.0363155425503</v>
      </c>
      <c r="S24" s="11">
        <f t="shared" si="15"/>
        <v>4341.4355892316989</v>
      </c>
    </row>
    <row r="25" spans="1:178" x14ac:dyDescent="0.15">
      <c r="A25" s="1" t="s">
        <v>19</v>
      </c>
      <c r="B25" s="11">
        <f>SUM(' Reports RMB'!B16:E16)</f>
        <v>261</v>
      </c>
      <c r="C25" s="11">
        <f>SUM(' Reports RMB'!F16:I16)</f>
        <v>462</v>
      </c>
      <c r="D25" s="11">
        <f>SUM(' Reports RMB'!J16:M16)</f>
        <v>592.48699999999997</v>
      </c>
      <c r="E25" s="11">
        <f>D25*1.25</f>
        <v>740.60874999999999</v>
      </c>
      <c r="F25" s="11">
        <f t="shared" ref="F25:I25" si="16">E25*1.25</f>
        <v>925.76093749999995</v>
      </c>
      <c r="G25" s="11">
        <f t="shared" si="16"/>
        <v>1157.201171875</v>
      </c>
      <c r="H25" s="11">
        <f t="shared" si="16"/>
        <v>1446.50146484375</v>
      </c>
      <c r="I25" s="11">
        <f t="shared" si="16"/>
        <v>1808.1268310546875</v>
      </c>
      <c r="J25" s="11">
        <f>I25*1.05</f>
        <v>1898.5331726074219</v>
      </c>
      <c r="K25" s="11">
        <f t="shared" ref="K25:S25" si="17">J25*1.05</f>
        <v>1993.459831237793</v>
      </c>
      <c r="L25" s="11">
        <f t="shared" si="17"/>
        <v>2093.1328227996828</v>
      </c>
      <c r="M25" s="11">
        <f t="shared" si="17"/>
        <v>2197.7894639396673</v>
      </c>
      <c r="N25" s="11">
        <f t="shared" si="17"/>
        <v>2307.6789371366508</v>
      </c>
      <c r="O25" s="11">
        <f t="shared" ref="N25:S25" si="18">N25*0.98</f>
        <v>2261.5253583939179</v>
      </c>
      <c r="P25" s="11">
        <f t="shared" si="18"/>
        <v>2216.2948512260396</v>
      </c>
      <c r="Q25" s="11">
        <f t="shared" si="18"/>
        <v>2171.9689542015185</v>
      </c>
      <c r="R25" s="11">
        <f t="shared" si="18"/>
        <v>2128.5295751174881</v>
      </c>
      <c r="S25" s="11">
        <f t="shared" si="18"/>
        <v>2085.9589836151381</v>
      </c>
    </row>
    <row r="26" spans="1:178" x14ac:dyDescent="0.15">
      <c r="A26" s="1" t="s">
        <v>20</v>
      </c>
      <c r="B26" s="6">
        <f>SUM(B23:B25)</f>
        <v>773</v>
      </c>
      <c r="C26" s="6">
        <f>SUM(C23:C25)</f>
        <v>1585</v>
      </c>
      <c r="D26" s="6">
        <f>SUM(D23:D25)</f>
        <v>2685.049</v>
      </c>
      <c r="E26" s="4">
        <f t="shared" ref="E26:F26" si="19">SUM(E23:E25)</f>
        <v>3341.0906500000001</v>
      </c>
      <c r="F26" s="4">
        <f t="shared" si="19"/>
        <v>4162.5689675000003</v>
      </c>
      <c r="G26" s="4">
        <f>SUM(G23:G25)</f>
        <v>5192.4694828750007</v>
      </c>
      <c r="H26" s="4">
        <f t="shared" ref="H26:N26" si="20">SUM(H23:H25)</f>
        <v>6485.2517155437508</v>
      </c>
      <c r="I26" s="4">
        <f t="shared" si="20"/>
        <v>8109.9838926446882</v>
      </c>
      <c r="J26" s="4">
        <f>SUM(J23:J25)</f>
        <v>8996.557834843923</v>
      </c>
      <c r="K26" s="4">
        <f t="shared" si="20"/>
        <v>9992.1661383585688</v>
      </c>
      <c r="L26" s="4">
        <f t="shared" si="20"/>
        <v>11111.220816092256</v>
      </c>
      <c r="M26" s="4">
        <f t="shared" si="20"/>
        <v>12370.123970340172</v>
      </c>
      <c r="N26" s="4">
        <f t="shared" si="20"/>
        <v>13787.550265022684</v>
      </c>
      <c r="O26" s="4">
        <f t="shared" ref="O26:S26" si="21">SUM(O23:O25)</f>
        <v>13979.187686783449</v>
      </c>
      <c r="P26" s="4">
        <f t="shared" si="21"/>
        <v>14190.361781462061</v>
      </c>
      <c r="Q26" s="4">
        <f t="shared" si="21"/>
        <v>14421.850286667815</v>
      </c>
      <c r="R26" s="4">
        <f t="shared" si="21"/>
        <v>14674.473808811203</v>
      </c>
      <c r="S26" s="4">
        <f t="shared" si="21"/>
        <v>14949.097886905562</v>
      </c>
    </row>
    <row r="27" spans="1:178" x14ac:dyDescent="0.15">
      <c r="A27" s="1" t="s">
        <v>21</v>
      </c>
      <c r="B27" s="6">
        <f>B22-B26</f>
        <v>-225</v>
      </c>
      <c r="C27" s="6">
        <f>C22-C26</f>
        <v>-731</v>
      </c>
      <c r="D27" s="6">
        <f>D22-D26</f>
        <v>-1494.7330000000002</v>
      </c>
      <c r="E27" s="4">
        <f t="shared" ref="E27:G27" si="22">E22-E26</f>
        <v>-1412.7787300000005</v>
      </c>
      <c r="F27" s="4">
        <f t="shared" si="22"/>
        <v>-1125.4776935000004</v>
      </c>
      <c r="G27" s="4">
        <f t="shared" si="22"/>
        <v>-545.71983365500182</v>
      </c>
      <c r="H27" s="4">
        <f>H22-H26</f>
        <v>415.17151354794714</v>
      </c>
      <c r="I27" s="4">
        <f t="shared" ref="I27" si="23">I22-I26</f>
        <v>1826.6255572473583</v>
      </c>
      <c r="J27" s="4">
        <f t="shared" ref="J27" si="24">J22-J26</f>
        <v>2927.3735050265313</v>
      </c>
      <c r="K27" s="4">
        <f t="shared" ref="K27" si="25">K22-K26</f>
        <v>4316.5514694859739</v>
      </c>
      <c r="L27" s="4">
        <f t="shared" ref="L27" si="26">L22-L26</f>
        <v>6059.2403133211956</v>
      </c>
      <c r="M27" s="4">
        <f t="shared" ref="M27" si="27">M22-M26</f>
        <v>8234.4293849559708</v>
      </c>
      <c r="N27" s="4">
        <f t="shared" ref="N27:O27" si="28">N22-N26</f>
        <v>10937.913761332682</v>
      </c>
      <c r="O27" s="4">
        <f t="shared" si="28"/>
        <v>13218.822742207458</v>
      </c>
      <c r="P27" s="4">
        <f t="shared" ref="P27:S27" si="29">P22-P26</f>
        <v>15727.449690427939</v>
      </c>
      <c r="Q27" s="4">
        <f t="shared" si="29"/>
        <v>18487.742332411181</v>
      </c>
      <c r="R27" s="4">
        <f t="shared" si="29"/>
        <v>21526.0780721757</v>
      </c>
      <c r="S27" s="4">
        <f t="shared" si="29"/>
        <v>24871.509182180038</v>
      </c>
    </row>
    <row r="28" spans="1:178" x14ac:dyDescent="0.15">
      <c r="A28" s="1" t="s">
        <v>22</v>
      </c>
      <c r="B28" s="11">
        <f>SUM(' Reports RMB'!B19:E19)</f>
        <v>50</v>
      </c>
      <c r="C28" s="11">
        <f>SUM(' Reports RMB'!F19:I19)</f>
        <v>189</v>
      </c>
      <c r="D28" s="11">
        <f>SUM(' Reports RMB'!J19:M19)</f>
        <v>227.28300000000002</v>
      </c>
      <c r="E28" s="11">
        <f t="shared" ref="E28:S28" si="30">D49*$F$3</f>
        <v>118.09057999999997</v>
      </c>
      <c r="F28" s="11">
        <f t="shared" si="30"/>
        <v>91.457503026711862</v>
      </c>
      <c r="G28" s="11">
        <f t="shared" si="30"/>
        <v>70.777099217246089</v>
      </c>
      <c r="H28" s="11">
        <f t="shared" si="30"/>
        <v>61.278244528490973</v>
      </c>
      <c r="I28" s="11">
        <f t="shared" si="30"/>
        <v>70.807239690019728</v>
      </c>
      <c r="J28" s="11">
        <f t="shared" si="30"/>
        <v>103.06359723795516</v>
      </c>
      <c r="K28" s="11">
        <f t="shared" si="30"/>
        <v>154.58102797645145</v>
      </c>
      <c r="L28" s="11">
        <f t="shared" si="30"/>
        <v>230.5902804333127</v>
      </c>
      <c r="M28" s="11">
        <f t="shared" si="30"/>
        <v>337.51740052713933</v>
      </c>
      <c r="N28" s="11">
        <f t="shared" si="30"/>
        <v>483.24049588035223</v>
      </c>
      <c r="O28" s="11">
        <f t="shared" si="30"/>
        <v>677.40011825297381</v>
      </c>
      <c r="P28" s="11">
        <f t="shared" si="30"/>
        <v>913.63590688080126</v>
      </c>
      <c r="Q28" s="11">
        <f t="shared" si="30"/>
        <v>1196.5343620350498</v>
      </c>
      <c r="R28" s="11">
        <f t="shared" si="30"/>
        <v>1531.1670658406356</v>
      </c>
      <c r="S28" s="11">
        <f t="shared" si="30"/>
        <v>1923.1402331869133</v>
      </c>
    </row>
    <row r="29" spans="1:178" x14ac:dyDescent="0.15">
      <c r="A29" s="1" t="s">
        <v>23</v>
      </c>
      <c r="B29" s="6">
        <f>B27+B28</f>
        <v>-175</v>
      </c>
      <c r="C29" s="6">
        <f>C27+C28</f>
        <v>-542</v>
      </c>
      <c r="D29" s="6">
        <f>D27+D28</f>
        <v>-1267.4500000000003</v>
      </c>
      <c r="E29" s="4">
        <f t="shared" ref="E29:F29" si="31">E27+E28</f>
        <v>-1294.6881500000004</v>
      </c>
      <c r="F29" s="4">
        <f t="shared" si="31"/>
        <v>-1034.0201904732885</v>
      </c>
      <c r="G29" s="4">
        <f>G27+G28</f>
        <v>-474.94273443775575</v>
      </c>
      <c r="H29" s="4">
        <f t="shared" ref="H29:N29" si="32">H27+H28</f>
        <v>476.44975807643812</v>
      </c>
      <c r="I29" s="4">
        <f t="shared" si="32"/>
        <v>1897.432796937378</v>
      </c>
      <c r="J29" s="4">
        <f t="shared" si="32"/>
        <v>3030.4371022644864</v>
      </c>
      <c r="K29" s="4">
        <f t="shared" si="32"/>
        <v>4471.1324974624258</v>
      </c>
      <c r="L29" s="4">
        <f t="shared" si="32"/>
        <v>6289.8305937545083</v>
      </c>
      <c r="M29" s="4">
        <f t="shared" si="32"/>
        <v>8571.9467854831109</v>
      </c>
      <c r="N29" s="4">
        <f t="shared" si="32"/>
        <v>11421.154257213035</v>
      </c>
      <c r="O29" s="4">
        <f t="shared" ref="O29:S29" si="33">O27+O28</f>
        <v>13896.222860460432</v>
      </c>
      <c r="P29" s="4">
        <f t="shared" si="33"/>
        <v>16641.085597308738</v>
      </c>
      <c r="Q29" s="4">
        <f t="shared" si="33"/>
        <v>19684.276694446231</v>
      </c>
      <c r="R29" s="4">
        <f t="shared" si="33"/>
        <v>23057.245138016337</v>
      </c>
      <c r="S29" s="4">
        <f t="shared" si="33"/>
        <v>26794.649415366952</v>
      </c>
    </row>
    <row r="30" spans="1:178" x14ac:dyDescent="0.15">
      <c r="A30" s="1" t="s">
        <v>24</v>
      </c>
      <c r="B30" s="11">
        <f>SUM(' Reports RMB'!B21:E21)</f>
        <v>8</v>
      </c>
      <c r="C30" s="11">
        <f>SUM(' Reports RMB'!F21:I21)</f>
        <v>25</v>
      </c>
      <c r="D30" s="11">
        <f>SUM(' Reports RMB'!J21:M21)</f>
        <v>36.188000000000002</v>
      </c>
      <c r="E30" s="11">
        <f>E29*D41</f>
        <v>36.965698664404918</v>
      </c>
      <c r="F30" s="11">
        <v>0</v>
      </c>
      <c r="G30" s="11">
        <v>0</v>
      </c>
      <c r="H30" s="11">
        <v>0</v>
      </c>
      <c r="I30" s="11">
        <f t="shared" ref="I30" si="34">I29*0.15</f>
        <v>284.61491954060671</v>
      </c>
      <c r="J30" s="11">
        <f t="shared" ref="J30" si="35">J29*0.15</f>
        <v>454.56556533967296</v>
      </c>
      <c r="K30" s="11">
        <f t="shared" ref="K30" si="36">K29*0.15</f>
        <v>670.6698746193639</v>
      </c>
      <c r="L30" s="11">
        <f t="shared" ref="L30" si="37">L29*0.15</f>
        <v>943.47458906317615</v>
      </c>
      <c r="M30" s="11">
        <f t="shared" ref="M30" si="38">M29*0.15</f>
        <v>1285.7920178224665</v>
      </c>
      <c r="N30" s="11">
        <f t="shared" ref="N30:O30" si="39">N29*0.15</f>
        <v>1713.1731385819551</v>
      </c>
      <c r="O30" s="11">
        <f t="shared" si="39"/>
        <v>2084.4334290690645</v>
      </c>
      <c r="P30" s="11">
        <f t="shared" ref="P30:S30" si="40">P29*0.15</f>
        <v>2496.1628395963107</v>
      </c>
      <c r="Q30" s="11">
        <f t="shared" si="40"/>
        <v>2952.6415041669347</v>
      </c>
      <c r="R30" s="11">
        <f t="shared" si="40"/>
        <v>3458.5867707024504</v>
      </c>
      <c r="S30" s="11">
        <f t="shared" si="40"/>
        <v>4019.1974123050427</v>
      </c>
    </row>
    <row r="31" spans="1:178" x14ac:dyDescent="0.15">
      <c r="A31" s="2" t="s">
        <v>25</v>
      </c>
      <c r="B31" s="9">
        <f>B29-B30</f>
        <v>-183</v>
      </c>
      <c r="C31" s="9">
        <f>C29-C30</f>
        <v>-567</v>
      </c>
      <c r="D31" s="9">
        <f>D29-D30</f>
        <v>-1303.6380000000004</v>
      </c>
      <c r="E31" s="9">
        <f>E29-E30</f>
        <v>-1331.6538486644054</v>
      </c>
      <c r="F31" s="9">
        <f t="shared" ref="F31" si="41">F29-F30</f>
        <v>-1034.0201904732885</v>
      </c>
      <c r="G31" s="9">
        <f>G29-G30</f>
        <v>-474.94273443775575</v>
      </c>
      <c r="H31" s="9">
        <f t="shared" ref="H31:M31" si="42">H29-H30</f>
        <v>476.44975807643812</v>
      </c>
      <c r="I31" s="9">
        <f t="shared" si="42"/>
        <v>1612.8178773967713</v>
      </c>
      <c r="J31" s="9">
        <f t="shared" si="42"/>
        <v>2575.8715369248134</v>
      </c>
      <c r="K31" s="9">
        <f t="shared" si="42"/>
        <v>3800.462622843062</v>
      </c>
      <c r="L31" s="9">
        <f t="shared" si="42"/>
        <v>5346.3560046913317</v>
      </c>
      <c r="M31" s="9">
        <f t="shared" si="42"/>
        <v>7286.1547676606442</v>
      </c>
      <c r="N31" s="9">
        <f t="shared" ref="N31:S31" si="43">N29-N30</f>
        <v>9707.9811186310799</v>
      </c>
      <c r="O31" s="9">
        <f t="shared" si="43"/>
        <v>11811.789431391368</v>
      </c>
      <c r="P31" s="9">
        <f t="shared" si="43"/>
        <v>14144.922757712427</v>
      </c>
      <c r="Q31" s="9">
        <f t="shared" si="43"/>
        <v>16731.635190279296</v>
      </c>
      <c r="R31" s="9">
        <f t="shared" si="43"/>
        <v>19598.658367313885</v>
      </c>
      <c r="S31" s="9">
        <f t="shared" si="43"/>
        <v>22775.45200306191</v>
      </c>
      <c r="T31" s="50">
        <f t="shared" ref="T31:AQ31" si="44">S31*($F$2+1)</f>
        <v>22547.69748303129</v>
      </c>
      <c r="U31" s="50">
        <f t="shared" si="44"/>
        <v>22322.220508200979</v>
      </c>
      <c r="V31" s="50">
        <f t="shared" si="44"/>
        <v>22098.998303118969</v>
      </c>
      <c r="W31" s="50">
        <f t="shared" si="44"/>
        <v>21878.008320087778</v>
      </c>
      <c r="X31" s="50">
        <f t="shared" si="44"/>
        <v>21659.228236886898</v>
      </c>
      <c r="Y31" s="50">
        <f t="shared" si="44"/>
        <v>21442.635954518028</v>
      </c>
      <c r="Z31" s="50">
        <f t="shared" si="44"/>
        <v>21228.209594972846</v>
      </c>
      <c r="AA31" s="50">
        <f t="shared" si="44"/>
        <v>21015.927499023117</v>
      </c>
      <c r="AB31" s="50">
        <f t="shared" si="44"/>
        <v>20805.768224032887</v>
      </c>
      <c r="AC31" s="50">
        <f t="shared" si="44"/>
        <v>20597.71054179256</v>
      </c>
      <c r="AD31" s="50">
        <f t="shared" si="44"/>
        <v>20391.733436374634</v>
      </c>
      <c r="AE31" s="50">
        <f t="shared" si="44"/>
        <v>20187.816102010889</v>
      </c>
      <c r="AF31" s="50">
        <f t="shared" si="44"/>
        <v>19985.937940990781</v>
      </c>
      <c r="AG31" s="50">
        <f t="shared" si="44"/>
        <v>19786.078561580875</v>
      </c>
      <c r="AH31" s="50">
        <f t="shared" si="44"/>
        <v>19588.217775965066</v>
      </c>
      <c r="AI31" s="50">
        <f t="shared" si="44"/>
        <v>19392.335598205416</v>
      </c>
      <c r="AJ31" s="50">
        <f t="shared" si="44"/>
        <v>19198.412242223363</v>
      </c>
      <c r="AK31" s="50">
        <f t="shared" si="44"/>
        <v>19006.42811980113</v>
      </c>
      <c r="AL31" s="50">
        <f t="shared" si="44"/>
        <v>18816.36383860312</v>
      </c>
      <c r="AM31" s="50">
        <f t="shared" si="44"/>
        <v>18628.200200217088</v>
      </c>
      <c r="AN31" s="50">
        <f t="shared" si="44"/>
        <v>18441.918198214917</v>
      </c>
      <c r="AO31" s="50">
        <f t="shared" si="44"/>
        <v>18257.499016232767</v>
      </c>
      <c r="AP31" s="50">
        <f t="shared" si="44"/>
        <v>18074.924026070439</v>
      </c>
      <c r="AQ31" s="50">
        <f t="shared" si="44"/>
        <v>17894.174785809733</v>
      </c>
      <c r="AR31" s="50">
        <f>AQ31*($F$2+1)</f>
        <v>17715.233037951635</v>
      </c>
      <c r="AS31" s="50">
        <f t="shared" ref="AS31:DD31" si="45">AR31*($F$2+1)</f>
        <v>17538.08070757212</v>
      </c>
      <c r="AT31" s="50">
        <f t="shared" si="45"/>
        <v>17362.699900496398</v>
      </c>
      <c r="AU31" s="50">
        <f t="shared" si="45"/>
        <v>17189.072901491432</v>
      </c>
      <c r="AV31" s="50">
        <f t="shared" si="45"/>
        <v>17017.182172476518</v>
      </c>
      <c r="AW31" s="50">
        <f t="shared" si="45"/>
        <v>16847.010350751752</v>
      </c>
      <c r="AX31" s="50">
        <f t="shared" si="45"/>
        <v>16678.540247244237</v>
      </c>
      <c r="AY31" s="50">
        <f t="shared" si="45"/>
        <v>16511.754844771793</v>
      </c>
      <c r="AZ31" s="50">
        <f t="shared" si="45"/>
        <v>16346.637296324074</v>
      </c>
      <c r="BA31" s="50">
        <f t="shared" si="45"/>
        <v>16183.170923360833</v>
      </c>
      <c r="BB31" s="50">
        <f t="shared" si="45"/>
        <v>16021.339214127223</v>
      </c>
      <c r="BC31" s="50">
        <f t="shared" si="45"/>
        <v>15861.125821985952</v>
      </c>
      <c r="BD31" s="50">
        <f t="shared" si="45"/>
        <v>15702.514563766092</v>
      </c>
      <c r="BE31" s="50">
        <f t="shared" si="45"/>
        <v>15545.489418128431</v>
      </c>
      <c r="BF31" s="50">
        <f t="shared" si="45"/>
        <v>15390.034523947146</v>
      </c>
      <c r="BG31" s="50">
        <f t="shared" si="45"/>
        <v>15236.134178707674</v>
      </c>
      <c r="BH31" s="50">
        <f t="shared" si="45"/>
        <v>15083.772836920598</v>
      </c>
      <c r="BI31" s="50">
        <f t="shared" si="45"/>
        <v>14932.935108551392</v>
      </c>
      <c r="BJ31" s="50">
        <f t="shared" si="45"/>
        <v>14783.605757465877</v>
      </c>
      <c r="BK31" s="50">
        <f t="shared" si="45"/>
        <v>14635.769699891218</v>
      </c>
      <c r="BL31" s="50">
        <f t="shared" si="45"/>
        <v>14489.412002892306</v>
      </c>
      <c r="BM31" s="50">
        <f t="shared" si="45"/>
        <v>14344.517882863383</v>
      </c>
      <c r="BN31" s="50">
        <f t="shared" si="45"/>
        <v>14201.07270403475</v>
      </c>
      <c r="BO31" s="50">
        <f t="shared" si="45"/>
        <v>14059.061976994402</v>
      </c>
      <c r="BP31" s="50">
        <f t="shared" si="45"/>
        <v>13918.471357224458</v>
      </c>
      <c r="BQ31" s="50">
        <f t="shared" si="45"/>
        <v>13779.286643652213</v>
      </c>
      <c r="BR31" s="50">
        <f t="shared" si="45"/>
        <v>13641.49377721569</v>
      </c>
      <c r="BS31" s="50">
        <f t="shared" si="45"/>
        <v>13505.078839443533</v>
      </c>
      <c r="BT31" s="50">
        <f t="shared" si="45"/>
        <v>13370.028051049097</v>
      </c>
      <c r="BU31" s="50">
        <f t="shared" si="45"/>
        <v>13236.327770538606</v>
      </c>
      <c r="BV31" s="50">
        <f t="shared" si="45"/>
        <v>13103.96449283322</v>
      </c>
      <c r="BW31" s="50">
        <f t="shared" si="45"/>
        <v>12972.924847904887</v>
      </c>
      <c r="BX31" s="50">
        <f t="shared" si="45"/>
        <v>12843.195599425839</v>
      </c>
      <c r="BY31" s="50">
        <f t="shared" si="45"/>
        <v>12714.763643431581</v>
      </c>
      <c r="BZ31" s="50">
        <f t="shared" si="45"/>
        <v>12587.616006997265</v>
      </c>
      <c r="CA31" s="50">
        <f t="shared" si="45"/>
        <v>12461.739846927292</v>
      </c>
      <c r="CB31" s="50">
        <f t="shared" si="45"/>
        <v>12337.12244845802</v>
      </c>
      <c r="CC31" s="50">
        <f t="shared" si="45"/>
        <v>12213.751223973439</v>
      </c>
      <c r="CD31" s="50">
        <f t="shared" si="45"/>
        <v>12091.613711733704</v>
      </c>
      <c r="CE31" s="50">
        <f t="shared" si="45"/>
        <v>11970.697574616366</v>
      </c>
      <c r="CF31" s="50">
        <f t="shared" si="45"/>
        <v>11850.990598870203</v>
      </c>
      <c r="CG31" s="50">
        <f t="shared" si="45"/>
        <v>11732.480692881501</v>
      </c>
      <c r="CH31" s="50">
        <f t="shared" si="45"/>
        <v>11615.155885952687</v>
      </c>
      <c r="CI31" s="50">
        <f t="shared" si="45"/>
        <v>11499.00432709316</v>
      </c>
      <c r="CJ31" s="50">
        <f t="shared" si="45"/>
        <v>11384.014283822229</v>
      </c>
      <c r="CK31" s="50">
        <f t="shared" si="45"/>
        <v>11270.174140984007</v>
      </c>
      <c r="CL31" s="50">
        <f t="shared" si="45"/>
        <v>11157.472399574166</v>
      </c>
      <c r="CM31" s="50">
        <f t="shared" si="45"/>
        <v>11045.897675578424</v>
      </c>
      <c r="CN31" s="50">
        <f t="shared" si="45"/>
        <v>10935.43869882264</v>
      </c>
      <c r="CO31" s="50">
        <f t="shared" si="45"/>
        <v>10826.084311834413</v>
      </c>
      <c r="CP31" s="50">
        <f t="shared" si="45"/>
        <v>10717.823468716069</v>
      </c>
      <c r="CQ31" s="50">
        <f t="shared" si="45"/>
        <v>10610.645234028909</v>
      </c>
      <c r="CR31" s="50">
        <f t="shared" si="45"/>
        <v>10504.53878168862</v>
      </c>
      <c r="CS31" s="50">
        <f t="shared" si="45"/>
        <v>10399.493393871733</v>
      </c>
      <c r="CT31" s="50">
        <f t="shared" si="45"/>
        <v>10295.498459933016</v>
      </c>
      <c r="CU31" s="50">
        <f t="shared" si="45"/>
        <v>10192.543475333687</v>
      </c>
      <c r="CV31" s="50">
        <f t="shared" si="45"/>
        <v>10090.61804058035</v>
      </c>
      <c r="CW31" s="50">
        <f t="shared" si="45"/>
        <v>9989.711860174546</v>
      </c>
      <c r="CX31" s="50">
        <f t="shared" si="45"/>
        <v>9889.8147415727999</v>
      </c>
      <c r="CY31" s="50">
        <f t="shared" si="45"/>
        <v>9790.9165941570718</v>
      </c>
      <c r="CZ31" s="50">
        <f t="shared" si="45"/>
        <v>9693.0074282155001</v>
      </c>
      <c r="DA31" s="50">
        <f t="shared" si="45"/>
        <v>9596.0773539333459</v>
      </c>
      <c r="DB31" s="50">
        <f t="shared" si="45"/>
        <v>9500.116580394013</v>
      </c>
      <c r="DC31" s="50">
        <f t="shared" si="45"/>
        <v>9405.1154145900728</v>
      </c>
      <c r="DD31" s="50">
        <f t="shared" si="45"/>
        <v>9311.0642604441728</v>
      </c>
      <c r="DE31" s="50">
        <f t="shared" ref="DE31:FP31" si="46">DD31*($F$2+1)</f>
        <v>9217.9536178397302</v>
      </c>
      <c r="DF31" s="50">
        <f t="shared" si="46"/>
        <v>9125.7740816613332</v>
      </c>
      <c r="DG31" s="50">
        <f t="shared" si="46"/>
        <v>9034.5163408447206</v>
      </c>
      <c r="DH31" s="50">
        <f t="shared" si="46"/>
        <v>8944.1711774362739</v>
      </c>
      <c r="DI31" s="50">
        <f t="shared" si="46"/>
        <v>8854.7294656619106</v>
      </c>
      <c r="DJ31" s="50">
        <f t="shared" si="46"/>
        <v>8766.1821710052918</v>
      </c>
      <c r="DK31" s="50">
        <f t="shared" si="46"/>
        <v>8678.5203492952387</v>
      </c>
      <c r="DL31" s="50">
        <f t="shared" si="46"/>
        <v>8591.7351458022858</v>
      </c>
      <c r="DM31" s="50">
        <f t="shared" si="46"/>
        <v>8505.8177943442624</v>
      </c>
      <c r="DN31" s="50">
        <f t="shared" si="46"/>
        <v>8420.7596164008191</v>
      </c>
      <c r="DO31" s="50">
        <f t="shared" si="46"/>
        <v>8336.5520202368116</v>
      </c>
      <c r="DP31" s="50">
        <f t="shared" si="46"/>
        <v>8253.1865000344442</v>
      </c>
      <c r="DQ31" s="50">
        <f t="shared" si="46"/>
        <v>8170.6546350340996</v>
      </c>
      <c r="DR31" s="50">
        <f t="shared" si="46"/>
        <v>8088.9480886837582</v>
      </c>
      <c r="DS31" s="50">
        <f t="shared" si="46"/>
        <v>8008.0586077969201</v>
      </c>
      <c r="DT31" s="50">
        <f t="shared" si="46"/>
        <v>7927.9780217189509</v>
      </c>
      <c r="DU31" s="50">
        <f t="shared" si="46"/>
        <v>7848.698241501761</v>
      </c>
      <c r="DV31" s="50">
        <f t="shared" si="46"/>
        <v>7770.2112590867437</v>
      </c>
      <c r="DW31" s="50">
        <f t="shared" si="46"/>
        <v>7692.5091464958759</v>
      </c>
      <c r="DX31" s="50">
        <f t="shared" si="46"/>
        <v>7615.5840550309167</v>
      </c>
      <c r="DY31" s="50">
        <f t="shared" si="46"/>
        <v>7539.4282144806075</v>
      </c>
      <c r="DZ31" s="50">
        <f t="shared" si="46"/>
        <v>7464.0339323358012</v>
      </c>
      <c r="EA31" s="50">
        <f t="shared" si="46"/>
        <v>7389.3935930124435</v>
      </c>
      <c r="EB31" s="50">
        <f t="shared" si="46"/>
        <v>7315.4996570823187</v>
      </c>
      <c r="EC31" s="50">
        <f t="shared" si="46"/>
        <v>7242.344660511495</v>
      </c>
      <c r="ED31" s="50">
        <f t="shared" si="46"/>
        <v>7169.9212139063802</v>
      </c>
      <c r="EE31" s="50">
        <f t="shared" si="46"/>
        <v>7098.2220017673162</v>
      </c>
      <c r="EF31" s="50">
        <f t="shared" si="46"/>
        <v>7027.239781749643</v>
      </c>
      <c r="EG31" s="50">
        <f t="shared" si="46"/>
        <v>6956.9673839321467</v>
      </c>
      <c r="EH31" s="50">
        <f t="shared" si="46"/>
        <v>6887.397710092825</v>
      </c>
      <c r="EI31" s="50">
        <f t="shared" si="46"/>
        <v>6818.5237329918964</v>
      </c>
      <c r="EJ31" s="50">
        <f t="shared" si="46"/>
        <v>6750.3384956619775</v>
      </c>
      <c r="EK31" s="50">
        <f t="shared" si="46"/>
        <v>6682.8351107053577</v>
      </c>
      <c r="EL31" s="50">
        <f t="shared" si="46"/>
        <v>6616.0067595983037</v>
      </c>
      <c r="EM31" s="50">
        <f t="shared" si="46"/>
        <v>6549.8466920023202</v>
      </c>
      <c r="EN31" s="50">
        <f t="shared" si="46"/>
        <v>6484.3482250822972</v>
      </c>
      <c r="EO31" s="50">
        <f t="shared" si="46"/>
        <v>6419.5047428314738</v>
      </c>
      <c r="EP31" s="50">
        <f t="shared" si="46"/>
        <v>6355.3096954031589</v>
      </c>
      <c r="EQ31" s="50">
        <f t="shared" si="46"/>
        <v>6291.7565984491275</v>
      </c>
      <c r="ER31" s="50">
        <f t="shared" si="46"/>
        <v>6228.8390324646361</v>
      </c>
      <c r="ES31" s="50">
        <f t="shared" si="46"/>
        <v>6166.5506421399896</v>
      </c>
      <c r="ET31" s="50">
        <f t="shared" si="46"/>
        <v>6104.8851357185895</v>
      </c>
      <c r="EU31" s="50">
        <f t="shared" si="46"/>
        <v>6043.8362843614032</v>
      </c>
      <c r="EV31" s="50">
        <f t="shared" si="46"/>
        <v>5983.3979215177887</v>
      </c>
      <c r="EW31" s="50">
        <f t="shared" si="46"/>
        <v>5923.5639423026105</v>
      </c>
      <c r="EX31" s="50">
        <f t="shared" si="46"/>
        <v>5864.328302879584</v>
      </c>
      <c r="EY31" s="50">
        <f t="shared" si="46"/>
        <v>5805.6850198507882</v>
      </c>
      <c r="EZ31" s="50">
        <f t="shared" si="46"/>
        <v>5747.6281696522801</v>
      </c>
      <c r="FA31" s="50">
        <f t="shared" si="46"/>
        <v>5690.151887955757</v>
      </c>
      <c r="FB31" s="50">
        <f t="shared" si="46"/>
        <v>5633.2503690761996</v>
      </c>
      <c r="FC31" s="50">
        <f t="shared" si="46"/>
        <v>5576.9178653854378</v>
      </c>
      <c r="FD31" s="50">
        <f t="shared" si="46"/>
        <v>5521.1486867315834</v>
      </c>
      <c r="FE31" s="50">
        <f t="shared" si="46"/>
        <v>5465.9371998642673</v>
      </c>
      <c r="FF31" s="50">
        <f t="shared" si="46"/>
        <v>5411.2778278656242</v>
      </c>
      <c r="FG31" s="50">
        <f t="shared" si="46"/>
        <v>5357.1650495869681</v>
      </c>
      <c r="FH31" s="50">
        <f t="shared" si="46"/>
        <v>5303.593399091098</v>
      </c>
      <c r="FI31" s="50">
        <f t="shared" si="46"/>
        <v>5250.5574651001871</v>
      </c>
      <c r="FJ31" s="50">
        <f t="shared" si="46"/>
        <v>5198.0518904491855</v>
      </c>
      <c r="FK31" s="50">
        <f t="shared" si="46"/>
        <v>5146.0713715446936</v>
      </c>
      <c r="FL31" s="50">
        <f t="shared" si="46"/>
        <v>5094.6106578292465</v>
      </c>
      <c r="FM31" s="50">
        <f t="shared" si="46"/>
        <v>5043.664551250954</v>
      </c>
      <c r="FN31" s="50">
        <f t="shared" si="46"/>
        <v>4993.2279057384449</v>
      </c>
      <c r="FO31" s="50">
        <f t="shared" si="46"/>
        <v>4943.2956266810606</v>
      </c>
      <c r="FP31" s="50">
        <f t="shared" si="46"/>
        <v>4893.8626704142498</v>
      </c>
      <c r="FQ31" s="50">
        <f t="shared" ref="FQ31:FV31" si="47">FP31*($F$2+1)</f>
        <v>4844.9240437101071</v>
      </c>
      <c r="FR31" s="50">
        <f t="shared" si="47"/>
        <v>4796.4748032730058</v>
      </c>
      <c r="FS31" s="50">
        <f t="shared" si="47"/>
        <v>4748.5100552402755</v>
      </c>
      <c r="FT31" s="50">
        <f t="shared" si="47"/>
        <v>4701.0249546878731</v>
      </c>
      <c r="FU31" s="50">
        <f t="shared" si="47"/>
        <v>4654.014705140994</v>
      </c>
      <c r="FV31" s="50">
        <f t="shared" si="47"/>
        <v>4607.4745580895842</v>
      </c>
    </row>
    <row r="32" spans="1:178" x14ac:dyDescent="0.15">
      <c r="A32" s="1" t="s">
        <v>26</v>
      </c>
      <c r="B32" s="12">
        <f>B31/B33</f>
        <v>-2.6392863162119413</v>
      </c>
      <c r="C32" s="12">
        <f>C31/C33</f>
        <v>-1.846809713902499</v>
      </c>
      <c r="D32" s="12">
        <f>D31/D33</f>
        <v>-3.9782309224509187</v>
      </c>
      <c r="E32" s="13">
        <f>E31/E33</f>
        <v>-4.063725143603909</v>
      </c>
      <c r="F32" s="13">
        <f t="shared" ref="F32:G32" si="48">F31/F33</f>
        <v>-3.1554550390364691</v>
      </c>
      <c r="G32" s="13">
        <f t="shared" si="48"/>
        <v>-1.4493531736062268</v>
      </c>
      <c r="H32" s="13">
        <f t="shared" ref="H32" si="49">H31/H33</f>
        <v>1.453952063819822</v>
      </c>
      <c r="I32" s="13">
        <f t="shared" ref="I32" si="50">I31/I33</f>
        <v>4.9217359053214844</v>
      </c>
      <c r="J32" s="13">
        <f t="shared" ref="J32" si="51">J31/J33</f>
        <v>7.8606268001204809</v>
      </c>
      <c r="K32" s="13">
        <f t="shared" ref="K32" si="52">K31/K33</f>
        <v>11.597635176186326</v>
      </c>
      <c r="L32" s="13">
        <f t="shared" ref="L32" si="53">L31/L33</f>
        <v>16.315141765040757</v>
      </c>
      <c r="M32" s="13">
        <f t="shared" ref="M32" si="54">M31/M33</f>
        <v>22.234704881624161</v>
      </c>
      <c r="N32" s="13">
        <f t="shared" ref="N32:O32" si="55">N31/N33</f>
        <v>29.625241578342923</v>
      </c>
      <c r="O32" s="13">
        <f t="shared" si="55"/>
        <v>36.045302427084884</v>
      </c>
      <c r="P32" s="13">
        <f t="shared" ref="P32:S32" si="56">P31/P33</f>
        <v>43.165180142348788</v>
      </c>
      <c r="Q32" s="13">
        <f t="shared" si="56"/>
        <v>51.058889428765532</v>
      </c>
      <c r="R32" s="13">
        <f t="shared" si="56"/>
        <v>59.808005562433372</v>
      </c>
      <c r="S32" s="13">
        <f t="shared" si="56"/>
        <v>69.502428919207318</v>
      </c>
    </row>
    <row r="33" spans="1:44" x14ac:dyDescent="0.15">
      <c r="A33" s="1" t="s">
        <v>2</v>
      </c>
      <c r="B33" s="4">
        <f>' Reports RMB'!E24</f>
        <v>69.336926000000005</v>
      </c>
      <c r="C33" s="4">
        <f>' Reports RMB'!I24</f>
        <v>307.01592900000003</v>
      </c>
      <c r="D33" s="4">
        <f>' Reports RMB'!M24</f>
        <v>327.69289300000003</v>
      </c>
      <c r="E33" s="4">
        <f t="shared" ref="E33:G33" si="57">D33</f>
        <v>327.69289300000003</v>
      </c>
      <c r="F33" s="4">
        <f t="shared" si="57"/>
        <v>327.69289300000003</v>
      </c>
      <c r="G33" s="4">
        <f t="shared" si="57"/>
        <v>327.69289300000003</v>
      </c>
      <c r="H33" s="4">
        <f t="shared" ref="H33:S33" si="58">G33</f>
        <v>327.69289300000003</v>
      </c>
      <c r="I33" s="4">
        <f t="shared" si="58"/>
        <v>327.69289300000003</v>
      </c>
      <c r="J33" s="4">
        <f t="shared" si="58"/>
        <v>327.69289300000003</v>
      </c>
      <c r="K33" s="4">
        <f t="shared" si="58"/>
        <v>327.69289300000003</v>
      </c>
      <c r="L33" s="4">
        <f t="shared" si="58"/>
        <v>327.69289300000003</v>
      </c>
      <c r="M33" s="4">
        <f t="shared" si="58"/>
        <v>327.69289300000003</v>
      </c>
      <c r="N33" s="4">
        <f t="shared" si="58"/>
        <v>327.69289300000003</v>
      </c>
      <c r="O33" s="4">
        <f t="shared" si="58"/>
        <v>327.69289300000003</v>
      </c>
      <c r="P33" s="4">
        <f t="shared" si="58"/>
        <v>327.69289300000003</v>
      </c>
      <c r="Q33" s="4">
        <f t="shared" si="58"/>
        <v>327.69289300000003</v>
      </c>
      <c r="R33" s="4">
        <f t="shared" si="58"/>
        <v>327.69289300000003</v>
      </c>
      <c r="S33" s="4">
        <f t="shared" si="58"/>
        <v>327.69289300000003</v>
      </c>
    </row>
    <row r="34" spans="1:44" x14ac:dyDescent="0.15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44" x14ac:dyDescent="0.15">
      <c r="A35" s="61" t="s">
        <v>11</v>
      </c>
      <c r="B35" s="65">
        <v>6.48</v>
      </c>
      <c r="C35" s="65">
        <v>6.8784999999999998</v>
      </c>
      <c r="D35" s="65">
        <v>6.9622999999999999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44" s="2" customFormat="1" x14ac:dyDescent="0.15">
      <c r="A36" s="2" t="s">
        <v>78</v>
      </c>
      <c r="B36" s="9">
        <f>B20/B35</f>
        <v>380.70987654320987</v>
      </c>
      <c r="C36" s="9">
        <f>C20/C35</f>
        <v>600.13084248019197</v>
      </c>
      <c r="D36" s="9">
        <f>D20/D35</f>
        <v>973.60168335176593</v>
      </c>
      <c r="E36" s="9">
        <f>E20/$C$9</f>
        <v>1673.9605701219512</v>
      </c>
      <c r="F36" s="9">
        <f>F20/$C$9</f>
        <v>2636.4878979420732</v>
      </c>
      <c r="G36" s="9">
        <f>G20/$C$9</f>
        <v>4033.8264838513719</v>
      </c>
      <c r="H36" s="9">
        <f>H20/$C$9</f>
        <v>5990.232328519287</v>
      </c>
      <c r="I36" s="9">
        <f>I20/$C$9</f>
        <v>8625.9345530677747</v>
      </c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44" s="2" customFormat="1" x14ac:dyDescent="0.15">
      <c r="A37" s="2" t="s">
        <v>77</v>
      </c>
      <c r="B37" s="9">
        <f>B31/B35</f>
        <v>-28.24074074074074</v>
      </c>
      <c r="C37" s="9">
        <f>C31/C35</f>
        <v>-82.430762520898455</v>
      </c>
      <c r="D37" s="9">
        <f>D31/D35</f>
        <v>-187.24243425304863</v>
      </c>
      <c r="E37" s="9">
        <f>E31/$C$9</f>
        <v>-202.99601351591545</v>
      </c>
      <c r="F37" s="9">
        <f>F31/$C$9</f>
        <v>-157.62502903556228</v>
      </c>
      <c r="G37" s="9">
        <f>G31/$C$9</f>
        <v>-72.399807078926187</v>
      </c>
      <c r="H37" s="9">
        <f>H31/$C$9</f>
        <v>72.62953629213996</v>
      </c>
      <c r="I37" s="9">
        <f>I31/$C$9</f>
        <v>245.85638374950784</v>
      </c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44" s="2" customFormat="1" x14ac:dyDescent="0.1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1:44" x14ac:dyDescent="0.15">
      <c r="A39" s="1" t="s">
        <v>31</v>
      </c>
      <c r="B39" s="18">
        <f t="shared" ref="B39:S39" si="59">IFERROR(B22/B20,0)</f>
        <v>0.22213214430482367</v>
      </c>
      <c r="C39" s="18">
        <f t="shared" si="59"/>
        <v>0.20687984496124032</v>
      </c>
      <c r="D39" s="18">
        <f t="shared" si="59"/>
        <v>0.17560150044840256</v>
      </c>
      <c r="E39" s="18">
        <f t="shared" si="59"/>
        <v>0.17560150044840256</v>
      </c>
      <c r="F39" s="18">
        <f t="shared" si="59"/>
        <v>0.17560150044840256</v>
      </c>
      <c r="G39" s="18">
        <f t="shared" si="59"/>
        <v>0.17560150044840253</v>
      </c>
      <c r="H39" s="18">
        <f t="shared" si="59"/>
        <v>0.17560150044840253</v>
      </c>
      <c r="I39" s="18">
        <f t="shared" si="59"/>
        <v>0.17560150044840253</v>
      </c>
      <c r="J39" s="18">
        <f t="shared" si="59"/>
        <v>0.17560150044840253</v>
      </c>
      <c r="K39" s="18">
        <f t="shared" si="59"/>
        <v>0.17560150044840253</v>
      </c>
      <c r="L39" s="18">
        <f t="shared" si="59"/>
        <v>0.17560150044840253</v>
      </c>
      <c r="M39" s="18">
        <f t="shared" si="59"/>
        <v>0.17560150044840253</v>
      </c>
      <c r="N39" s="18">
        <f t="shared" si="59"/>
        <v>0.17560150044840253</v>
      </c>
      <c r="O39" s="18">
        <f t="shared" si="59"/>
        <v>0.17560150044840253</v>
      </c>
      <c r="P39" s="18">
        <f t="shared" si="59"/>
        <v>0.17560150044840253</v>
      </c>
      <c r="Q39" s="18">
        <f t="shared" si="59"/>
        <v>0.1756015004484025</v>
      </c>
      <c r="R39" s="18">
        <f t="shared" si="59"/>
        <v>0.17560150044840253</v>
      </c>
      <c r="S39" s="18">
        <f t="shared" si="59"/>
        <v>0.17560150044840253</v>
      </c>
    </row>
    <row r="40" spans="1:44" x14ac:dyDescent="0.15">
      <c r="A40" s="1" t="s">
        <v>32</v>
      </c>
      <c r="B40" s="17">
        <f t="shared" ref="B40:S40" si="60">IFERROR(B27/B20,0)</f>
        <v>-9.1203891366031617E-2</v>
      </c>
      <c r="C40" s="17">
        <f t="shared" si="60"/>
        <v>-0.17708333333333334</v>
      </c>
      <c r="D40" s="17">
        <f t="shared" si="60"/>
        <v>-0.22051065227195313</v>
      </c>
      <c r="E40" s="17">
        <f t="shared" si="60"/>
        <v>-0.12865453053341533</v>
      </c>
      <c r="F40" s="17">
        <f t="shared" si="60"/>
        <v>-6.5073965142809678E-2</v>
      </c>
      <c r="G40" s="17">
        <f t="shared" si="60"/>
        <v>-2.0622850131458408E-2</v>
      </c>
      <c r="H40" s="17">
        <f t="shared" si="60"/>
        <v>1.0565256405591552E-2</v>
      </c>
      <c r="I40" s="17">
        <f t="shared" si="60"/>
        <v>3.2280446386420102E-2</v>
      </c>
      <c r="J40" s="17">
        <f t="shared" si="60"/>
        <v>4.3110880564760361E-2</v>
      </c>
      <c r="K40" s="17">
        <f t="shared" si="60"/>
        <v>5.2974203249977862E-2</v>
      </c>
      <c r="L40" s="17">
        <f t="shared" si="60"/>
        <v>6.1967566425689673E-2</v>
      </c>
      <c r="M40" s="17">
        <f t="shared" si="60"/>
        <v>7.0177602513427653E-2</v>
      </c>
      <c r="N40" s="17">
        <f t="shared" si="60"/>
        <v>7.7681618683391407E-2</v>
      </c>
      <c r="O40" s="17">
        <f t="shared" si="60"/>
        <v>8.5346136393080974E-2</v>
      </c>
      <c r="P40" s="17">
        <f t="shared" si="60"/>
        <v>9.2311690862173917E-2</v>
      </c>
      <c r="Q40" s="17">
        <f t="shared" si="60"/>
        <v>9.8648297809458191E-2</v>
      </c>
      <c r="R40" s="17">
        <f t="shared" si="60"/>
        <v>0.10441861827606087</v>
      </c>
      <c r="S40" s="17">
        <f t="shared" si="60"/>
        <v>0.10967874807206765</v>
      </c>
    </row>
    <row r="41" spans="1:44" x14ac:dyDescent="0.15">
      <c r="A41" s="1" t="s">
        <v>33</v>
      </c>
      <c r="B41" s="17">
        <f t="shared" ref="B41:S41" si="61">IFERROR(B30/B29,0)</f>
        <v>-4.5714285714285714E-2</v>
      </c>
      <c r="C41" s="17">
        <f t="shared" si="61"/>
        <v>-4.6125461254612546E-2</v>
      </c>
      <c r="D41" s="17">
        <f t="shared" si="61"/>
        <v>-2.8551816639709651E-2</v>
      </c>
      <c r="E41" s="17">
        <f t="shared" si="61"/>
        <v>-2.8551816639709654E-2</v>
      </c>
      <c r="F41" s="17">
        <f t="shared" si="61"/>
        <v>0</v>
      </c>
      <c r="G41" s="17">
        <f t="shared" si="61"/>
        <v>0</v>
      </c>
      <c r="H41" s="17">
        <f t="shared" si="61"/>
        <v>0</v>
      </c>
      <c r="I41" s="17">
        <f t="shared" si="61"/>
        <v>0.15</v>
      </c>
      <c r="J41" s="17">
        <f t="shared" si="61"/>
        <v>0.15</v>
      </c>
      <c r="K41" s="17">
        <f t="shared" si="61"/>
        <v>0.15</v>
      </c>
      <c r="L41" s="17">
        <f t="shared" si="61"/>
        <v>0.15</v>
      </c>
      <c r="M41" s="17">
        <f t="shared" si="61"/>
        <v>0.15</v>
      </c>
      <c r="N41" s="17">
        <f t="shared" si="61"/>
        <v>0.15</v>
      </c>
      <c r="O41" s="17">
        <f t="shared" si="61"/>
        <v>0.14999999999999997</v>
      </c>
      <c r="P41" s="17">
        <f t="shared" si="61"/>
        <v>0.15</v>
      </c>
      <c r="Q41" s="17">
        <f t="shared" si="61"/>
        <v>0.15</v>
      </c>
      <c r="R41" s="17">
        <f t="shared" si="61"/>
        <v>0.15</v>
      </c>
      <c r="S41" s="17">
        <f t="shared" si="61"/>
        <v>0.15</v>
      </c>
    </row>
    <row r="42" spans="1:44" s="60" customFormat="1" x14ac:dyDescent="0.15">
      <c r="B42" s="72"/>
      <c r="C42" s="72"/>
      <c r="D42" s="74"/>
    </row>
    <row r="43" spans="1:44" x14ac:dyDescent="0.15">
      <c r="A43" s="2" t="s">
        <v>27</v>
      </c>
      <c r="B43" s="14"/>
      <c r="C43" s="16">
        <f t="shared" ref="C43:S43" si="62">C20/B20-1</f>
        <v>0.67328739359545997</v>
      </c>
      <c r="D43" s="16">
        <f t="shared" si="62"/>
        <v>0.64208018410852707</v>
      </c>
      <c r="E43" s="16">
        <f t="shared" si="62"/>
        <v>0.61999999999999988</v>
      </c>
      <c r="F43" s="16">
        <f t="shared" si="62"/>
        <v>0.57500000000000018</v>
      </c>
      <c r="G43" s="16">
        <f t="shared" si="62"/>
        <v>0.53</v>
      </c>
      <c r="H43" s="16">
        <f t="shared" si="62"/>
        <v>0.48499999999999988</v>
      </c>
      <c r="I43" s="16">
        <f t="shared" si="62"/>
        <v>0.44000000000000017</v>
      </c>
      <c r="J43" s="16">
        <f t="shared" si="62"/>
        <v>0.19999999999999996</v>
      </c>
      <c r="K43" s="16">
        <f t="shared" si="62"/>
        <v>0.19999999999999996</v>
      </c>
      <c r="L43" s="16">
        <f t="shared" si="62"/>
        <v>0.19999999999999996</v>
      </c>
      <c r="M43" s="16">
        <f t="shared" si="62"/>
        <v>0.19999999999999996</v>
      </c>
      <c r="N43" s="16">
        <f t="shared" si="62"/>
        <v>0.19999999999999996</v>
      </c>
      <c r="O43" s="16">
        <f t="shared" si="62"/>
        <v>0.10000000000000009</v>
      </c>
      <c r="P43" s="16">
        <f t="shared" si="62"/>
        <v>0.10000000000000009</v>
      </c>
      <c r="Q43" s="16">
        <f t="shared" si="62"/>
        <v>0.10000000000000009</v>
      </c>
      <c r="R43" s="16">
        <f t="shared" si="62"/>
        <v>0.10000000000000009</v>
      </c>
      <c r="S43" s="16">
        <f t="shared" si="62"/>
        <v>0.10000000000000009</v>
      </c>
    </row>
    <row r="44" spans="1:44" x14ac:dyDescent="0.15">
      <c r="A44" s="1" t="s">
        <v>28</v>
      </c>
      <c r="B44" s="14"/>
      <c r="C44" s="17">
        <f t="shared" ref="C44:S44" si="63">C23/B23-1</f>
        <v>0.92473118279569899</v>
      </c>
      <c r="D44" s="17">
        <f t="shared" si="63"/>
        <v>0.66494413407821229</v>
      </c>
      <c r="E44" s="17">
        <f t="shared" si="63"/>
        <v>0.30000000000000004</v>
      </c>
      <c r="F44" s="17">
        <f t="shared" si="63"/>
        <v>0.30000000000000004</v>
      </c>
      <c r="G44" s="17">
        <f t="shared" si="63"/>
        <v>0.30000000000000004</v>
      </c>
      <c r="H44" s="17">
        <f t="shared" si="63"/>
        <v>0.30000000000000004</v>
      </c>
      <c r="I44" s="17">
        <f t="shared" si="63"/>
        <v>0.30000000000000004</v>
      </c>
      <c r="J44" s="17">
        <f t="shared" si="63"/>
        <v>0.14999999999999991</v>
      </c>
      <c r="K44" s="17">
        <f t="shared" si="63"/>
        <v>0.14999999999999991</v>
      </c>
      <c r="L44" s="17">
        <f t="shared" si="63"/>
        <v>0.14999999999999991</v>
      </c>
      <c r="M44" s="17">
        <f t="shared" si="63"/>
        <v>0.14999999999999991</v>
      </c>
      <c r="N44" s="17">
        <f t="shared" si="63"/>
        <v>0.14999999999999991</v>
      </c>
      <c r="O44" s="17">
        <f t="shared" si="63"/>
        <v>5.0000000000000044E-2</v>
      </c>
      <c r="P44" s="17">
        <f t="shared" si="63"/>
        <v>5.0000000000000044E-2</v>
      </c>
      <c r="Q44" s="17">
        <f t="shared" si="63"/>
        <v>5.0000000000000044E-2</v>
      </c>
      <c r="R44" s="17">
        <f t="shared" si="63"/>
        <v>5.0000000000000044E-2</v>
      </c>
      <c r="S44" s="17">
        <f t="shared" si="63"/>
        <v>5.0000000000000044E-2</v>
      </c>
    </row>
    <row r="45" spans="1:44" x14ac:dyDescent="0.15">
      <c r="A45" s="1" t="s">
        <v>29</v>
      </c>
      <c r="B45" s="14"/>
      <c r="C45" s="17">
        <f t="shared" ref="C45:S45" si="64">C24/B24-1</f>
        <v>1.515021459227468</v>
      </c>
      <c r="D45" s="17">
        <f t="shared" si="64"/>
        <v>1.0451996587030719</v>
      </c>
      <c r="E45" s="17">
        <f t="shared" si="64"/>
        <v>0.19999999999999996</v>
      </c>
      <c r="F45" s="17">
        <f t="shared" si="64"/>
        <v>0.19999999999999996</v>
      </c>
      <c r="G45" s="17">
        <f t="shared" si="64"/>
        <v>0.19999999999999996</v>
      </c>
      <c r="H45" s="17">
        <f t="shared" si="64"/>
        <v>0.19999999999999996</v>
      </c>
      <c r="I45" s="17">
        <f t="shared" si="64"/>
        <v>0.19999999999999996</v>
      </c>
      <c r="J45" s="17">
        <f t="shared" si="64"/>
        <v>0.10000000000000009</v>
      </c>
      <c r="K45" s="17">
        <f t="shared" si="64"/>
        <v>0.10000000000000009</v>
      </c>
      <c r="L45" s="17">
        <f t="shared" si="64"/>
        <v>0.10000000000000009</v>
      </c>
      <c r="M45" s="17">
        <f t="shared" si="64"/>
        <v>0.10000000000000009</v>
      </c>
      <c r="N45" s="17">
        <f t="shared" si="64"/>
        <v>0.10000000000000009</v>
      </c>
      <c r="O45" s="17">
        <f t="shared" si="64"/>
        <v>-1.9999999999999907E-2</v>
      </c>
      <c r="P45" s="17">
        <f t="shared" si="64"/>
        <v>-2.0000000000000018E-2</v>
      </c>
      <c r="Q45" s="17">
        <f t="shared" si="64"/>
        <v>-2.0000000000000018E-2</v>
      </c>
      <c r="R45" s="17">
        <f t="shared" si="64"/>
        <v>-2.0000000000000018E-2</v>
      </c>
      <c r="S45" s="17">
        <f t="shared" si="64"/>
        <v>-2.0000000000000018E-2</v>
      </c>
    </row>
    <row r="46" spans="1:44" x14ac:dyDescent="0.15">
      <c r="A46" s="1" t="s">
        <v>30</v>
      </c>
      <c r="B46" s="14"/>
      <c r="C46" s="17">
        <f t="shared" ref="C46:S46" si="65">C25/B25-1</f>
        <v>0.77011494252873569</v>
      </c>
      <c r="D46" s="17">
        <f t="shared" si="65"/>
        <v>0.28243939393939388</v>
      </c>
      <c r="E46" s="17">
        <f t="shared" si="65"/>
        <v>0.25</v>
      </c>
      <c r="F46" s="17">
        <f t="shared" si="65"/>
        <v>0.25</v>
      </c>
      <c r="G46" s="17">
        <f t="shared" si="65"/>
        <v>0.25</v>
      </c>
      <c r="H46" s="17">
        <f t="shared" si="65"/>
        <v>0.25</v>
      </c>
      <c r="I46" s="17">
        <f t="shared" si="65"/>
        <v>0.25</v>
      </c>
      <c r="J46" s="17">
        <f t="shared" si="65"/>
        <v>5.0000000000000044E-2</v>
      </c>
      <c r="K46" s="17">
        <f t="shared" si="65"/>
        <v>5.0000000000000044E-2</v>
      </c>
      <c r="L46" s="17">
        <f t="shared" si="65"/>
        <v>5.0000000000000044E-2</v>
      </c>
      <c r="M46" s="17">
        <f t="shared" si="65"/>
        <v>5.0000000000000044E-2</v>
      </c>
      <c r="N46" s="17">
        <f t="shared" si="65"/>
        <v>5.0000000000000044E-2</v>
      </c>
      <c r="O46" s="17">
        <f t="shared" si="65"/>
        <v>-1.9999999999999907E-2</v>
      </c>
      <c r="P46" s="17">
        <f t="shared" si="65"/>
        <v>-2.0000000000000018E-2</v>
      </c>
      <c r="Q46" s="17">
        <f t="shared" si="65"/>
        <v>-2.0000000000000129E-2</v>
      </c>
      <c r="R46" s="17">
        <f t="shared" si="65"/>
        <v>-2.0000000000000018E-2</v>
      </c>
      <c r="S46" s="17">
        <f t="shared" si="65"/>
        <v>-2.0000000000000129E-2</v>
      </c>
    </row>
    <row r="47" spans="1:44" s="60" customFormat="1" x14ac:dyDescent="0.15">
      <c r="A47" s="60" t="s">
        <v>108</v>
      </c>
      <c r="B47" s="72"/>
      <c r="C47" s="73">
        <f t="shared" ref="C47:S47" si="66">C26/B26-1</f>
        <v>1.0504527813712805</v>
      </c>
      <c r="D47" s="73">
        <f t="shared" si="66"/>
        <v>0.69403722397476342</v>
      </c>
      <c r="E47" s="73">
        <f t="shared" si="66"/>
        <v>0.2443313511224563</v>
      </c>
      <c r="F47" s="73">
        <f t="shared" si="66"/>
        <v>0.2458713047788752</v>
      </c>
      <c r="G47" s="73">
        <f t="shared" si="66"/>
        <v>0.24741944780161784</v>
      </c>
      <c r="H47" s="73">
        <f t="shared" si="66"/>
        <v>0.24897252394692049</v>
      </c>
      <c r="I47" s="73">
        <f t="shared" si="66"/>
        <v>0.25052723446443936</v>
      </c>
      <c r="J47" s="73">
        <f t="shared" si="66"/>
        <v>0.10931882898106715</v>
      </c>
      <c r="K47" s="73">
        <f t="shared" si="66"/>
        <v>0.11066547026003959</v>
      </c>
      <c r="L47" s="73">
        <f t="shared" si="66"/>
        <v>0.11199320169805715</v>
      </c>
      <c r="M47" s="73">
        <f t="shared" si="66"/>
        <v>0.11330016521898845</v>
      </c>
      <c r="N47" s="73">
        <f t="shared" si="66"/>
        <v>0.114584647500791</v>
      </c>
      <c r="O47" s="73">
        <f t="shared" si="66"/>
        <v>1.389930901988623E-2</v>
      </c>
      <c r="P47" s="73">
        <f t="shared" si="66"/>
        <v>1.5106320868577106E-2</v>
      </c>
      <c r="Q47" s="73">
        <f t="shared" si="66"/>
        <v>1.631307987567765E-2</v>
      </c>
      <c r="R47" s="73">
        <f t="shared" si="66"/>
        <v>1.7516720609485503E-2</v>
      </c>
      <c r="S47" s="73">
        <f t="shared" si="66"/>
        <v>1.8714407185725701E-2</v>
      </c>
    </row>
    <row r="48" spans="1:44" x14ac:dyDescent="0.15">
      <c r="B48" s="14"/>
      <c r="C48" s="14"/>
    </row>
    <row r="49" spans="1:19" x14ac:dyDescent="0.15">
      <c r="A49" s="2" t="s">
        <v>5</v>
      </c>
      <c r="B49" s="9">
        <f>B50-B51</f>
        <v>-2126</v>
      </c>
      <c r="C49" s="9">
        <f>C50-C51</f>
        <v>6214</v>
      </c>
      <c r="D49" s="9">
        <f>D50-D51</f>
        <v>5904.5289999999986</v>
      </c>
      <c r="E49" s="19">
        <f t="shared" ref="E49:S49" si="67">D49+E31</f>
        <v>4572.8751513355928</v>
      </c>
      <c r="F49" s="19">
        <f t="shared" si="67"/>
        <v>3538.8549608623043</v>
      </c>
      <c r="G49" s="19">
        <f t="shared" si="67"/>
        <v>3063.9122264245484</v>
      </c>
      <c r="H49" s="19">
        <f t="shared" si="67"/>
        <v>3540.3619845009866</v>
      </c>
      <c r="I49" s="19">
        <f t="shared" si="67"/>
        <v>5153.1798618977582</v>
      </c>
      <c r="J49" s="19">
        <f t="shared" si="67"/>
        <v>7729.0513988225721</v>
      </c>
      <c r="K49" s="19">
        <f t="shared" si="67"/>
        <v>11529.514021665635</v>
      </c>
      <c r="L49" s="19">
        <f t="shared" si="67"/>
        <v>16875.870026356966</v>
      </c>
      <c r="M49" s="19">
        <f t="shared" si="67"/>
        <v>24162.024794017612</v>
      </c>
      <c r="N49" s="19">
        <f t="shared" si="67"/>
        <v>33870.005912648689</v>
      </c>
      <c r="O49" s="19">
        <f t="shared" si="67"/>
        <v>45681.79534404006</v>
      </c>
      <c r="P49" s="19">
        <f t="shared" si="67"/>
        <v>59826.718101752485</v>
      </c>
      <c r="Q49" s="19">
        <f t="shared" si="67"/>
        <v>76558.353292031781</v>
      </c>
      <c r="R49" s="19">
        <f t="shared" si="67"/>
        <v>96157.011659345662</v>
      </c>
      <c r="S49" s="19">
        <f t="shared" si="67"/>
        <v>118932.46366240756</v>
      </c>
    </row>
    <row r="50" spans="1:19" x14ac:dyDescent="0.15">
      <c r="A50" s="1" t="s">
        <v>34</v>
      </c>
      <c r="B50" s="20">
        <f>' Reports RMB'!E36</f>
        <v>1889</v>
      </c>
      <c r="C50" s="20">
        <f>' Reports RMB'!I36</f>
        <v>6214</v>
      </c>
      <c r="D50" s="22">
        <f>' Reports RMB'!M36</f>
        <v>9319.1569999999992</v>
      </c>
      <c r="E50" s="22"/>
      <c r="F50" s="22"/>
      <c r="G50" s="22"/>
    </row>
    <row r="51" spans="1:19" x14ac:dyDescent="0.15">
      <c r="A51" s="1" t="s">
        <v>35</v>
      </c>
      <c r="B51" s="20">
        <f>' Reports RMB'!E37</f>
        <v>4015</v>
      </c>
      <c r="C51" s="20">
        <f>' Reports RMB'!I37</f>
        <v>0</v>
      </c>
      <c r="D51" s="22">
        <f>' Reports RMB'!M37</f>
        <v>3414.6280000000002</v>
      </c>
      <c r="E51" s="22"/>
      <c r="F51" s="22"/>
      <c r="G51" s="22"/>
    </row>
    <row r="52" spans="1:19" x14ac:dyDescent="0.15">
      <c r="B52" s="21"/>
      <c r="C52" s="21"/>
    </row>
    <row r="53" spans="1:19" x14ac:dyDescent="0.15">
      <c r="A53" s="1" t="s">
        <v>37</v>
      </c>
      <c r="B53" s="22">
        <f>' Reports RMB'!E39</f>
        <v>477</v>
      </c>
      <c r="C53" s="20">
        <f>' Reports RMB'!I39</f>
        <v>2360</v>
      </c>
      <c r="D53" s="22">
        <f>' Reports RMB'!M39</f>
        <v>2669</v>
      </c>
    </row>
    <row r="54" spans="1:19" x14ac:dyDescent="0.15">
      <c r="A54" s="1" t="s">
        <v>38</v>
      </c>
      <c r="B54" s="22">
        <f>' Reports RMB'!E40</f>
        <v>3474</v>
      </c>
      <c r="C54" s="20">
        <f>' Reports RMB'!I40</f>
        <v>10490</v>
      </c>
      <c r="D54" s="22">
        <f>' Reports RMB'!M40</f>
        <v>15517</v>
      </c>
    </row>
    <row r="55" spans="1:19" x14ac:dyDescent="0.15">
      <c r="A55" s="1" t="s">
        <v>39</v>
      </c>
      <c r="B55" s="22">
        <f>' Reports RMB'!E41</f>
        <v>5413</v>
      </c>
      <c r="C55" s="20">
        <f>' Reports RMB'!I41</f>
        <v>3299</v>
      </c>
      <c r="D55" s="22">
        <f>' Reports RMB'!M41</f>
        <v>7880</v>
      </c>
    </row>
    <row r="57" spans="1:19" x14ac:dyDescent="0.15">
      <c r="A57" s="1" t="s">
        <v>40</v>
      </c>
      <c r="B57" s="23">
        <f>B54-B53-B50</f>
        <v>1108</v>
      </c>
      <c r="C57" s="23">
        <f>C54-C53-C50</f>
        <v>1916</v>
      </c>
      <c r="D57" s="23">
        <f>D54-D53-D50</f>
        <v>3528.8430000000008</v>
      </c>
    </row>
    <row r="58" spans="1:19" x14ac:dyDescent="0.15">
      <c r="A58" s="1" t="s">
        <v>41</v>
      </c>
      <c r="B58" s="23">
        <f>B54-B55</f>
        <v>-1939</v>
      </c>
      <c r="C58" s="23">
        <f>C54-C55</f>
        <v>7191</v>
      </c>
      <c r="D58" s="23">
        <f>D54-D55</f>
        <v>7637</v>
      </c>
    </row>
    <row r="60" spans="1:19" x14ac:dyDescent="0.15">
      <c r="A60" s="24" t="s">
        <v>42</v>
      </c>
      <c r="B60" s="25">
        <f>B31/B58</f>
        <v>9.4378545642083547E-2</v>
      </c>
      <c r="C60" s="25">
        <f>C31/C58</f>
        <v>-7.8848560700876091E-2</v>
      </c>
      <c r="D60" s="25">
        <f>D31/D58</f>
        <v>-0.17070027497708529</v>
      </c>
    </row>
    <row r="61" spans="1:19" x14ac:dyDescent="0.15">
      <c r="A61" s="24" t="s">
        <v>43</v>
      </c>
      <c r="B61" s="25">
        <f>B31/B54</f>
        <v>-5.2677029360967187E-2</v>
      </c>
      <c r="C61" s="25">
        <f>C31/C54</f>
        <v>-5.405147759771211E-2</v>
      </c>
      <c r="D61" s="25">
        <f>D31/D54</f>
        <v>-8.4013533543855157E-2</v>
      </c>
    </row>
    <row r="62" spans="1:19" x14ac:dyDescent="0.15">
      <c r="A62" s="24" t="s">
        <v>44</v>
      </c>
      <c r="B62" s="25">
        <f>B31/(B58-B53)</f>
        <v>7.574503311258278E-2</v>
      </c>
      <c r="C62" s="25">
        <f>C31/(C58-C53)</f>
        <v>-0.11736700476091906</v>
      </c>
      <c r="D62" s="25">
        <f>D31/(D58-D53)</f>
        <v>-0.26240700483091794</v>
      </c>
    </row>
    <row r="63" spans="1:19" x14ac:dyDescent="0.15">
      <c r="A63" s="24" t="s">
        <v>45</v>
      </c>
      <c r="B63" s="25">
        <f>B31/B57</f>
        <v>-0.1651624548736462</v>
      </c>
      <c r="C63" s="25">
        <f>C31/C57</f>
        <v>-0.29592901878914407</v>
      </c>
      <c r="D63" s="25">
        <f>D31/D57</f>
        <v>-0.3694236326183965</v>
      </c>
    </row>
    <row r="65" spans="1:9" x14ac:dyDescent="0.15">
      <c r="A65" s="1" t="s">
        <v>69</v>
      </c>
      <c r="C65" s="25">
        <f t="shared" ref="C65:D68" si="68">C12/B12-1</f>
        <v>0.42662779397473272</v>
      </c>
      <c r="D65" s="25">
        <f t="shared" si="68"/>
        <v>0.22529121253405981</v>
      </c>
      <c r="E65" s="25"/>
      <c r="F65" s="25"/>
      <c r="G65" s="25"/>
      <c r="H65" s="25"/>
    </row>
    <row r="66" spans="1:9" x14ac:dyDescent="0.15">
      <c r="A66" s="1" t="s">
        <v>70</v>
      </c>
      <c r="C66" s="25">
        <f t="shared" si="68"/>
        <v>2.3295454545454546</v>
      </c>
      <c r="D66" s="25">
        <f t="shared" si="68"/>
        <v>1.8014539249146759</v>
      </c>
      <c r="E66" s="25"/>
      <c r="F66" s="25"/>
      <c r="G66" s="25"/>
      <c r="H66" s="25"/>
    </row>
    <row r="67" spans="1:9" x14ac:dyDescent="0.15">
      <c r="A67" s="1" t="s">
        <v>71</v>
      </c>
      <c r="C67" s="25">
        <f t="shared" si="68"/>
        <v>1.9119496855345912</v>
      </c>
      <c r="D67" s="25">
        <f t="shared" si="68"/>
        <v>0.76565658747300214</v>
      </c>
      <c r="E67" s="25"/>
      <c r="F67" s="25"/>
      <c r="G67" s="25"/>
      <c r="H67" s="25"/>
    </row>
    <row r="68" spans="1:9" x14ac:dyDescent="0.15">
      <c r="A68" s="1" t="s">
        <v>72</v>
      </c>
      <c r="C68" s="25">
        <f t="shared" si="68"/>
        <v>0.93243243243243246</v>
      </c>
      <c r="D68" s="25">
        <f t="shared" si="68"/>
        <v>4.0482587412587421</v>
      </c>
      <c r="E68" s="25"/>
      <c r="F68" s="25"/>
      <c r="G68" s="25"/>
      <c r="H68" s="25"/>
    </row>
    <row r="70" spans="1:9" x14ac:dyDescent="0.15">
      <c r="A70" s="1" t="s">
        <v>82</v>
      </c>
      <c r="C70" s="25">
        <f t="shared" ref="C70:I71" si="69">C17/B17-1</f>
        <v>1.2000000000000002</v>
      </c>
      <c r="D70" s="25">
        <f t="shared" si="69"/>
        <v>1</v>
      </c>
      <c r="E70" s="25">
        <f t="shared" si="69"/>
        <v>0.8</v>
      </c>
      <c r="F70" s="25">
        <f t="shared" si="69"/>
        <v>0.75</v>
      </c>
      <c r="G70" s="25">
        <f t="shared" si="69"/>
        <v>0.7</v>
      </c>
      <c r="H70" s="25">
        <f t="shared" si="69"/>
        <v>0.64999999999999991</v>
      </c>
      <c r="I70" s="25">
        <f t="shared" si="69"/>
        <v>0.60000000000000009</v>
      </c>
    </row>
    <row r="71" spans="1:9" x14ac:dyDescent="0.15">
      <c r="A71" s="1" t="s">
        <v>83</v>
      </c>
      <c r="C71" s="25">
        <f t="shared" si="69"/>
        <v>-0.23941482109297274</v>
      </c>
      <c r="D71" s="25">
        <f t="shared" si="69"/>
        <v>-0.17895990794573646</v>
      </c>
      <c r="E71" s="25">
        <f t="shared" si="69"/>
        <v>-9.9999999999999978E-2</v>
      </c>
      <c r="F71" s="25">
        <f t="shared" si="69"/>
        <v>-0.10000000000000009</v>
      </c>
      <c r="G71" s="25">
        <f t="shared" si="69"/>
        <v>-9.9999999999999867E-2</v>
      </c>
      <c r="H71" s="25">
        <f t="shared" si="69"/>
        <v>-9.9999999999999978E-2</v>
      </c>
      <c r="I71" s="25">
        <f t="shared" si="69"/>
        <v>-9.9999999999999978E-2</v>
      </c>
    </row>
    <row r="73" spans="1:9" x14ac:dyDescent="0.15">
      <c r="A73" s="1" t="s">
        <v>109</v>
      </c>
      <c r="D73" s="25">
        <f>D43/C43-1</f>
        <v>-4.6350503193415715E-2</v>
      </c>
      <c r="E73" s="25">
        <f t="shared" ref="E73:I73" si="70">E43/D43-1</f>
        <v>-3.4388515102959594E-2</v>
      </c>
      <c r="F73" s="25">
        <f t="shared" si="70"/>
        <v>-7.2580645161289814E-2</v>
      </c>
      <c r="G73" s="25">
        <f t="shared" si="70"/>
        <v>-7.8260869565217606E-2</v>
      </c>
      <c r="H73" s="25">
        <f t="shared" si="70"/>
        <v>-8.4905660377358805E-2</v>
      </c>
      <c r="I73" s="25">
        <f t="shared" si="70"/>
        <v>-9.2783505154638624E-2</v>
      </c>
    </row>
    <row r="74" spans="1:9" x14ac:dyDescent="0.15">
      <c r="A74" s="61" t="s">
        <v>110</v>
      </c>
      <c r="D74" s="25">
        <f t="shared" ref="D74:I74" si="71">D70/C70-1</f>
        <v>-0.16666666666666674</v>
      </c>
      <c r="E74" s="25">
        <f t="shared" si="71"/>
        <v>-0.19999999999999996</v>
      </c>
      <c r="F74" s="25">
        <f t="shared" si="71"/>
        <v>-6.25E-2</v>
      </c>
      <c r="G74" s="25">
        <f t="shared" si="71"/>
        <v>-6.6666666666666763E-2</v>
      </c>
      <c r="H74" s="25">
        <f t="shared" si="71"/>
        <v>-7.1428571428571508E-2</v>
      </c>
      <c r="I74" s="25">
        <f t="shared" si="71"/>
        <v>-7.692307692307665E-2</v>
      </c>
    </row>
  </sheetData>
  <hyperlinks>
    <hyperlink ref="A1" r:id="rId1" xr:uid="{00000000-0004-0000-0000-000000000000}"/>
    <hyperlink ref="L4" r:id="rId2" xr:uid="{B3EB96CE-CD92-9647-8CE3-03862992E933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3"/>
  <sheetViews>
    <sheetView zoomScale="120" zoomScaleNormal="12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P52" sqref="P52"/>
    </sheetView>
  </sheetViews>
  <sheetFormatPr baseColWidth="10" defaultRowHeight="13" x14ac:dyDescent="0.15"/>
  <cols>
    <col min="1" max="1" width="17.1640625" style="1" bestFit="1" customWidth="1"/>
    <col min="2" max="2" width="10.83203125" style="14"/>
    <col min="3" max="5" width="10.83203125" style="1"/>
    <col min="6" max="6" width="10.83203125" style="39"/>
    <col min="7" max="9" width="10.83203125" style="1"/>
    <col min="10" max="10" width="10.83203125" style="28"/>
    <col min="11" max="13" width="10.83203125" style="58"/>
    <col min="14" max="14" width="10.83203125" style="28"/>
    <col min="15" max="17" width="10.83203125" style="58"/>
    <col min="18" max="16384" width="10.83203125" style="1"/>
  </cols>
  <sheetData>
    <row r="1" spans="1:17" x14ac:dyDescent="0.15">
      <c r="A1" s="5" t="s">
        <v>9</v>
      </c>
      <c r="B1" s="27" t="s">
        <v>46</v>
      </c>
      <c r="C1" s="27" t="s">
        <v>47</v>
      </c>
      <c r="D1" s="27" t="s">
        <v>48</v>
      </c>
      <c r="E1" s="27" t="s">
        <v>49</v>
      </c>
      <c r="F1" s="26" t="s">
        <v>50</v>
      </c>
      <c r="G1" s="27" t="s">
        <v>51</v>
      </c>
      <c r="H1" s="27" t="s">
        <v>3</v>
      </c>
      <c r="I1" s="27" t="s">
        <v>52</v>
      </c>
      <c r="J1" s="26" t="s">
        <v>53</v>
      </c>
      <c r="K1" s="27" t="s">
        <v>54</v>
      </c>
      <c r="L1" s="27" t="s">
        <v>55</v>
      </c>
      <c r="M1" s="27" t="s">
        <v>56</v>
      </c>
      <c r="N1" s="28" t="s">
        <v>112</v>
      </c>
      <c r="O1" s="58" t="s">
        <v>113</v>
      </c>
      <c r="P1" s="58" t="s">
        <v>114</v>
      </c>
    </row>
    <row r="2" spans="1:17" x14ac:dyDescent="0.15">
      <c r="B2" s="29" t="s">
        <v>57</v>
      </c>
      <c r="C2" s="29" t="s">
        <v>58</v>
      </c>
      <c r="D2" s="29" t="s">
        <v>59</v>
      </c>
      <c r="E2" s="29" t="s">
        <v>60</v>
      </c>
      <c r="F2" s="28" t="s">
        <v>61</v>
      </c>
      <c r="G2" s="29" t="s">
        <v>62</v>
      </c>
      <c r="H2" s="29" t="s">
        <v>63</v>
      </c>
      <c r="I2" s="29" t="s">
        <v>64</v>
      </c>
      <c r="J2" s="28" t="s">
        <v>87</v>
      </c>
      <c r="K2" s="29" t="s">
        <v>92</v>
      </c>
      <c r="L2" s="29" t="s">
        <v>93</v>
      </c>
      <c r="M2" s="29" t="s">
        <v>94</v>
      </c>
      <c r="N2" s="82">
        <v>43921</v>
      </c>
      <c r="O2" s="86">
        <v>44012</v>
      </c>
    </row>
    <row r="3" spans="1:17" s="11" customFormat="1" x14ac:dyDescent="0.15">
      <c r="A3" s="11" t="s">
        <v>65</v>
      </c>
      <c r="B3" s="27">
        <v>349</v>
      </c>
      <c r="C3" s="27">
        <v>492</v>
      </c>
      <c r="D3" s="27">
        <v>600</v>
      </c>
      <c r="E3" s="27">
        <v>617</v>
      </c>
      <c r="F3" s="26">
        <v>688</v>
      </c>
      <c r="G3" s="27">
        <v>791</v>
      </c>
      <c r="H3" s="27">
        <v>744</v>
      </c>
      <c r="I3" s="27">
        <v>713</v>
      </c>
      <c r="J3" s="26">
        <v>873.45500000000004</v>
      </c>
      <c r="K3" s="27">
        <v>920</v>
      </c>
      <c r="L3" s="27">
        <v>933</v>
      </c>
      <c r="M3" s="27">
        <v>871</v>
      </c>
      <c r="N3" s="26">
        <v>1150.6130000000001</v>
      </c>
      <c r="O3" s="78">
        <v>1248</v>
      </c>
      <c r="P3" s="78"/>
      <c r="Q3" s="78"/>
    </row>
    <row r="4" spans="1:17" s="11" customFormat="1" x14ac:dyDescent="0.15">
      <c r="A4" s="11" t="s">
        <v>115</v>
      </c>
      <c r="B4" s="27">
        <v>38</v>
      </c>
      <c r="C4" s="27">
        <v>41</v>
      </c>
      <c r="D4" s="27">
        <v>43</v>
      </c>
      <c r="E4" s="27">
        <v>54</v>
      </c>
      <c r="F4" s="26">
        <v>96</v>
      </c>
      <c r="G4" s="27">
        <v>119</v>
      </c>
      <c r="H4" s="27">
        <v>169</v>
      </c>
      <c r="I4" s="27">
        <v>202</v>
      </c>
      <c r="J4" s="26">
        <v>291.65199999999999</v>
      </c>
      <c r="K4" s="27">
        <v>326</v>
      </c>
      <c r="L4" s="27">
        <v>453</v>
      </c>
      <c r="M4" s="27">
        <v>571</v>
      </c>
      <c r="N4" s="26">
        <v>793.553</v>
      </c>
      <c r="O4" s="78">
        <v>825</v>
      </c>
      <c r="P4" s="78"/>
      <c r="Q4" s="78"/>
    </row>
    <row r="5" spans="1:17" s="11" customFormat="1" x14ac:dyDescent="0.15">
      <c r="A5" s="11" t="s">
        <v>67</v>
      </c>
      <c r="B5" s="27">
        <v>29</v>
      </c>
      <c r="C5" s="27">
        <v>41</v>
      </c>
      <c r="D5" s="27">
        <v>49</v>
      </c>
      <c r="E5" s="27">
        <v>40</v>
      </c>
      <c r="F5" s="26">
        <v>70</v>
      </c>
      <c r="G5" s="27">
        <v>96</v>
      </c>
      <c r="H5" s="27">
        <v>137</v>
      </c>
      <c r="I5" s="27">
        <v>160</v>
      </c>
      <c r="J5" s="26">
        <v>112.499</v>
      </c>
      <c r="K5" s="27">
        <v>168</v>
      </c>
      <c r="L5" s="27">
        <v>247</v>
      </c>
      <c r="M5" s="27">
        <v>290</v>
      </c>
      <c r="N5" s="26">
        <v>214.26599999999999</v>
      </c>
      <c r="O5" s="78">
        <v>349</v>
      </c>
      <c r="P5" s="78"/>
      <c r="Q5" s="78"/>
    </row>
    <row r="6" spans="1:17" s="11" customFormat="1" x14ac:dyDescent="0.15">
      <c r="A6" s="11" t="s">
        <v>68</v>
      </c>
      <c r="B6" s="27">
        <v>8</v>
      </c>
      <c r="C6" s="27">
        <v>8</v>
      </c>
      <c r="D6" s="27">
        <v>35</v>
      </c>
      <c r="E6" s="27">
        <v>23</v>
      </c>
      <c r="F6" s="26">
        <v>13</v>
      </c>
      <c r="G6" s="27">
        <v>21</v>
      </c>
      <c r="H6" s="27">
        <v>28</v>
      </c>
      <c r="I6" s="27">
        <v>81</v>
      </c>
      <c r="J6" s="26">
        <v>95.900999999999996</v>
      </c>
      <c r="K6" s="27">
        <v>124</v>
      </c>
      <c r="L6" s="27">
        <v>226</v>
      </c>
      <c r="M6" s="27">
        <v>276</v>
      </c>
      <c r="N6" s="26">
        <v>157.10300000000001</v>
      </c>
      <c r="O6" s="78">
        <v>196</v>
      </c>
      <c r="P6" s="78"/>
      <c r="Q6" s="78"/>
    </row>
    <row r="7" spans="1:17" x14ac:dyDescent="0.15">
      <c r="B7" s="27"/>
      <c r="C7" s="27"/>
      <c r="D7" s="27"/>
      <c r="E7" s="27"/>
      <c r="F7" s="26"/>
      <c r="G7" s="27"/>
      <c r="H7" s="27"/>
      <c r="I7" s="27"/>
      <c r="J7" s="26"/>
      <c r="K7" s="27"/>
      <c r="L7" s="27"/>
      <c r="M7" s="27"/>
    </row>
    <row r="8" spans="1:17" s="53" customFormat="1" x14ac:dyDescent="0.15">
      <c r="A8" s="53" t="s">
        <v>80</v>
      </c>
      <c r="B8" s="56"/>
      <c r="C8" s="56"/>
      <c r="D8" s="56"/>
      <c r="E8" s="56"/>
      <c r="F8" s="57">
        <v>2.5</v>
      </c>
      <c r="G8" s="56">
        <v>3</v>
      </c>
      <c r="H8" s="56">
        <v>3.5</v>
      </c>
      <c r="I8" s="56">
        <v>4.4000000000000004</v>
      </c>
      <c r="J8" s="57">
        <v>5.7</v>
      </c>
      <c r="K8" s="56">
        <v>6.3</v>
      </c>
      <c r="L8" s="56">
        <v>7.9</v>
      </c>
      <c r="M8" s="56">
        <v>8.8000000000000007</v>
      </c>
      <c r="N8" s="57">
        <v>13.4</v>
      </c>
      <c r="O8" s="59">
        <v>12.9</v>
      </c>
      <c r="P8" s="59"/>
      <c r="Q8" s="59"/>
    </row>
    <row r="9" spans="1:17" s="11" customFormat="1" x14ac:dyDescent="0.15">
      <c r="A9" s="11" t="s">
        <v>81</v>
      </c>
      <c r="B9" s="27"/>
      <c r="C9" s="27"/>
      <c r="D9" s="27"/>
      <c r="E9" s="27"/>
      <c r="F9" s="33">
        <f t="shared" ref="F9:O9" si="0">SUM(F3:F6)/F8</f>
        <v>346.8</v>
      </c>
      <c r="G9" s="34">
        <f t="shared" si="0"/>
        <v>342.33333333333331</v>
      </c>
      <c r="H9" s="34">
        <f t="shared" si="0"/>
        <v>308</v>
      </c>
      <c r="I9" s="34">
        <f t="shared" si="0"/>
        <v>262.72727272727269</v>
      </c>
      <c r="J9" s="33">
        <f t="shared" si="0"/>
        <v>240.9661403508772</v>
      </c>
      <c r="K9" s="34">
        <f t="shared" si="0"/>
        <v>244.12698412698413</v>
      </c>
      <c r="L9" s="34">
        <f t="shared" si="0"/>
        <v>235.31645569620252</v>
      </c>
      <c r="M9" s="34">
        <f t="shared" si="0"/>
        <v>228.18181818181816</v>
      </c>
      <c r="N9" s="33">
        <f t="shared" si="0"/>
        <v>172.80111940298508</v>
      </c>
      <c r="O9" s="34">
        <f t="shared" si="0"/>
        <v>202.94573643410851</v>
      </c>
      <c r="P9" s="78"/>
      <c r="Q9" s="78"/>
    </row>
    <row r="10" spans="1:17" s="84" customFormat="1" x14ac:dyDescent="0.15">
      <c r="B10" s="66"/>
      <c r="C10" s="66"/>
      <c r="D10" s="66"/>
      <c r="E10" s="66"/>
      <c r="F10" s="67"/>
      <c r="G10" s="66"/>
      <c r="H10" s="66"/>
      <c r="I10" s="66"/>
      <c r="J10" s="67"/>
      <c r="K10" s="66">
        <v>1450</v>
      </c>
      <c r="L10" s="66"/>
      <c r="M10" s="66"/>
      <c r="N10" s="67">
        <v>2150</v>
      </c>
      <c r="O10" s="85"/>
      <c r="P10" s="85">
        <v>3050</v>
      </c>
      <c r="Q10" s="85"/>
    </row>
    <row r="11" spans="1:17" s="79" customFormat="1" x14ac:dyDescent="0.15">
      <c r="A11" s="79" t="s">
        <v>14</v>
      </c>
      <c r="B11" s="31">
        <f t="shared" ref="B11:E11" si="1">SUM(B3:B6)</f>
        <v>424</v>
      </c>
      <c r="C11" s="31">
        <f t="shared" si="1"/>
        <v>582</v>
      </c>
      <c r="D11" s="31">
        <f t="shared" si="1"/>
        <v>727</v>
      </c>
      <c r="E11" s="31">
        <f t="shared" si="1"/>
        <v>734</v>
      </c>
      <c r="F11" s="30">
        <f t="shared" ref="F11:M11" si="2">F8*F9</f>
        <v>867</v>
      </c>
      <c r="G11" s="31">
        <f t="shared" si="2"/>
        <v>1027</v>
      </c>
      <c r="H11" s="31">
        <f t="shared" si="2"/>
        <v>1078</v>
      </c>
      <c r="I11" s="31">
        <f t="shared" si="2"/>
        <v>1156</v>
      </c>
      <c r="J11" s="30">
        <f t="shared" si="2"/>
        <v>1373.5070000000001</v>
      </c>
      <c r="K11" s="31">
        <f t="shared" si="2"/>
        <v>1538</v>
      </c>
      <c r="L11" s="31">
        <f t="shared" si="2"/>
        <v>1859</v>
      </c>
      <c r="M11" s="31">
        <f t="shared" si="2"/>
        <v>2008</v>
      </c>
      <c r="N11" s="30">
        <f>N8*N9</f>
        <v>2315.5350000000003</v>
      </c>
      <c r="O11" s="31">
        <f>O8*O9</f>
        <v>2618</v>
      </c>
      <c r="P11" s="87">
        <v>3050</v>
      </c>
      <c r="Q11" s="87"/>
    </row>
    <row r="12" spans="1:17" s="11" customFormat="1" x14ac:dyDescent="0.15">
      <c r="A12" s="11" t="s">
        <v>15</v>
      </c>
      <c r="B12" s="27">
        <v>363</v>
      </c>
      <c r="C12" s="27">
        <v>445</v>
      </c>
      <c r="D12" s="27">
        <v>553</v>
      </c>
      <c r="E12" s="27">
        <v>558</v>
      </c>
      <c r="F12" s="26">
        <v>655</v>
      </c>
      <c r="G12" s="27">
        <v>776</v>
      </c>
      <c r="H12" s="27">
        <v>884</v>
      </c>
      <c r="I12" s="35">
        <v>959</v>
      </c>
      <c r="J12" s="26">
        <v>1184.191</v>
      </c>
      <c r="K12" s="35">
        <v>1286</v>
      </c>
      <c r="L12" s="35">
        <v>1508</v>
      </c>
      <c r="M12" s="35">
        <v>1610</v>
      </c>
      <c r="N12" s="26">
        <v>1785.0709999999999</v>
      </c>
      <c r="O12" s="78">
        <v>2014</v>
      </c>
      <c r="P12" s="78"/>
      <c r="Q12" s="78"/>
    </row>
    <row r="13" spans="1:17" s="11" customFormat="1" x14ac:dyDescent="0.15">
      <c r="A13" s="11" t="s">
        <v>16</v>
      </c>
      <c r="B13" s="34">
        <f t="shared" ref="B13:O13" si="3">B11-B12</f>
        <v>61</v>
      </c>
      <c r="C13" s="34">
        <f t="shared" si="3"/>
        <v>137</v>
      </c>
      <c r="D13" s="34">
        <f t="shared" si="3"/>
        <v>174</v>
      </c>
      <c r="E13" s="34">
        <f t="shared" si="3"/>
        <v>176</v>
      </c>
      <c r="F13" s="33">
        <f t="shared" si="3"/>
        <v>212</v>
      </c>
      <c r="G13" s="34">
        <f t="shared" si="3"/>
        <v>251</v>
      </c>
      <c r="H13" s="34">
        <f t="shared" si="3"/>
        <v>194</v>
      </c>
      <c r="I13" s="34">
        <f t="shared" si="3"/>
        <v>197</v>
      </c>
      <c r="J13" s="33">
        <f t="shared" si="3"/>
        <v>189.31600000000003</v>
      </c>
      <c r="K13" s="34">
        <f t="shared" si="3"/>
        <v>252</v>
      </c>
      <c r="L13" s="34">
        <f t="shared" si="3"/>
        <v>351</v>
      </c>
      <c r="M13" s="34">
        <f t="shared" si="3"/>
        <v>398</v>
      </c>
      <c r="N13" s="33">
        <f t="shared" si="3"/>
        <v>530.4640000000004</v>
      </c>
      <c r="O13" s="34">
        <f t="shared" si="3"/>
        <v>604</v>
      </c>
      <c r="P13" s="78"/>
      <c r="Q13" s="78"/>
    </row>
    <row r="14" spans="1:17" s="11" customFormat="1" x14ac:dyDescent="0.15">
      <c r="A14" s="11" t="s">
        <v>17</v>
      </c>
      <c r="B14" s="27">
        <v>55</v>
      </c>
      <c r="C14" s="27">
        <v>63</v>
      </c>
      <c r="D14" s="27">
        <v>74</v>
      </c>
      <c r="E14" s="27">
        <v>87</v>
      </c>
      <c r="F14" s="26">
        <v>106</v>
      </c>
      <c r="G14" s="27">
        <v>132</v>
      </c>
      <c r="H14" s="27">
        <v>146</v>
      </c>
      <c r="I14" s="35">
        <v>153</v>
      </c>
      <c r="J14" s="26">
        <v>186.07499999999999</v>
      </c>
      <c r="K14" s="35">
        <v>216</v>
      </c>
      <c r="L14" s="35">
        <v>247</v>
      </c>
      <c r="M14" s="35">
        <v>245</v>
      </c>
      <c r="N14" s="26">
        <v>297</v>
      </c>
      <c r="O14" s="78">
        <v>331</v>
      </c>
      <c r="P14" s="78"/>
      <c r="Q14" s="78"/>
    </row>
    <row r="15" spans="1:17" s="11" customFormat="1" x14ac:dyDescent="0.15">
      <c r="A15" s="11" t="s">
        <v>18</v>
      </c>
      <c r="B15" s="27">
        <v>41</v>
      </c>
      <c r="C15" s="27">
        <v>52</v>
      </c>
      <c r="D15" s="27">
        <v>75</v>
      </c>
      <c r="E15" s="27">
        <v>65</v>
      </c>
      <c r="F15" s="26">
        <v>79</v>
      </c>
      <c r="G15" s="27">
        <v>128</v>
      </c>
      <c r="H15" s="27">
        <v>197</v>
      </c>
      <c r="I15" s="35">
        <v>182</v>
      </c>
      <c r="J15" s="26">
        <v>181.48699999999999</v>
      </c>
      <c r="K15" s="35">
        <v>240</v>
      </c>
      <c r="L15" s="35">
        <v>364</v>
      </c>
      <c r="M15" s="35">
        <v>413</v>
      </c>
      <c r="N15" s="26">
        <v>606</v>
      </c>
      <c r="O15" s="78">
        <v>675</v>
      </c>
      <c r="P15" s="78"/>
      <c r="Q15" s="78"/>
    </row>
    <row r="16" spans="1:17" s="11" customFormat="1" x14ac:dyDescent="0.15">
      <c r="A16" s="11" t="s">
        <v>19</v>
      </c>
      <c r="B16" s="27">
        <v>43</v>
      </c>
      <c r="C16" s="27">
        <v>75</v>
      </c>
      <c r="D16" s="27">
        <v>57</v>
      </c>
      <c r="E16" s="27">
        <v>86</v>
      </c>
      <c r="F16" s="26">
        <v>103</v>
      </c>
      <c r="G16" s="27">
        <v>98</v>
      </c>
      <c r="H16" s="27">
        <v>111</v>
      </c>
      <c r="I16" s="35">
        <v>150</v>
      </c>
      <c r="J16" s="26">
        <v>128.48699999999999</v>
      </c>
      <c r="K16" s="35">
        <v>141</v>
      </c>
      <c r="L16" s="35">
        <v>163</v>
      </c>
      <c r="M16" s="35">
        <v>160</v>
      </c>
      <c r="N16" s="26">
        <v>171</v>
      </c>
      <c r="O16" s="78">
        <v>208</v>
      </c>
      <c r="P16" s="78"/>
      <c r="Q16" s="78"/>
    </row>
    <row r="17" spans="1:17" s="11" customFormat="1" x14ac:dyDescent="0.15">
      <c r="A17" s="11" t="s">
        <v>20</v>
      </c>
      <c r="B17" s="34">
        <f t="shared" ref="B17:H17" si="4">SUM(B14:B16)</f>
        <v>139</v>
      </c>
      <c r="C17" s="34">
        <f t="shared" si="4"/>
        <v>190</v>
      </c>
      <c r="D17" s="34">
        <f t="shared" si="4"/>
        <v>206</v>
      </c>
      <c r="E17" s="34">
        <f t="shared" si="4"/>
        <v>238</v>
      </c>
      <c r="F17" s="33">
        <f t="shared" si="4"/>
        <v>288</v>
      </c>
      <c r="G17" s="34">
        <f t="shared" si="4"/>
        <v>358</v>
      </c>
      <c r="H17" s="34">
        <f t="shared" si="4"/>
        <v>454</v>
      </c>
      <c r="I17" s="34">
        <f t="shared" ref="I17:K17" si="5">SUM(I14:I16)</f>
        <v>485</v>
      </c>
      <c r="J17" s="33">
        <f t="shared" si="5"/>
        <v>496.04899999999998</v>
      </c>
      <c r="K17" s="34">
        <f t="shared" si="5"/>
        <v>597</v>
      </c>
      <c r="L17" s="34">
        <f t="shared" ref="L17:M17" si="6">SUM(L14:L16)</f>
        <v>774</v>
      </c>
      <c r="M17" s="34">
        <f t="shared" si="6"/>
        <v>818</v>
      </c>
      <c r="N17" s="33">
        <f t="shared" ref="N17:O17" si="7">SUM(N14:N16)</f>
        <v>1074</v>
      </c>
      <c r="O17" s="34">
        <f t="shared" si="7"/>
        <v>1214</v>
      </c>
      <c r="P17" s="78"/>
      <c r="Q17" s="78"/>
    </row>
    <row r="18" spans="1:17" s="11" customFormat="1" x14ac:dyDescent="0.15">
      <c r="A18" s="11" t="s">
        <v>21</v>
      </c>
      <c r="B18" s="34">
        <f t="shared" ref="B18:H18" si="8">B13-B17</f>
        <v>-78</v>
      </c>
      <c r="C18" s="34">
        <f t="shared" si="8"/>
        <v>-53</v>
      </c>
      <c r="D18" s="34">
        <f t="shared" si="8"/>
        <v>-32</v>
      </c>
      <c r="E18" s="34">
        <f t="shared" si="8"/>
        <v>-62</v>
      </c>
      <c r="F18" s="33">
        <f t="shared" si="8"/>
        <v>-76</v>
      </c>
      <c r="G18" s="34">
        <f t="shared" si="8"/>
        <v>-107</v>
      </c>
      <c r="H18" s="34">
        <f t="shared" si="8"/>
        <v>-260</v>
      </c>
      <c r="I18" s="34">
        <f t="shared" ref="I18:K18" si="9">I13-I17</f>
        <v>-288</v>
      </c>
      <c r="J18" s="33">
        <f t="shared" si="9"/>
        <v>-306.73299999999995</v>
      </c>
      <c r="K18" s="34">
        <f t="shared" si="9"/>
        <v>-345</v>
      </c>
      <c r="L18" s="34">
        <f t="shared" ref="L18:M18" si="10">L13-L17</f>
        <v>-423</v>
      </c>
      <c r="M18" s="34">
        <f t="shared" si="10"/>
        <v>-420</v>
      </c>
      <c r="N18" s="33">
        <f t="shared" ref="N18:O18" si="11">N13-N17</f>
        <v>-543.5359999999996</v>
      </c>
      <c r="O18" s="34">
        <f t="shared" si="11"/>
        <v>-610</v>
      </c>
      <c r="P18" s="78"/>
      <c r="Q18" s="78"/>
    </row>
    <row r="19" spans="1:17" s="11" customFormat="1" x14ac:dyDescent="0.15">
      <c r="A19" s="11" t="s">
        <v>22</v>
      </c>
      <c r="B19" s="27">
        <v>12</v>
      </c>
      <c r="C19" s="27">
        <v>5</v>
      </c>
      <c r="D19" s="27">
        <v>20</v>
      </c>
      <c r="E19" s="27">
        <v>13</v>
      </c>
      <c r="F19" s="26">
        <v>20</v>
      </c>
      <c r="G19" s="27">
        <v>39</v>
      </c>
      <c r="H19" s="27">
        <v>24</v>
      </c>
      <c r="I19" s="35">
        <f>75+26-5+10</f>
        <v>106</v>
      </c>
      <c r="J19" s="26">
        <v>119.283</v>
      </c>
      <c r="K19" s="35">
        <v>43</v>
      </c>
      <c r="L19" s="35">
        <v>25</v>
      </c>
      <c r="M19" s="35">
        <v>40</v>
      </c>
      <c r="N19" s="26">
        <v>15</v>
      </c>
      <c r="O19" s="78">
        <v>51</v>
      </c>
      <c r="P19" s="78"/>
      <c r="Q19" s="78"/>
    </row>
    <row r="20" spans="1:17" s="11" customFormat="1" x14ac:dyDescent="0.15">
      <c r="A20" s="11" t="s">
        <v>23</v>
      </c>
      <c r="B20" s="34">
        <f t="shared" ref="B20:I20" si="12">B18+B19</f>
        <v>-66</v>
      </c>
      <c r="C20" s="34">
        <f t="shared" si="12"/>
        <v>-48</v>
      </c>
      <c r="D20" s="34">
        <f t="shared" si="12"/>
        <v>-12</v>
      </c>
      <c r="E20" s="34">
        <f t="shared" si="12"/>
        <v>-49</v>
      </c>
      <c r="F20" s="33">
        <f t="shared" si="12"/>
        <v>-56</v>
      </c>
      <c r="G20" s="34">
        <f t="shared" si="12"/>
        <v>-68</v>
      </c>
      <c r="H20" s="34">
        <f t="shared" si="12"/>
        <v>-236</v>
      </c>
      <c r="I20" s="34">
        <f t="shared" si="12"/>
        <v>-182</v>
      </c>
      <c r="J20" s="33">
        <f t="shared" ref="J20:K20" si="13">J18+J19</f>
        <v>-187.44999999999993</v>
      </c>
      <c r="K20" s="34">
        <f t="shared" si="13"/>
        <v>-302</v>
      </c>
      <c r="L20" s="34">
        <f t="shared" ref="L20:O20" si="14">L18+L19</f>
        <v>-398</v>
      </c>
      <c r="M20" s="34">
        <f t="shared" si="14"/>
        <v>-380</v>
      </c>
      <c r="N20" s="33">
        <f t="shared" si="14"/>
        <v>-528.5359999999996</v>
      </c>
      <c r="O20" s="34">
        <f t="shared" si="14"/>
        <v>-559</v>
      </c>
      <c r="P20" s="78"/>
      <c r="Q20" s="78"/>
    </row>
    <row r="21" spans="1:17" s="11" customFormat="1" x14ac:dyDescent="0.15">
      <c r="A21" s="11" t="s">
        <v>24</v>
      </c>
      <c r="B21" s="27">
        <v>2</v>
      </c>
      <c r="C21" s="27">
        <v>2</v>
      </c>
      <c r="D21" s="27">
        <v>2</v>
      </c>
      <c r="E21" s="27">
        <v>2</v>
      </c>
      <c r="F21" s="26">
        <v>3</v>
      </c>
      <c r="G21" s="27">
        <v>2</v>
      </c>
      <c r="H21" s="27">
        <v>11</v>
      </c>
      <c r="I21" s="35">
        <v>9</v>
      </c>
      <c r="J21" s="26">
        <v>8.1880000000000006</v>
      </c>
      <c r="K21" s="35">
        <v>13</v>
      </c>
      <c r="L21" s="35">
        <v>8</v>
      </c>
      <c r="M21" s="35">
        <v>7</v>
      </c>
      <c r="N21" s="26">
        <v>9</v>
      </c>
      <c r="O21" s="78">
        <v>12</v>
      </c>
      <c r="P21" s="78"/>
      <c r="Q21" s="78"/>
    </row>
    <row r="22" spans="1:17" s="11" customFormat="1" x14ac:dyDescent="0.15">
      <c r="A22" s="79" t="s">
        <v>25</v>
      </c>
      <c r="B22" s="31">
        <f t="shared" ref="B22:I22" si="15">B20-B21</f>
        <v>-68</v>
      </c>
      <c r="C22" s="31">
        <f t="shared" si="15"/>
        <v>-50</v>
      </c>
      <c r="D22" s="31">
        <f t="shared" si="15"/>
        <v>-14</v>
      </c>
      <c r="E22" s="31">
        <f t="shared" si="15"/>
        <v>-51</v>
      </c>
      <c r="F22" s="30">
        <f t="shared" si="15"/>
        <v>-59</v>
      </c>
      <c r="G22" s="31">
        <f t="shared" si="15"/>
        <v>-70</v>
      </c>
      <c r="H22" s="31">
        <f t="shared" si="15"/>
        <v>-247</v>
      </c>
      <c r="I22" s="31">
        <f t="shared" si="15"/>
        <v>-191</v>
      </c>
      <c r="J22" s="30">
        <f t="shared" ref="J22:K22" si="16">J20-J21</f>
        <v>-195.63799999999992</v>
      </c>
      <c r="K22" s="31">
        <f t="shared" si="16"/>
        <v>-315</v>
      </c>
      <c r="L22" s="31">
        <f t="shared" ref="L22:O22" si="17">L20-L21</f>
        <v>-406</v>
      </c>
      <c r="M22" s="31">
        <f t="shared" si="17"/>
        <v>-387</v>
      </c>
      <c r="N22" s="30">
        <f t="shared" ref="N22" si="18">N20-N21</f>
        <v>-537.5359999999996</v>
      </c>
      <c r="O22" s="31">
        <f t="shared" si="17"/>
        <v>-571</v>
      </c>
      <c r="P22" s="78"/>
      <c r="Q22" s="78"/>
    </row>
    <row r="23" spans="1:17" s="80" customFormat="1" x14ac:dyDescent="0.15">
      <c r="A23" s="80" t="s">
        <v>26</v>
      </c>
      <c r="B23" s="51">
        <f t="shared" ref="B23:H23" si="19">B22/B24</f>
        <v>-0.95590298630559323</v>
      </c>
      <c r="C23" s="51">
        <f t="shared" si="19"/>
        <v>-0.7145930607611477</v>
      </c>
      <c r="D23" s="51">
        <f t="shared" si="19"/>
        <v>-0.20191261435501193</v>
      </c>
      <c r="E23" s="51">
        <f t="shared" si="19"/>
        <v>-0.73553880943611483</v>
      </c>
      <c r="F23" s="52">
        <f t="shared" si="19"/>
        <v>-0.85091744621040732</v>
      </c>
      <c r="G23" s="51">
        <f t="shared" si="19"/>
        <v>-0.25558062858317654</v>
      </c>
      <c r="H23" s="51">
        <f t="shared" si="19"/>
        <v>-0.8858229643571307</v>
      </c>
      <c r="I23" s="51">
        <f>I22/I24</f>
        <v>-0.62211755794599177</v>
      </c>
      <c r="J23" s="52">
        <f t="shared" ref="J23" si="20">J22/J24</f>
        <v>-0.62736295084328519</v>
      </c>
      <c r="K23" s="51">
        <f>K22/K24</f>
        <v>-0.96726152298422019</v>
      </c>
      <c r="L23" s="51">
        <f>L22/L24</f>
        <v>-1.2407120820686179</v>
      </c>
      <c r="M23" s="51">
        <f>M22/M24</f>
        <v>-1.1809838060784552</v>
      </c>
      <c r="N23" s="52">
        <f>N22/N24</f>
        <v>-1.6316501716971401</v>
      </c>
      <c r="O23" s="51">
        <f>O22/O24</f>
        <v>-1.637818872721682</v>
      </c>
      <c r="P23" s="81"/>
      <c r="Q23" s="81"/>
    </row>
    <row r="24" spans="1:17" s="11" customFormat="1" x14ac:dyDescent="0.15">
      <c r="A24" s="11" t="s">
        <v>2</v>
      </c>
      <c r="B24" s="27">
        <v>71.136926000000003</v>
      </c>
      <c r="C24" s="27">
        <v>69.969892999999999</v>
      </c>
      <c r="D24" s="27">
        <v>69.336926000000005</v>
      </c>
      <c r="E24" s="27">
        <v>69.336926000000005</v>
      </c>
      <c r="F24" s="26">
        <v>69.336926000000005</v>
      </c>
      <c r="G24" s="27">
        <v>273.88617199999999</v>
      </c>
      <c r="H24" s="27">
        <v>278.83675399999998</v>
      </c>
      <c r="I24" s="35">
        <v>307.01592900000003</v>
      </c>
      <c r="J24" s="26">
        <v>311.841813</v>
      </c>
      <c r="K24" s="35">
        <v>325.66166700000002</v>
      </c>
      <c r="L24" s="35">
        <v>327.23143900000002</v>
      </c>
      <c r="M24" s="35">
        <v>327.69289300000003</v>
      </c>
      <c r="N24" s="26">
        <v>329.44316700000002</v>
      </c>
      <c r="O24" s="78">
        <v>348.63440000000003</v>
      </c>
      <c r="P24" s="78"/>
      <c r="Q24" s="78"/>
    </row>
    <row r="25" spans="1:17" x14ac:dyDescent="0.15">
      <c r="A25" s="7"/>
      <c r="B25" s="27"/>
      <c r="C25" s="27"/>
      <c r="D25" s="27"/>
      <c r="E25" s="27"/>
      <c r="F25" s="26"/>
      <c r="G25" s="27"/>
      <c r="H25" s="27"/>
      <c r="I25" s="35"/>
      <c r="J25" s="26"/>
      <c r="K25" s="35"/>
      <c r="L25" s="35"/>
      <c r="M25" s="35"/>
    </row>
    <row r="26" spans="1:17" x14ac:dyDescent="0.15">
      <c r="A26" s="1" t="s">
        <v>31</v>
      </c>
      <c r="B26" s="37">
        <f t="shared" ref="B26:O26" si="21">B13/B11</f>
        <v>0.14386792452830188</v>
      </c>
      <c r="C26" s="37">
        <f t="shared" si="21"/>
        <v>0.23539518900343642</v>
      </c>
      <c r="D26" s="37">
        <f t="shared" si="21"/>
        <v>0.23933975240715269</v>
      </c>
      <c r="E26" s="37">
        <f t="shared" si="21"/>
        <v>0.23978201634877383</v>
      </c>
      <c r="F26" s="36">
        <f t="shared" si="21"/>
        <v>0.24452133794694347</v>
      </c>
      <c r="G26" s="37">
        <f t="shared" si="21"/>
        <v>0.24440116845180138</v>
      </c>
      <c r="H26" s="37">
        <f t="shared" si="21"/>
        <v>0.17996289424860853</v>
      </c>
      <c r="I26" s="44">
        <f t="shared" si="21"/>
        <v>0.17041522491349481</v>
      </c>
      <c r="J26" s="36">
        <f t="shared" si="21"/>
        <v>0.13783402632822406</v>
      </c>
      <c r="K26" s="44">
        <f t="shared" si="21"/>
        <v>0.16384915474642392</v>
      </c>
      <c r="L26" s="44">
        <f t="shared" si="21"/>
        <v>0.1888111888111888</v>
      </c>
      <c r="M26" s="44">
        <f t="shared" si="21"/>
        <v>0.19820717131474103</v>
      </c>
      <c r="N26" s="83">
        <f t="shared" si="21"/>
        <v>0.22908917377625487</v>
      </c>
      <c r="O26" s="44">
        <f t="shared" si="21"/>
        <v>0.23071046600458364</v>
      </c>
    </row>
    <row r="27" spans="1:17" x14ac:dyDescent="0.15">
      <c r="A27" s="1" t="s">
        <v>32</v>
      </c>
      <c r="B27" s="37">
        <f t="shared" ref="B27:O27" si="22">B18/B11</f>
        <v>-0.18396226415094338</v>
      </c>
      <c r="C27" s="37">
        <f t="shared" si="22"/>
        <v>-9.1065292096219927E-2</v>
      </c>
      <c r="D27" s="37">
        <f t="shared" si="22"/>
        <v>-4.4016506189821183E-2</v>
      </c>
      <c r="E27" s="37">
        <f t="shared" si="22"/>
        <v>-8.4468664850136238E-2</v>
      </c>
      <c r="F27" s="36">
        <f t="shared" si="22"/>
        <v>-8.7658592848904274E-2</v>
      </c>
      <c r="G27" s="37">
        <f t="shared" si="22"/>
        <v>-0.10418695228821812</v>
      </c>
      <c r="H27" s="37">
        <f t="shared" si="22"/>
        <v>-0.24118738404452691</v>
      </c>
      <c r="I27" s="44">
        <f t="shared" si="22"/>
        <v>-0.2491349480968858</v>
      </c>
      <c r="J27" s="36">
        <f t="shared" si="22"/>
        <v>-0.22332103149092064</v>
      </c>
      <c r="K27" s="44">
        <f t="shared" si="22"/>
        <v>-0.22431729518855656</v>
      </c>
      <c r="L27" s="44">
        <f t="shared" si="22"/>
        <v>-0.22754168908015063</v>
      </c>
      <c r="M27" s="44">
        <f t="shared" si="22"/>
        <v>-0.20916334661354583</v>
      </c>
      <c r="N27" s="83">
        <f t="shared" si="22"/>
        <v>-0.23473452139570317</v>
      </c>
      <c r="O27" s="44">
        <f t="shared" si="22"/>
        <v>-0.23300229182582124</v>
      </c>
    </row>
    <row r="28" spans="1:17" x14ac:dyDescent="0.15">
      <c r="A28" s="1" t="s">
        <v>33</v>
      </c>
      <c r="B28" s="37">
        <f t="shared" ref="B28:N28" si="23">B21/B20</f>
        <v>-3.0303030303030304E-2</v>
      </c>
      <c r="C28" s="37">
        <f t="shared" si="23"/>
        <v>-4.1666666666666664E-2</v>
      </c>
      <c r="D28" s="37">
        <f t="shared" si="23"/>
        <v>-0.16666666666666666</v>
      </c>
      <c r="E28" s="37">
        <f t="shared" si="23"/>
        <v>-4.0816326530612242E-2</v>
      </c>
      <c r="F28" s="36">
        <f t="shared" si="23"/>
        <v>-5.3571428571428568E-2</v>
      </c>
      <c r="G28" s="37">
        <f t="shared" si="23"/>
        <v>-2.9411764705882353E-2</v>
      </c>
      <c r="H28" s="37">
        <f t="shared" si="23"/>
        <v>-4.6610169491525424E-2</v>
      </c>
      <c r="I28" s="44">
        <f t="shared" si="23"/>
        <v>-4.9450549450549448E-2</v>
      </c>
      <c r="J28" s="36">
        <f t="shared" si="23"/>
        <v>-4.3680981595092046E-2</v>
      </c>
      <c r="K28" s="44">
        <f t="shared" si="23"/>
        <v>-4.3046357615894038E-2</v>
      </c>
      <c r="L28" s="44">
        <f t="shared" si="23"/>
        <v>-2.0100502512562814E-2</v>
      </c>
      <c r="M28" s="44">
        <f t="shared" si="23"/>
        <v>-1.8421052631578946E-2</v>
      </c>
      <c r="N28" s="83">
        <f t="shared" si="23"/>
        <v>-1.7028168374528901E-2</v>
      </c>
      <c r="O28" s="44">
        <f t="shared" ref="O28" si="24">O21/O20</f>
        <v>-2.1466905187835419E-2</v>
      </c>
    </row>
    <row r="29" spans="1:17" x14ac:dyDescent="0.15">
      <c r="B29" s="29"/>
      <c r="C29" s="29"/>
      <c r="D29" s="29"/>
      <c r="E29" s="29"/>
      <c r="F29" s="28"/>
      <c r="G29" s="29"/>
      <c r="H29" s="29"/>
      <c r="I29" s="38"/>
      <c r="K29" s="38"/>
      <c r="L29" s="38"/>
      <c r="M29" s="38"/>
      <c r="O29" s="38"/>
    </row>
    <row r="30" spans="1:17" x14ac:dyDescent="0.15">
      <c r="A30" s="2" t="s">
        <v>27</v>
      </c>
      <c r="B30" s="29"/>
      <c r="C30" s="29"/>
      <c r="D30" s="29"/>
      <c r="E30" s="29"/>
      <c r="F30" s="42">
        <f t="shared" ref="F30:P30" si="25">F11/B11-1</f>
        <v>1.0448113207547172</v>
      </c>
      <c r="G30" s="41">
        <f t="shared" si="25"/>
        <v>0.76460481099656352</v>
      </c>
      <c r="H30" s="41">
        <f t="shared" si="25"/>
        <v>0.48280605226960116</v>
      </c>
      <c r="I30" s="43">
        <f t="shared" si="25"/>
        <v>0.57493188010899177</v>
      </c>
      <c r="J30" s="42">
        <f t="shared" si="25"/>
        <v>0.58420645905420998</v>
      </c>
      <c r="K30" s="43">
        <f t="shared" si="25"/>
        <v>0.4975657254138266</v>
      </c>
      <c r="L30" s="43">
        <f t="shared" si="25"/>
        <v>0.72448979591836737</v>
      </c>
      <c r="M30" s="43">
        <f t="shared" si="25"/>
        <v>0.73702422145328716</v>
      </c>
      <c r="N30" s="71">
        <f t="shared" si="25"/>
        <v>0.68585598762874911</v>
      </c>
      <c r="O30" s="43">
        <f t="shared" si="25"/>
        <v>0.70221066319895975</v>
      </c>
      <c r="P30" s="43">
        <f t="shared" si="25"/>
        <v>0.64066702528240982</v>
      </c>
    </row>
    <row r="31" spans="1:17" x14ac:dyDescent="0.15">
      <c r="A31" s="1" t="s">
        <v>28</v>
      </c>
      <c r="B31" s="29"/>
      <c r="C31" s="29"/>
      <c r="D31" s="29"/>
      <c r="E31" s="29"/>
      <c r="F31" s="36">
        <f t="shared" ref="F31:O33" si="26">F14/B14-1</f>
        <v>0.92727272727272725</v>
      </c>
      <c r="G31" s="37">
        <f t="shared" si="26"/>
        <v>1.0952380952380953</v>
      </c>
      <c r="H31" s="37">
        <f t="shared" si="26"/>
        <v>0.97297297297297303</v>
      </c>
      <c r="I31" s="37">
        <f t="shared" si="26"/>
        <v>0.75862068965517238</v>
      </c>
      <c r="J31" s="36">
        <f t="shared" si="26"/>
        <v>0.75542452830188678</v>
      </c>
      <c r="K31" s="44">
        <f t="shared" si="26"/>
        <v>0.63636363636363646</v>
      </c>
      <c r="L31" s="44">
        <f t="shared" si="26"/>
        <v>0.69178082191780832</v>
      </c>
      <c r="M31" s="44">
        <f t="shared" si="26"/>
        <v>0.60130718954248374</v>
      </c>
      <c r="N31" s="83">
        <f t="shared" si="26"/>
        <v>0.59613059250302314</v>
      </c>
      <c r="O31" s="44">
        <f t="shared" si="26"/>
        <v>0.53240740740740744</v>
      </c>
    </row>
    <row r="32" spans="1:17" x14ac:dyDescent="0.15">
      <c r="A32" s="1" t="s">
        <v>29</v>
      </c>
      <c r="B32" s="29"/>
      <c r="C32" s="29"/>
      <c r="D32" s="29"/>
      <c r="E32" s="29"/>
      <c r="F32" s="36">
        <f t="shared" si="26"/>
        <v>0.92682926829268286</v>
      </c>
      <c r="G32" s="37">
        <f t="shared" si="26"/>
        <v>1.4615384615384617</v>
      </c>
      <c r="H32" s="37">
        <f t="shared" si="26"/>
        <v>1.6266666666666665</v>
      </c>
      <c r="I32" s="37">
        <f t="shared" si="26"/>
        <v>1.7999999999999998</v>
      </c>
      <c r="J32" s="36">
        <f t="shared" si="26"/>
        <v>1.2973037974683543</v>
      </c>
      <c r="K32" s="44">
        <f t="shared" si="26"/>
        <v>0.875</v>
      </c>
      <c r="L32" s="44">
        <f t="shared" si="26"/>
        <v>0.84771573604060912</v>
      </c>
      <c r="M32" s="44">
        <f t="shared" si="26"/>
        <v>1.2692307692307692</v>
      </c>
      <c r="N32" s="83">
        <f t="shared" si="26"/>
        <v>2.3390821381145757</v>
      </c>
      <c r="O32" s="44">
        <f t="shared" si="26"/>
        <v>1.8125</v>
      </c>
    </row>
    <row r="33" spans="1:17" x14ac:dyDescent="0.15">
      <c r="A33" s="1" t="s">
        <v>30</v>
      </c>
      <c r="B33" s="29"/>
      <c r="C33" s="29"/>
      <c r="D33" s="29"/>
      <c r="E33" s="29"/>
      <c r="F33" s="36">
        <f t="shared" si="26"/>
        <v>1.3953488372093021</v>
      </c>
      <c r="G33" s="37">
        <f t="shared" si="26"/>
        <v>0.30666666666666664</v>
      </c>
      <c r="H33" s="37">
        <f t="shared" si="26"/>
        <v>0.94736842105263164</v>
      </c>
      <c r="I33" s="37">
        <f t="shared" si="26"/>
        <v>0.7441860465116279</v>
      </c>
      <c r="J33" s="36">
        <f t="shared" si="26"/>
        <v>0.24744660194174761</v>
      </c>
      <c r="K33" s="44">
        <f t="shared" si="26"/>
        <v>0.43877551020408156</v>
      </c>
      <c r="L33" s="44">
        <f t="shared" si="26"/>
        <v>0.46846846846846857</v>
      </c>
      <c r="M33" s="44">
        <f t="shared" si="26"/>
        <v>6.6666666666666652E-2</v>
      </c>
      <c r="N33" s="83">
        <f t="shared" si="26"/>
        <v>0.33087394055429731</v>
      </c>
      <c r="O33" s="44">
        <f t="shared" si="26"/>
        <v>0.47517730496453892</v>
      </c>
    </row>
    <row r="34" spans="1:17" x14ac:dyDescent="0.15">
      <c r="B34" s="29"/>
      <c r="C34" s="29"/>
      <c r="D34" s="29"/>
      <c r="E34" s="29"/>
      <c r="F34" s="28"/>
      <c r="G34" s="29"/>
      <c r="H34" s="29"/>
      <c r="I34" s="29"/>
      <c r="K34" s="29"/>
      <c r="L34" s="29"/>
      <c r="M34" s="29"/>
    </row>
    <row r="35" spans="1:17" x14ac:dyDescent="0.15">
      <c r="A35" s="2" t="s">
        <v>5</v>
      </c>
      <c r="B35" s="32"/>
      <c r="C35" s="32"/>
      <c r="D35" s="32"/>
      <c r="E35" s="31">
        <f t="shared" ref="E35:K35" si="27">E36-E37</f>
        <v>-2126</v>
      </c>
      <c r="F35" s="30">
        <f t="shared" si="27"/>
        <v>-2055</v>
      </c>
      <c r="G35" s="31">
        <f t="shared" si="27"/>
        <v>4792</v>
      </c>
      <c r="H35" s="31">
        <f t="shared" si="27"/>
        <v>4487</v>
      </c>
      <c r="I35" s="31">
        <f t="shared" si="27"/>
        <v>6214</v>
      </c>
      <c r="J35" s="30">
        <f t="shared" si="27"/>
        <v>5671.4230000000007</v>
      </c>
      <c r="K35" s="31">
        <f t="shared" si="27"/>
        <v>6705</v>
      </c>
      <c r="L35" s="31">
        <f t="shared" ref="L35:O35" si="28">L36-L37</f>
        <v>6356</v>
      </c>
      <c r="M35" s="31">
        <f t="shared" si="28"/>
        <v>5904.5289999999986</v>
      </c>
      <c r="N35" s="30">
        <f t="shared" ref="N35" si="29">N36-N37</f>
        <v>5822.1260000000002</v>
      </c>
      <c r="O35" s="31">
        <f t="shared" si="28"/>
        <v>8040</v>
      </c>
    </row>
    <row r="36" spans="1:17" s="11" customFormat="1" x14ac:dyDescent="0.15">
      <c r="A36" s="11" t="s">
        <v>34</v>
      </c>
      <c r="B36" s="27"/>
      <c r="C36" s="27"/>
      <c r="D36" s="27"/>
      <c r="E36" s="27">
        <f>763+2+488+636</f>
        <v>1889</v>
      </c>
      <c r="F36" s="26">
        <f>1051+2+226+744</f>
        <v>2023</v>
      </c>
      <c r="G36" s="27">
        <f>3625+2+346+819</f>
        <v>4792</v>
      </c>
      <c r="H36" s="27">
        <f>2408+464+612+1003</f>
        <v>4487</v>
      </c>
      <c r="I36" s="27">
        <f>3540+749+945+980</f>
        <v>6214</v>
      </c>
      <c r="J36" s="26">
        <f>2714.625+769.229+1059.509+1228.06</f>
        <v>5771.4230000000007</v>
      </c>
      <c r="K36" s="27">
        <f>4659+3068+836+1601</f>
        <v>10164</v>
      </c>
      <c r="L36" s="27">
        <f>4179+3155+1060+1421</f>
        <v>9815</v>
      </c>
      <c r="M36" s="27">
        <f>4962.66+1844.558+1260.81+1251.129</f>
        <v>9319.1569999999992</v>
      </c>
      <c r="N36" s="26">
        <f>4445.249+1312.445+2189.268+1446.164</f>
        <v>9393.1260000000002</v>
      </c>
      <c r="O36" s="78">
        <f>6094+4822+1622+4639</f>
        <v>17177</v>
      </c>
      <c r="P36" s="78"/>
      <c r="Q36" s="78"/>
    </row>
    <row r="37" spans="1:17" s="11" customFormat="1" x14ac:dyDescent="0.15">
      <c r="A37" s="11" t="s">
        <v>35</v>
      </c>
      <c r="B37" s="27"/>
      <c r="C37" s="27"/>
      <c r="D37" s="27"/>
      <c r="E37" s="27">
        <v>4015</v>
      </c>
      <c r="F37" s="26">
        <v>4078</v>
      </c>
      <c r="G37" s="27">
        <v>0</v>
      </c>
      <c r="H37" s="27">
        <v>0</v>
      </c>
      <c r="I37" s="27">
        <v>0</v>
      </c>
      <c r="J37" s="26">
        <v>100</v>
      </c>
      <c r="K37" s="27">
        <f>100+3359</f>
        <v>3459</v>
      </c>
      <c r="L37" s="27">
        <v>3459</v>
      </c>
      <c r="M37" s="27">
        <v>3414.6280000000002</v>
      </c>
      <c r="N37" s="26">
        <f>100+3471</f>
        <v>3571</v>
      </c>
      <c r="O37" s="78">
        <f>100+9037</f>
        <v>9137</v>
      </c>
      <c r="P37" s="78"/>
      <c r="Q37" s="78"/>
    </row>
    <row r="38" spans="1:17" x14ac:dyDescent="0.15">
      <c r="B38" s="29"/>
      <c r="C38" s="29"/>
      <c r="D38" s="29"/>
      <c r="E38" s="29"/>
      <c r="F38" s="28"/>
      <c r="G38" s="29"/>
      <c r="H38" s="29"/>
      <c r="I38" s="29"/>
      <c r="K38" s="29"/>
      <c r="L38" s="29"/>
      <c r="M38" s="29"/>
    </row>
    <row r="39" spans="1:17" s="11" customFormat="1" x14ac:dyDescent="0.15">
      <c r="A39" s="11" t="s">
        <v>37</v>
      </c>
      <c r="B39" s="27"/>
      <c r="C39" s="27"/>
      <c r="D39" s="27"/>
      <c r="E39" s="27">
        <f>426+51</f>
        <v>477</v>
      </c>
      <c r="F39" s="26">
        <f>686+51</f>
        <v>737</v>
      </c>
      <c r="G39" s="27">
        <f>868+51</f>
        <v>919</v>
      </c>
      <c r="H39" s="27">
        <f>1089+469</f>
        <v>1558</v>
      </c>
      <c r="I39" s="27">
        <f>1419+941</f>
        <v>2360</v>
      </c>
      <c r="J39" s="26">
        <f>1363.524+941.488</f>
        <v>2305.0119999999997</v>
      </c>
      <c r="K39" s="27">
        <f>1560+941</f>
        <v>2501</v>
      </c>
      <c r="L39" s="27">
        <f>1525+1012</f>
        <v>2537</v>
      </c>
      <c r="M39" s="27">
        <f>1657+1012</f>
        <v>2669</v>
      </c>
      <c r="N39" s="26">
        <f>1815+1012</f>
        <v>2827</v>
      </c>
      <c r="O39" s="78">
        <f>1012+1989</f>
        <v>3001</v>
      </c>
      <c r="P39" s="78"/>
      <c r="Q39" s="78"/>
    </row>
    <row r="40" spans="1:17" s="11" customFormat="1" x14ac:dyDescent="0.15">
      <c r="A40" s="11" t="s">
        <v>38</v>
      </c>
      <c r="B40" s="27"/>
      <c r="C40" s="27"/>
      <c r="D40" s="27"/>
      <c r="E40" s="27">
        <v>3474</v>
      </c>
      <c r="F40" s="26">
        <v>4174</v>
      </c>
      <c r="G40" s="27">
        <v>7110</v>
      </c>
      <c r="H40" s="27">
        <v>7638</v>
      </c>
      <c r="I40" s="27">
        <v>10490</v>
      </c>
      <c r="J40" s="26">
        <v>10674.013000000001</v>
      </c>
      <c r="K40" s="27">
        <v>15800</v>
      </c>
      <c r="L40" s="27">
        <v>15851</v>
      </c>
      <c r="M40" s="27">
        <v>15517</v>
      </c>
      <c r="N40" s="26">
        <v>15772</v>
      </c>
      <c r="O40" s="78">
        <v>24472</v>
      </c>
      <c r="P40" s="78"/>
      <c r="Q40" s="78"/>
    </row>
    <row r="41" spans="1:17" s="11" customFormat="1" x14ac:dyDescent="0.15">
      <c r="A41" s="11" t="s">
        <v>39</v>
      </c>
      <c r="B41" s="27"/>
      <c r="C41" s="27"/>
      <c r="D41" s="27"/>
      <c r="E41" s="27">
        <f>1398+4015</f>
        <v>5413</v>
      </c>
      <c r="F41" s="26">
        <f>2154+4078</f>
        <v>6232</v>
      </c>
      <c r="G41" s="27">
        <v>2149</v>
      </c>
      <c r="H41" s="27">
        <v>2589</v>
      </c>
      <c r="I41" s="27">
        <v>3299</v>
      </c>
      <c r="J41" s="26">
        <v>3735.2730000000001</v>
      </c>
      <c r="K41" s="27">
        <v>7340</v>
      </c>
      <c r="L41" s="27">
        <v>7770</v>
      </c>
      <c r="M41" s="27">
        <v>7880</v>
      </c>
      <c r="N41" s="26">
        <v>8447</v>
      </c>
      <c r="O41" s="78">
        <v>14810</v>
      </c>
      <c r="P41" s="78"/>
      <c r="Q41" s="78"/>
    </row>
    <row r="42" spans="1:17" x14ac:dyDescent="0.15">
      <c r="B42" s="29"/>
      <c r="C42" s="29"/>
      <c r="D42" s="29"/>
      <c r="E42" s="29"/>
      <c r="F42" s="28"/>
      <c r="G42" s="29"/>
      <c r="H42" s="29"/>
      <c r="I42" s="29"/>
      <c r="K42" s="29"/>
      <c r="L42" s="29"/>
      <c r="M42" s="29"/>
    </row>
    <row r="43" spans="1:17" x14ac:dyDescent="0.15">
      <c r="A43" s="1" t="s">
        <v>40</v>
      </c>
      <c r="B43" s="29"/>
      <c r="C43" s="29"/>
      <c r="D43" s="29"/>
      <c r="E43" s="34">
        <f t="shared" ref="E43:K43" si="30">E40-E39-E36</f>
        <v>1108</v>
      </c>
      <c r="F43" s="33">
        <f t="shared" si="30"/>
        <v>1414</v>
      </c>
      <c r="G43" s="34">
        <f t="shared" si="30"/>
        <v>1399</v>
      </c>
      <c r="H43" s="34">
        <f t="shared" si="30"/>
        <v>1593</v>
      </c>
      <c r="I43" s="34">
        <f t="shared" si="30"/>
        <v>1916</v>
      </c>
      <c r="J43" s="33">
        <f t="shared" si="30"/>
        <v>2597.5779999999995</v>
      </c>
      <c r="K43" s="34">
        <f t="shared" si="30"/>
        <v>3135</v>
      </c>
      <c r="L43" s="34">
        <f t="shared" ref="L43:M43" si="31">L40-L39-L36</f>
        <v>3499</v>
      </c>
      <c r="M43" s="34">
        <f t="shared" si="31"/>
        <v>3528.8430000000008</v>
      </c>
      <c r="N43" s="33">
        <f t="shared" ref="N43:O43" si="32">N40-N39-N36</f>
        <v>3551.8739999999998</v>
      </c>
      <c r="O43" s="34">
        <f t="shared" si="32"/>
        <v>4294</v>
      </c>
    </row>
    <row r="44" spans="1:17" x14ac:dyDescent="0.15">
      <c r="A44" s="1" t="s">
        <v>41</v>
      </c>
      <c r="B44" s="29"/>
      <c r="C44" s="29"/>
      <c r="D44" s="29"/>
      <c r="E44" s="34">
        <f t="shared" ref="E44:K44" si="33">E40-E41</f>
        <v>-1939</v>
      </c>
      <c r="F44" s="33">
        <f t="shared" si="33"/>
        <v>-2058</v>
      </c>
      <c r="G44" s="34">
        <f t="shared" si="33"/>
        <v>4961</v>
      </c>
      <c r="H44" s="34">
        <f t="shared" si="33"/>
        <v>5049</v>
      </c>
      <c r="I44" s="34">
        <f t="shared" si="33"/>
        <v>7191</v>
      </c>
      <c r="J44" s="33">
        <f t="shared" si="33"/>
        <v>6938.7400000000007</v>
      </c>
      <c r="K44" s="34">
        <f t="shared" si="33"/>
        <v>8460</v>
      </c>
      <c r="L44" s="34">
        <f t="shared" ref="L44:M44" si="34">L40-L41</f>
        <v>8081</v>
      </c>
      <c r="M44" s="34">
        <f t="shared" si="34"/>
        <v>7637</v>
      </c>
      <c r="N44" s="33">
        <f t="shared" ref="N44:O44" si="35">N40-N41</f>
        <v>7325</v>
      </c>
      <c r="O44" s="34">
        <f t="shared" si="35"/>
        <v>9662</v>
      </c>
    </row>
    <row r="45" spans="1:17" x14ac:dyDescent="0.15">
      <c r="B45" s="29"/>
      <c r="C45" s="29"/>
      <c r="D45" s="29"/>
      <c r="E45" s="29"/>
      <c r="F45" s="28"/>
      <c r="G45" s="29"/>
      <c r="H45" s="29"/>
      <c r="I45" s="29"/>
      <c r="K45" s="29"/>
      <c r="L45" s="29"/>
      <c r="M45" s="29"/>
    </row>
    <row r="46" spans="1:17" x14ac:dyDescent="0.15">
      <c r="A46" s="24" t="s">
        <v>42</v>
      </c>
      <c r="B46" s="29"/>
      <c r="C46" s="29"/>
      <c r="D46" s="29"/>
      <c r="E46" s="37">
        <f t="shared" ref="E46:N46" si="36">E22/E44</f>
        <v>2.630221763795771E-2</v>
      </c>
      <c r="F46" s="36">
        <f t="shared" si="36"/>
        <v>2.8668610301263362E-2</v>
      </c>
      <c r="G46" s="37">
        <f t="shared" si="36"/>
        <v>-1.411005845595646E-2</v>
      </c>
      <c r="H46" s="37">
        <f t="shared" si="36"/>
        <v>-4.8920578332343041E-2</v>
      </c>
      <c r="I46" s="37">
        <f t="shared" si="36"/>
        <v>-2.6560979001529691E-2</v>
      </c>
      <c r="J46" s="36">
        <f t="shared" si="36"/>
        <v>-2.8195032527519391E-2</v>
      </c>
      <c r="K46" s="37">
        <f t="shared" si="36"/>
        <v>-3.7234042553191488E-2</v>
      </c>
      <c r="L46" s="37">
        <f t="shared" si="36"/>
        <v>-5.0241306768964239E-2</v>
      </c>
      <c r="M46" s="37">
        <f t="shared" si="36"/>
        <v>-5.0674348566190915E-2</v>
      </c>
      <c r="N46" s="36">
        <f t="shared" si="36"/>
        <v>-7.3383754266211548E-2</v>
      </c>
      <c r="O46" s="37">
        <f t="shared" ref="O46" si="37">O22/O44</f>
        <v>-5.9097495342579173E-2</v>
      </c>
    </row>
    <row r="47" spans="1:17" x14ac:dyDescent="0.15">
      <c r="A47" s="24" t="s">
        <v>43</v>
      </c>
      <c r="B47" s="29"/>
      <c r="C47" s="29"/>
      <c r="D47" s="29"/>
      <c r="E47" s="37">
        <f t="shared" ref="E47:N47" si="38">E22/E40</f>
        <v>-1.468048359240069E-2</v>
      </c>
      <c r="F47" s="36">
        <f t="shared" si="38"/>
        <v>-1.4135122184954481E-2</v>
      </c>
      <c r="G47" s="37">
        <f t="shared" si="38"/>
        <v>-9.8452883263009851E-3</v>
      </c>
      <c r="H47" s="37">
        <f t="shared" si="38"/>
        <v>-3.2338308457711441E-2</v>
      </c>
      <c r="I47" s="37">
        <f t="shared" si="38"/>
        <v>-1.8207816968541467E-2</v>
      </c>
      <c r="J47" s="36">
        <f t="shared" si="38"/>
        <v>-1.8328439360154415E-2</v>
      </c>
      <c r="K47" s="37">
        <f t="shared" si="38"/>
        <v>-1.9936708860759492E-2</v>
      </c>
      <c r="L47" s="37">
        <f t="shared" si="38"/>
        <v>-2.5613525960507224E-2</v>
      </c>
      <c r="M47" s="37">
        <f t="shared" si="38"/>
        <v>-2.4940387961590513E-2</v>
      </c>
      <c r="N47" s="36">
        <f t="shared" si="38"/>
        <v>-3.4081663707836649E-2</v>
      </c>
      <c r="O47" s="37">
        <f t="shared" ref="O47" si="39">O22/O40</f>
        <v>-2.333278849297156E-2</v>
      </c>
    </row>
    <row r="48" spans="1:17" x14ac:dyDescent="0.15">
      <c r="A48" s="24" t="s">
        <v>44</v>
      </c>
      <c r="B48" s="29"/>
      <c r="C48" s="29"/>
      <c r="D48" s="29"/>
      <c r="E48" s="37">
        <f t="shared" ref="E48:N48" si="40">E22/(E44-E39)</f>
        <v>2.1109271523178808E-2</v>
      </c>
      <c r="F48" s="36">
        <f t="shared" si="40"/>
        <v>2.1109123434704832E-2</v>
      </c>
      <c r="G48" s="37">
        <f t="shared" si="40"/>
        <v>-1.7318159327065808E-2</v>
      </c>
      <c r="H48" s="37">
        <f t="shared" si="40"/>
        <v>-7.0753365797765685E-2</v>
      </c>
      <c r="I48" s="37">
        <f t="shared" si="40"/>
        <v>-3.9536327882425996E-2</v>
      </c>
      <c r="J48" s="36">
        <f t="shared" si="40"/>
        <v>-4.2220432446617467E-2</v>
      </c>
      <c r="K48" s="37">
        <f t="shared" si="40"/>
        <v>-5.2861218325222351E-2</v>
      </c>
      <c r="L48" s="37">
        <f t="shared" si="40"/>
        <v>-7.3232323232323232E-2</v>
      </c>
      <c r="M48" s="37">
        <f t="shared" si="40"/>
        <v>-7.789855072463768E-2</v>
      </c>
      <c r="N48" s="36">
        <f t="shared" si="40"/>
        <v>-0.11950555802578915</v>
      </c>
      <c r="O48" s="37">
        <f t="shared" ref="O48" si="41">O22/(O44-O39)</f>
        <v>-8.572286443476955E-2</v>
      </c>
    </row>
    <row r="49" spans="1:17" x14ac:dyDescent="0.15">
      <c r="A49" s="24" t="s">
        <v>45</v>
      </c>
      <c r="B49" s="1"/>
      <c r="E49" s="25">
        <f t="shared" ref="E49:N49" si="42">E22/E43</f>
        <v>-4.6028880866425995E-2</v>
      </c>
      <c r="F49" s="40">
        <f t="shared" si="42"/>
        <v>-4.1725601131541723E-2</v>
      </c>
      <c r="G49" s="25">
        <f t="shared" si="42"/>
        <v>-5.0035739814152963E-2</v>
      </c>
      <c r="H49" s="25">
        <f t="shared" si="42"/>
        <v>-0.15505335844318896</v>
      </c>
      <c r="I49" s="25">
        <f t="shared" si="42"/>
        <v>-9.9686847599164921E-2</v>
      </c>
      <c r="J49" s="36">
        <f t="shared" si="42"/>
        <v>-7.531554394131762E-2</v>
      </c>
      <c r="K49" s="68">
        <f t="shared" si="42"/>
        <v>-0.10047846889952153</v>
      </c>
      <c r="L49" s="68">
        <f t="shared" si="42"/>
        <v>-0.11603315232923693</v>
      </c>
      <c r="M49" s="25">
        <f t="shared" si="42"/>
        <v>-0.10966767294549515</v>
      </c>
      <c r="N49" s="40">
        <f t="shared" si="42"/>
        <v>-0.15133870176701078</v>
      </c>
      <c r="O49" s="68">
        <f t="shared" ref="O49" si="43">O22/O43</f>
        <v>-0.13297624592454588</v>
      </c>
    </row>
    <row r="50" spans="1:17" x14ac:dyDescent="0.15">
      <c r="K50" s="1"/>
      <c r="L50" s="1"/>
      <c r="M50" s="1"/>
      <c r="N50" s="39"/>
      <c r="O50" s="1"/>
    </row>
    <row r="51" spans="1:17" x14ac:dyDescent="0.15">
      <c r="A51" s="1" t="s">
        <v>69</v>
      </c>
      <c r="F51" s="40">
        <f t="shared" ref="F51:J54" si="44">F3/B3-1</f>
        <v>0.97134670487106023</v>
      </c>
      <c r="G51" s="18">
        <f t="shared" si="44"/>
        <v>0.60772357723577231</v>
      </c>
      <c r="H51" s="18">
        <f t="shared" si="44"/>
        <v>0.24</v>
      </c>
      <c r="I51" s="18">
        <f t="shared" si="44"/>
        <v>0.15559157212317665</v>
      </c>
      <c r="J51" s="36">
        <f t="shared" si="44"/>
        <v>0.26955668604651173</v>
      </c>
      <c r="K51" s="18">
        <f>K3/G3-1</f>
        <v>0.16308470290771182</v>
      </c>
      <c r="L51" s="18">
        <f>L3/H3-1</f>
        <v>0.25403225806451624</v>
      </c>
      <c r="M51" s="18">
        <f t="shared" ref="K51:O54" si="45">M3/I3-1</f>
        <v>0.22159887798036459</v>
      </c>
      <c r="N51" s="40">
        <f t="shared" si="45"/>
        <v>0.31731228283082702</v>
      </c>
      <c r="O51" s="18">
        <f>O3/K3-1</f>
        <v>0.35652173913043472</v>
      </c>
    </row>
    <row r="52" spans="1:17" x14ac:dyDescent="0.15">
      <c r="A52" s="1" t="s">
        <v>70</v>
      </c>
      <c r="F52" s="40">
        <f t="shared" si="44"/>
        <v>1.5263157894736841</v>
      </c>
      <c r="G52" s="18">
        <f t="shared" si="44"/>
        <v>1.9024390243902438</v>
      </c>
      <c r="H52" s="18">
        <f t="shared" si="44"/>
        <v>2.9302325581395348</v>
      </c>
      <c r="I52" s="18">
        <f t="shared" si="44"/>
        <v>2.7407407407407409</v>
      </c>
      <c r="J52" s="36">
        <f t="shared" si="44"/>
        <v>2.0380416666666665</v>
      </c>
      <c r="K52" s="18">
        <f>K4/G4-1</f>
        <v>1.7394957983193278</v>
      </c>
      <c r="L52" s="18">
        <f>L4/H4-1</f>
        <v>1.6804733727810652</v>
      </c>
      <c r="M52" s="18">
        <f t="shared" si="45"/>
        <v>1.8267326732673266</v>
      </c>
      <c r="N52" s="40">
        <f t="shared" si="45"/>
        <v>1.7208899647525135</v>
      </c>
      <c r="O52" s="18">
        <f>O4/K4-1</f>
        <v>1.5306748466257667</v>
      </c>
    </row>
    <row r="53" spans="1:17" x14ac:dyDescent="0.15">
      <c r="A53" s="1" t="s">
        <v>71</v>
      </c>
      <c r="F53" s="40">
        <f t="shared" si="44"/>
        <v>1.4137931034482758</v>
      </c>
      <c r="G53" s="18">
        <f t="shared" si="44"/>
        <v>1.3414634146341462</v>
      </c>
      <c r="H53" s="18">
        <f t="shared" si="44"/>
        <v>1.795918367346939</v>
      </c>
      <c r="I53" s="18">
        <f t="shared" si="44"/>
        <v>3</v>
      </c>
      <c r="J53" s="36">
        <f t="shared" si="44"/>
        <v>0.60712857142857146</v>
      </c>
      <c r="K53" s="18">
        <f t="shared" si="45"/>
        <v>0.75</v>
      </c>
      <c r="L53" s="18">
        <f t="shared" si="45"/>
        <v>0.80291970802919699</v>
      </c>
      <c r="M53" s="18">
        <f t="shared" si="45"/>
        <v>0.8125</v>
      </c>
      <c r="N53" s="40">
        <f t="shared" si="45"/>
        <v>0.9046035964764132</v>
      </c>
      <c r="O53" s="18">
        <f t="shared" si="45"/>
        <v>1.0773809523809526</v>
      </c>
    </row>
    <row r="54" spans="1:17" x14ac:dyDescent="0.15">
      <c r="A54" s="1" t="s">
        <v>72</v>
      </c>
      <c r="F54" s="40">
        <f t="shared" si="44"/>
        <v>0.625</v>
      </c>
      <c r="G54" s="18">
        <f t="shared" si="44"/>
        <v>1.625</v>
      </c>
      <c r="H54" s="18">
        <f t="shared" si="44"/>
        <v>-0.19999999999999996</v>
      </c>
      <c r="I54" s="18">
        <f t="shared" si="44"/>
        <v>2.5217391304347827</v>
      </c>
      <c r="J54" s="36">
        <f t="shared" si="44"/>
        <v>6.3769999999999998</v>
      </c>
      <c r="K54" s="18">
        <f>K6/G6-1</f>
        <v>4.9047619047619051</v>
      </c>
      <c r="L54" s="18">
        <f>L6/H6-1</f>
        <v>7.0714285714285712</v>
      </c>
      <c r="M54" s="18">
        <f t="shared" si="45"/>
        <v>2.4074074074074074</v>
      </c>
      <c r="N54" s="40">
        <f t="shared" si="45"/>
        <v>0.63817895538107017</v>
      </c>
      <c r="O54" s="18">
        <f>O6/K6-1</f>
        <v>0.58064516129032251</v>
      </c>
    </row>
    <row r="55" spans="1:17" x14ac:dyDescent="0.15">
      <c r="K55" s="1"/>
      <c r="L55" s="1"/>
      <c r="M55" s="1"/>
      <c r="O55" s="1"/>
    </row>
    <row r="56" spans="1:17" x14ac:dyDescent="0.15">
      <c r="A56" s="1" t="s">
        <v>82</v>
      </c>
      <c r="J56" s="36">
        <f t="shared" ref="J56:O57" si="46">J8/F8-1</f>
        <v>1.2800000000000002</v>
      </c>
      <c r="K56" s="37">
        <f t="shared" si="46"/>
        <v>1.1000000000000001</v>
      </c>
      <c r="L56" s="37">
        <f t="shared" si="46"/>
        <v>1.2571428571428571</v>
      </c>
      <c r="M56" s="37">
        <f t="shared" si="46"/>
        <v>1</v>
      </c>
      <c r="N56" s="36">
        <f t="shared" si="46"/>
        <v>1.3508771929824563</v>
      </c>
      <c r="O56" s="37">
        <f t="shared" si="46"/>
        <v>1.0476190476190479</v>
      </c>
    </row>
    <row r="57" spans="1:17" x14ac:dyDescent="0.15">
      <c r="A57" s="1" t="s">
        <v>83</v>
      </c>
      <c r="J57" s="36">
        <f t="shared" si="46"/>
        <v>-0.3051726056779781</v>
      </c>
      <c r="K57" s="37">
        <f t="shared" si="46"/>
        <v>-0.28687346408865388</v>
      </c>
      <c r="L57" s="37">
        <f t="shared" si="46"/>
        <v>-0.23598553345388795</v>
      </c>
      <c r="M57" s="37">
        <f t="shared" si="46"/>
        <v>-0.13148788927335642</v>
      </c>
      <c r="N57" s="36">
        <f t="shared" si="46"/>
        <v>-0.28288215451612919</v>
      </c>
      <c r="O57" s="37">
        <f t="shared" si="46"/>
        <v>-0.16868781564701973</v>
      </c>
    </row>
    <row r="58" spans="1:17" x14ac:dyDescent="0.15">
      <c r="K58" s="1"/>
      <c r="L58" s="1"/>
      <c r="M58" s="1"/>
    </row>
    <row r="59" spans="1:17" s="53" customFormat="1" x14ac:dyDescent="0.15">
      <c r="A59" s="53" t="s">
        <v>84</v>
      </c>
      <c r="B59" s="54"/>
      <c r="F59" s="55">
        <v>77.5</v>
      </c>
      <c r="G59" s="53">
        <v>85</v>
      </c>
      <c r="H59" s="53">
        <v>92.7</v>
      </c>
      <c r="I59" s="53">
        <v>92.8</v>
      </c>
      <c r="J59" s="57">
        <v>101.3</v>
      </c>
      <c r="K59" s="53">
        <v>110.4</v>
      </c>
      <c r="L59" s="53">
        <v>127.9</v>
      </c>
      <c r="M59" s="53">
        <v>130.30000000000001</v>
      </c>
      <c r="N59" s="57">
        <v>172.4</v>
      </c>
      <c r="O59" s="59">
        <v>171.6</v>
      </c>
      <c r="P59" s="59"/>
      <c r="Q59" s="59"/>
    </row>
    <row r="60" spans="1:17" x14ac:dyDescent="0.15">
      <c r="A60" s="1" t="s">
        <v>85</v>
      </c>
      <c r="J60" s="36">
        <f t="shared" ref="J60:O60" si="47">J59/F59-1</f>
        <v>0.30709677419354842</v>
      </c>
      <c r="K60" s="37">
        <f t="shared" si="47"/>
        <v>0.29882352941176471</v>
      </c>
      <c r="L60" s="37">
        <f t="shared" si="47"/>
        <v>0.37971952535059339</v>
      </c>
      <c r="M60" s="37">
        <f t="shared" si="47"/>
        <v>0.40409482758620707</v>
      </c>
      <c r="N60" s="36">
        <f t="shared" si="47"/>
        <v>0.7018756169792697</v>
      </c>
      <c r="O60" s="37">
        <f t="shared" si="47"/>
        <v>0.55434782608695632</v>
      </c>
    </row>
    <row r="62" spans="1:17" x14ac:dyDescent="0.15">
      <c r="A62" s="61" t="s">
        <v>95</v>
      </c>
      <c r="K62" s="58">
        <v>33.200000000000003</v>
      </c>
      <c r="L62" s="58">
        <v>37.6</v>
      </c>
      <c r="M62" s="58">
        <v>37.9</v>
      </c>
      <c r="N62" s="28">
        <v>50.8</v>
      </c>
      <c r="O62" s="58">
        <v>50.5</v>
      </c>
    </row>
    <row r="63" spans="1:17" x14ac:dyDescent="0.15">
      <c r="A63" s="61" t="s">
        <v>96</v>
      </c>
      <c r="K63" s="37"/>
      <c r="L63" s="37"/>
      <c r="M63" s="37"/>
      <c r="N63" s="36"/>
      <c r="O63" s="37">
        <f>O62/K62-1</f>
        <v>0.52108433734939741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9C82-CF3D-0646-BCC1-B4855B8411D5}">
  <dimension ref="B4:D12"/>
  <sheetViews>
    <sheetView workbookViewId="0">
      <selection activeCell="C25" sqref="C25"/>
    </sheetView>
  </sheetViews>
  <sheetFormatPr baseColWidth="10" defaultRowHeight="13" x14ac:dyDescent="0.15"/>
  <cols>
    <col min="1" max="2" width="10.83203125" style="61"/>
    <col min="3" max="3" width="20.6640625" style="61" bestFit="1" customWidth="1"/>
    <col min="4" max="4" width="22.1640625" style="61" bestFit="1" customWidth="1"/>
    <col min="5" max="16384" width="10.83203125" style="61"/>
  </cols>
  <sheetData>
    <row r="4" spans="2:4" x14ac:dyDescent="0.15">
      <c r="B4" s="69" t="s">
        <v>97</v>
      </c>
    </row>
    <row r="6" spans="2:4" x14ac:dyDescent="0.15">
      <c r="B6" s="61" t="s">
        <v>98</v>
      </c>
      <c r="C6" s="61" t="s">
        <v>99</v>
      </c>
      <c r="D6" s="64" t="s">
        <v>100</v>
      </c>
    </row>
    <row r="7" spans="2:4" x14ac:dyDescent="0.15">
      <c r="B7" s="61" t="s">
        <v>101</v>
      </c>
    </row>
    <row r="8" spans="2:4" x14ac:dyDescent="0.15">
      <c r="B8" s="61" t="s">
        <v>102</v>
      </c>
      <c r="D8" s="70" t="s">
        <v>107</v>
      </c>
    </row>
    <row r="10" spans="2:4" x14ac:dyDescent="0.15">
      <c r="B10" s="69" t="s">
        <v>104</v>
      </c>
    </row>
    <row r="12" spans="2:4" x14ac:dyDescent="0.15">
      <c r="B12" s="61" t="s">
        <v>105</v>
      </c>
      <c r="C12" s="61" t="s">
        <v>103</v>
      </c>
      <c r="D12" s="64" t="s">
        <v>106</v>
      </c>
    </row>
  </sheetData>
  <hyperlinks>
    <hyperlink ref="D6" r:id="rId1" xr:uid="{A8709F3A-0FED-9A44-98A2-863FCCAC277B}"/>
    <hyperlink ref="D12" r:id="rId2" xr:uid="{A3AE460E-F722-4B4C-8CCF-F40F0E2EE646}"/>
    <hyperlink ref="D8" r:id="rId3" xr:uid="{EF93E3C3-9A86-644F-85D1-81E8D9E4F1F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 Reports RMB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2019-01-08T21:19:44Z</dcterms:created>
  <dcterms:modified xsi:type="dcterms:W3CDTF">2020-11-18T14:22:51Z</dcterms:modified>
</cp:coreProperties>
</file>