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chaelsjoberg/Dropbox/- PROJECTS/- Investing/stocks/"/>
    </mc:Choice>
  </mc:AlternateContent>
  <bookViews>
    <workbookView xWindow="0" yWindow="460" windowWidth="16520" windowHeight="16540" tabRatio="500"/>
  </bookViews>
  <sheets>
    <sheet name="Main" sheetId="2" r:id="rId1"/>
    <sheet name="Reports" sheetId="3" r:id="rId2"/>
    <sheet name="Products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I2" i="2"/>
  <c r="H29" i="2"/>
  <c r="H41" i="2"/>
  <c r="H25" i="2"/>
  <c r="G25" i="2"/>
  <c r="G26" i="2"/>
  <c r="G34" i="2"/>
  <c r="H26" i="2"/>
  <c r="H27" i="2"/>
  <c r="H28" i="2"/>
  <c r="I25" i="2"/>
  <c r="I26" i="2"/>
  <c r="H34" i="2"/>
  <c r="I27" i="2"/>
  <c r="I28" i="2"/>
  <c r="I41" i="2"/>
  <c r="J25" i="2"/>
  <c r="J26" i="2"/>
  <c r="I34" i="2"/>
  <c r="J27" i="2"/>
  <c r="J28" i="2"/>
  <c r="J41" i="2"/>
  <c r="K25" i="2"/>
  <c r="K26" i="2"/>
  <c r="J34" i="2"/>
  <c r="K27" i="2"/>
  <c r="K28" i="2"/>
  <c r="K41" i="2"/>
  <c r="L25" i="2"/>
  <c r="L26" i="2"/>
  <c r="K34" i="2"/>
  <c r="L27" i="2"/>
  <c r="L28" i="2"/>
  <c r="L41" i="2"/>
  <c r="M25" i="2"/>
  <c r="M26" i="2"/>
  <c r="L34" i="2"/>
  <c r="M27" i="2"/>
  <c r="M28" i="2"/>
  <c r="M41" i="2"/>
  <c r="N25" i="2"/>
  <c r="N26" i="2"/>
  <c r="M34" i="2"/>
  <c r="N27" i="2"/>
  <c r="N28" i="2"/>
  <c r="N41" i="2"/>
  <c r="O25" i="2"/>
  <c r="O26" i="2"/>
  <c r="N34" i="2"/>
  <c r="O27" i="2"/>
  <c r="O28" i="2"/>
  <c r="O41" i="2"/>
  <c r="P25" i="2"/>
  <c r="P26" i="2"/>
  <c r="O34" i="2"/>
  <c r="P27" i="2"/>
  <c r="P28" i="2"/>
  <c r="P41" i="2"/>
  <c r="Q25" i="2"/>
  <c r="Q26" i="2"/>
  <c r="P34" i="2"/>
  <c r="Q27" i="2"/>
  <c r="Q28" i="2"/>
  <c r="Q41" i="2"/>
  <c r="R25" i="2"/>
  <c r="R26" i="2"/>
  <c r="Q34" i="2"/>
  <c r="R27" i="2"/>
  <c r="R28" i="2"/>
  <c r="R41" i="2"/>
  <c r="S25" i="2"/>
  <c r="S26" i="2"/>
  <c r="R34" i="2"/>
  <c r="S27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F5" i="2"/>
  <c r="C5" i="2"/>
  <c r="C3" i="2"/>
  <c r="F4" i="2"/>
  <c r="I21" i="2"/>
  <c r="J21" i="2"/>
  <c r="K21" i="2"/>
  <c r="L21" i="2"/>
  <c r="H21" i="2"/>
  <c r="G21" i="2"/>
  <c r="G38" i="2"/>
  <c r="I22" i="2"/>
  <c r="J22" i="2"/>
  <c r="K22" i="2"/>
  <c r="L22" i="2"/>
  <c r="H22" i="2"/>
  <c r="N17" i="2"/>
  <c r="O17" i="2"/>
  <c r="P17" i="2"/>
  <c r="Q17" i="2"/>
  <c r="R17" i="2"/>
  <c r="S17" i="2"/>
  <c r="M17" i="2"/>
  <c r="N20" i="2"/>
  <c r="O20" i="2"/>
  <c r="P20" i="2"/>
  <c r="Q20" i="2"/>
  <c r="R20" i="2"/>
  <c r="S20" i="2"/>
  <c r="M20" i="2"/>
  <c r="I20" i="2"/>
  <c r="J20" i="2"/>
  <c r="K20" i="2"/>
  <c r="L20" i="2"/>
  <c r="H20" i="2"/>
  <c r="I15" i="2"/>
  <c r="J15" i="2"/>
  <c r="K15" i="2"/>
  <c r="L15" i="2"/>
  <c r="H15" i="2"/>
  <c r="H17" i="2"/>
  <c r="H19" i="2"/>
  <c r="L17" i="2"/>
  <c r="K17" i="2"/>
  <c r="J17" i="2"/>
  <c r="I17" i="2"/>
  <c r="I14" i="2"/>
  <c r="J14" i="2"/>
  <c r="K14" i="2"/>
  <c r="L14" i="2"/>
  <c r="H14" i="2"/>
  <c r="H23" i="2"/>
  <c r="H24" i="2"/>
  <c r="G23" i="2"/>
  <c r="G24" i="2"/>
  <c r="G41" i="2"/>
  <c r="G49" i="2"/>
  <c r="G28" i="2"/>
  <c r="G55" i="2"/>
  <c r="G50" i="2"/>
  <c r="G54" i="2"/>
  <c r="G53" i="2"/>
  <c r="G52" i="2"/>
  <c r="G47" i="2"/>
  <c r="G46" i="2"/>
  <c r="G45" i="2"/>
  <c r="G43" i="2"/>
  <c r="G42" i="2"/>
  <c r="G29" i="2"/>
  <c r="G19" i="2"/>
  <c r="G17" i="2"/>
  <c r="G15" i="2"/>
  <c r="F14" i="2"/>
  <c r="G14" i="2"/>
  <c r="M57" i="3"/>
  <c r="L57" i="3"/>
  <c r="K57" i="3"/>
  <c r="J57" i="3"/>
  <c r="I57" i="3"/>
  <c r="H57" i="3"/>
  <c r="G57" i="3"/>
  <c r="F57" i="3"/>
  <c r="K62" i="2"/>
  <c r="J62" i="2"/>
  <c r="I62" i="2"/>
  <c r="H62" i="2"/>
  <c r="K61" i="2"/>
  <c r="J61" i="2"/>
  <c r="I61" i="2"/>
  <c r="H61" i="2"/>
  <c r="F15" i="2"/>
  <c r="G62" i="2"/>
  <c r="F62" i="2"/>
  <c r="E62" i="2"/>
  <c r="D62" i="2"/>
  <c r="C62" i="2"/>
  <c r="F10" i="2"/>
  <c r="F11" i="2"/>
  <c r="F12" i="2"/>
  <c r="F17" i="2"/>
  <c r="E14" i="2"/>
  <c r="E10" i="2"/>
  <c r="E11" i="2"/>
  <c r="E12" i="2"/>
  <c r="E15" i="2"/>
  <c r="E17" i="2"/>
  <c r="D17" i="2"/>
  <c r="C17" i="2"/>
  <c r="B17" i="2"/>
  <c r="D15" i="2"/>
  <c r="C15" i="2"/>
  <c r="B15" i="2"/>
  <c r="M39" i="3"/>
  <c r="M36" i="3"/>
  <c r="M46" i="3"/>
  <c r="M43" i="3"/>
  <c r="M50" i="3"/>
  <c r="M44" i="3"/>
  <c r="M49" i="3"/>
  <c r="M48" i="3"/>
  <c r="M47" i="3"/>
  <c r="M35" i="3"/>
  <c r="M23" i="3"/>
  <c r="M22" i="3"/>
  <c r="M19" i="3"/>
  <c r="M18" i="3"/>
  <c r="M16" i="3"/>
  <c r="M17" i="3"/>
  <c r="M15" i="3"/>
  <c r="M11" i="3"/>
  <c r="M14" i="3"/>
  <c r="M12" i="3"/>
  <c r="M10" i="3"/>
  <c r="M8" i="3"/>
  <c r="J10" i="3"/>
  <c r="K10" i="3"/>
  <c r="L10" i="3"/>
  <c r="L8" i="3"/>
  <c r="E10" i="3"/>
  <c r="I10" i="3"/>
  <c r="H10" i="3"/>
  <c r="G10" i="3"/>
  <c r="F10" i="3"/>
  <c r="D10" i="3"/>
  <c r="C10" i="3"/>
  <c r="B10" i="3"/>
  <c r="K8" i="3"/>
  <c r="J8" i="3"/>
  <c r="I8" i="3"/>
  <c r="H8" i="3"/>
  <c r="G8" i="3"/>
  <c r="F8" i="3"/>
  <c r="E8" i="3"/>
  <c r="D8" i="3"/>
  <c r="C8" i="3"/>
  <c r="B8" i="3"/>
  <c r="G64" i="2"/>
  <c r="F64" i="2"/>
  <c r="G65" i="2"/>
  <c r="G10" i="2"/>
  <c r="G11" i="2"/>
  <c r="G12" i="2"/>
  <c r="L12" i="3"/>
  <c r="L26" i="3"/>
  <c r="G18" i="2"/>
  <c r="G20" i="2"/>
  <c r="J14" i="3"/>
  <c r="K14" i="3"/>
  <c r="L14" i="3"/>
  <c r="J15" i="3"/>
  <c r="K15" i="3"/>
  <c r="L15" i="3"/>
  <c r="I15" i="3"/>
  <c r="G22" i="2"/>
  <c r="J18" i="3"/>
  <c r="K18" i="3"/>
  <c r="L18" i="3"/>
  <c r="L16" i="3"/>
  <c r="L17" i="3"/>
  <c r="L19" i="3"/>
  <c r="L28" i="3"/>
  <c r="G27" i="2"/>
  <c r="G32" i="2"/>
  <c r="L36" i="3"/>
  <c r="L35" i="3"/>
  <c r="H32" i="2"/>
  <c r="I19" i="2"/>
  <c r="I23" i="2"/>
  <c r="I24" i="2"/>
  <c r="I32" i="2"/>
  <c r="J19" i="2"/>
  <c r="J23" i="2"/>
  <c r="J24" i="2"/>
  <c r="J32" i="2"/>
  <c r="K19" i="2"/>
  <c r="K23" i="2"/>
  <c r="K24" i="2"/>
  <c r="K32" i="2"/>
  <c r="L19" i="2"/>
  <c r="L23" i="2"/>
  <c r="L24" i="2"/>
  <c r="L32" i="2"/>
  <c r="M19" i="2"/>
  <c r="M21" i="2"/>
  <c r="M22" i="2"/>
  <c r="M23" i="2"/>
  <c r="M24" i="2"/>
  <c r="M32" i="2"/>
  <c r="N19" i="2"/>
  <c r="N21" i="2"/>
  <c r="N22" i="2"/>
  <c r="N23" i="2"/>
  <c r="N24" i="2"/>
  <c r="N32" i="2"/>
  <c r="O19" i="2"/>
  <c r="O21" i="2"/>
  <c r="O22" i="2"/>
  <c r="O23" i="2"/>
  <c r="O24" i="2"/>
  <c r="O32" i="2"/>
  <c r="P19" i="2"/>
  <c r="P21" i="2"/>
  <c r="P22" i="2"/>
  <c r="P23" i="2"/>
  <c r="P24" i="2"/>
  <c r="P32" i="2"/>
  <c r="Q19" i="2"/>
  <c r="Q21" i="2"/>
  <c r="Q22" i="2"/>
  <c r="Q23" i="2"/>
  <c r="Q24" i="2"/>
  <c r="Q32" i="2"/>
  <c r="R19" i="2"/>
  <c r="R21" i="2"/>
  <c r="R22" i="2"/>
  <c r="R23" i="2"/>
  <c r="R24" i="2"/>
  <c r="R32" i="2"/>
  <c r="S19" i="2"/>
  <c r="S21" i="2"/>
  <c r="S22" i="2"/>
  <c r="S23" i="2"/>
  <c r="S24" i="2"/>
  <c r="F6" i="2"/>
  <c r="F7" i="2"/>
  <c r="I36" i="2"/>
  <c r="S41" i="2"/>
  <c r="S39" i="2"/>
  <c r="R39" i="2"/>
  <c r="Q39" i="2"/>
  <c r="P39" i="2"/>
  <c r="O39" i="2"/>
  <c r="N39" i="2"/>
  <c r="M39" i="2"/>
  <c r="L39" i="2"/>
  <c r="S38" i="2"/>
  <c r="R38" i="2"/>
  <c r="Q38" i="2"/>
  <c r="P38" i="2"/>
  <c r="O38" i="2"/>
  <c r="N38" i="2"/>
  <c r="M38" i="2"/>
  <c r="L38" i="2"/>
  <c r="S37" i="2"/>
  <c r="R37" i="2"/>
  <c r="Q37" i="2"/>
  <c r="P37" i="2"/>
  <c r="O37" i="2"/>
  <c r="N37" i="2"/>
  <c r="M37" i="2"/>
  <c r="L37" i="2"/>
  <c r="S36" i="2"/>
  <c r="R36" i="2"/>
  <c r="Q36" i="2"/>
  <c r="P36" i="2"/>
  <c r="O36" i="2"/>
  <c r="N36" i="2"/>
  <c r="M36" i="2"/>
  <c r="L36" i="2"/>
  <c r="S34" i="2"/>
  <c r="S33" i="2"/>
  <c r="R33" i="2"/>
  <c r="Q33" i="2"/>
  <c r="P33" i="2"/>
  <c r="O33" i="2"/>
  <c r="N33" i="2"/>
  <c r="M33" i="2"/>
  <c r="L33" i="2"/>
  <c r="S32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S29" i="2"/>
  <c r="R29" i="2"/>
  <c r="Q29" i="2"/>
  <c r="P29" i="2"/>
  <c r="O29" i="2"/>
  <c r="N29" i="2"/>
  <c r="M29" i="2"/>
  <c r="L29" i="2"/>
  <c r="S18" i="2"/>
  <c r="R18" i="2"/>
  <c r="Q18" i="2"/>
  <c r="P18" i="2"/>
  <c r="O18" i="2"/>
  <c r="N18" i="2"/>
  <c r="M18" i="2"/>
  <c r="L18" i="2"/>
  <c r="L9" i="2"/>
  <c r="M9" i="2"/>
  <c r="N9" i="2"/>
  <c r="O9" i="2"/>
  <c r="P9" i="2"/>
  <c r="Q9" i="2"/>
  <c r="R9" i="2"/>
  <c r="S9" i="2"/>
  <c r="K36" i="2"/>
  <c r="H36" i="2"/>
  <c r="J36" i="2"/>
  <c r="K39" i="2"/>
  <c r="J39" i="2"/>
  <c r="I39" i="2"/>
  <c r="H39" i="2"/>
  <c r="K38" i="2"/>
  <c r="J38" i="2"/>
  <c r="I38" i="2"/>
  <c r="H38" i="2"/>
  <c r="K37" i="2"/>
  <c r="J37" i="2"/>
  <c r="I37" i="2"/>
  <c r="H37" i="2"/>
  <c r="K33" i="2"/>
  <c r="J33" i="2"/>
  <c r="I33" i="2"/>
  <c r="H33" i="2"/>
  <c r="K29" i="2"/>
  <c r="J29" i="2"/>
  <c r="I29" i="2"/>
  <c r="K18" i="2"/>
  <c r="J18" i="2"/>
  <c r="I18" i="2"/>
  <c r="H18" i="2"/>
  <c r="G61" i="2"/>
  <c r="M56" i="3"/>
  <c r="M60" i="3"/>
  <c r="F15" i="3"/>
  <c r="G15" i="3"/>
  <c r="H15" i="3"/>
  <c r="F22" i="2"/>
  <c r="B15" i="3"/>
  <c r="C15" i="3"/>
  <c r="D15" i="3"/>
  <c r="E15" i="3"/>
  <c r="E22" i="2"/>
  <c r="F39" i="2"/>
  <c r="G39" i="2"/>
  <c r="D22" i="2"/>
  <c r="E39" i="2"/>
  <c r="C22" i="2"/>
  <c r="D39" i="2"/>
  <c r="F14" i="3"/>
  <c r="G14" i="3"/>
  <c r="H14" i="3"/>
  <c r="I14" i="3"/>
  <c r="F21" i="2"/>
  <c r="B14" i="3"/>
  <c r="C14" i="3"/>
  <c r="D14" i="3"/>
  <c r="E14" i="3"/>
  <c r="E21" i="2"/>
  <c r="F38" i="2"/>
  <c r="D21" i="2"/>
  <c r="E38" i="2"/>
  <c r="C21" i="2"/>
  <c r="D38" i="2"/>
  <c r="F20" i="2"/>
  <c r="G37" i="2"/>
  <c r="E20" i="2"/>
  <c r="F37" i="2"/>
  <c r="E37" i="2"/>
  <c r="D37" i="2"/>
  <c r="B22" i="2"/>
  <c r="C39" i="2"/>
  <c r="B21" i="2"/>
  <c r="C38" i="2"/>
  <c r="C37" i="2"/>
  <c r="C65" i="2"/>
  <c r="E61" i="2"/>
  <c r="D61" i="2"/>
  <c r="C61" i="2"/>
  <c r="E64" i="2"/>
  <c r="E65" i="2"/>
  <c r="D65" i="2"/>
  <c r="B45" i="2"/>
  <c r="B43" i="2"/>
  <c r="B42" i="2"/>
  <c r="D45" i="2"/>
  <c r="D42" i="2"/>
  <c r="D49" i="2"/>
  <c r="C45" i="2"/>
  <c r="C42" i="2"/>
  <c r="C49" i="2"/>
  <c r="C43" i="2"/>
  <c r="C36" i="2"/>
  <c r="E36" i="2"/>
  <c r="D36" i="2"/>
  <c r="B25" i="2"/>
  <c r="B18" i="2"/>
  <c r="B19" i="2"/>
  <c r="B23" i="2"/>
  <c r="B24" i="2"/>
  <c r="B26" i="2"/>
  <c r="B28" i="2"/>
  <c r="B49" i="2"/>
  <c r="B55" i="2"/>
  <c r="B50" i="2"/>
  <c r="B54" i="2"/>
  <c r="B53" i="2"/>
  <c r="B52" i="2"/>
  <c r="B41" i="2"/>
  <c r="B34" i="2"/>
  <c r="B33" i="2"/>
  <c r="B32" i="2"/>
  <c r="B29" i="2"/>
  <c r="C25" i="2"/>
  <c r="C18" i="2"/>
  <c r="C59" i="2"/>
  <c r="C58" i="2"/>
  <c r="C57" i="2"/>
  <c r="C19" i="2"/>
  <c r="C23" i="2"/>
  <c r="C24" i="2"/>
  <c r="C26" i="2"/>
  <c r="C28" i="2"/>
  <c r="C55" i="2"/>
  <c r="C50" i="2"/>
  <c r="C54" i="2"/>
  <c r="C53" i="2"/>
  <c r="C52" i="2"/>
  <c r="C41" i="2"/>
  <c r="C34" i="2"/>
  <c r="C33" i="2"/>
  <c r="C32" i="2"/>
  <c r="C29" i="2"/>
  <c r="D25" i="2"/>
  <c r="D59" i="2"/>
  <c r="D58" i="2"/>
  <c r="D57" i="2"/>
  <c r="D18" i="2"/>
  <c r="D19" i="2"/>
  <c r="D23" i="2"/>
  <c r="D24" i="2"/>
  <c r="D26" i="2"/>
  <c r="D28" i="2"/>
  <c r="D55" i="2"/>
  <c r="D50" i="2"/>
  <c r="D54" i="2"/>
  <c r="D53" i="2"/>
  <c r="D52" i="2"/>
  <c r="D41" i="2"/>
  <c r="D34" i="2"/>
  <c r="D33" i="2"/>
  <c r="D32" i="2"/>
  <c r="D29" i="2"/>
  <c r="F47" i="2"/>
  <c r="F46" i="2"/>
  <c r="I39" i="3"/>
  <c r="F45" i="2"/>
  <c r="I37" i="3"/>
  <c r="F43" i="2"/>
  <c r="I36" i="3"/>
  <c r="F42" i="2"/>
  <c r="F59" i="2"/>
  <c r="F58" i="2"/>
  <c r="F57" i="2"/>
  <c r="F49" i="2"/>
  <c r="F11" i="3"/>
  <c r="G11" i="3"/>
  <c r="H11" i="3"/>
  <c r="I11" i="3"/>
  <c r="F18" i="2"/>
  <c r="F19" i="2"/>
  <c r="F23" i="2"/>
  <c r="F24" i="2"/>
  <c r="F18" i="3"/>
  <c r="G18" i="3"/>
  <c r="H18" i="3"/>
  <c r="I18" i="3"/>
  <c r="F25" i="2"/>
  <c r="F26" i="2"/>
  <c r="I12" i="3"/>
  <c r="I16" i="3"/>
  <c r="I17" i="3"/>
  <c r="I19" i="3"/>
  <c r="H12" i="3"/>
  <c r="H16" i="3"/>
  <c r="H17" i="3"/>
  <c r="H19" i="3"/>
  <c r="H28" i="3"/>
  <c r="I20" i="3"/>
  <c r="F27" i="2"/>
  <c r="F28" i="2"/>
  <c r="F55" i="2"/>
  <c r="F50" i="2"/>
  <c r="F54" i="2"/>
  <c r="F53" i="2"/>
  <c r="F52" i="2"/>
  <c r="F41" i="2"/>
  <c r="F61" i="2"/>
  <c r="F65" i="2"/>
  <c r="E57" i="2"/>
  <c r="B11" i="3"/>
  <c r="C11" i="3"/>
  <c r="D11" i="3"/>
  <c r="E11" i="3"/>
  <c r="E18" i="2"/>
  <c r="E19" i="2"/>
  <c r="E23" i="2"/>
  <c r="E24" i="2"/>
  <c r="B18" i="3"/>
  <c r="C18" i="3"/>
  <c r="D18" i="3"/>
  <c r="E18" i="3"/>
  <c r="E25" i="2"/>
  <c r="E26" i="2"/>
  <c r="E27" i="2"/>
  <c r="E28" i="2"/>
  <c r="E46" i="2"/>
  <c r="E39" i="3"/>
  <c r="E45" i="2"/>
  <c r="E36" i="3"/>
  <c r="E42" i="2"/>
  <c r="E49" i="2"/>
  <c r="E55" i="2"/>
  <c r="E47" i="2"/>
  <c r="E50" i="2"/>
  <c r="E54" i="2"/>
  <c r="E53" i="2"/>
  <c r="E52" i="2"/>
  <c r="E37" i="3"/>
  <c r="E43" i="2"/>
  <c r="E41" i="2"/>
  <c r="G36" i="2"/>
  <c r="F36" i="2"/>
  <c r="G33" i="2"/>
  <c r="F34" i="2"/>
  <c r="F33" i="2"/>
  <c r="F32" i="2"/>
  <c r="F30" i="2"/>
  <c r="F29" i="2"/>
  <c r="E34" i="2"/>
  <c r="E33" i="2"/>
  <c r="E32" i="2"/>
  <c r="E30" i="2"/>
  <c r="E29" i="2"/>
  <c r="B12" i="3"/>
  <c r="B16" i="3"/>
  <c r="B17" i="3"/>
  <c r="B19" i="3"/>
  <c r="B22" i="3"/>
  <c r="B23" i="3"/>
  <c r="C12" i="3"/>
  <c r="C16" i="3"/>
  <c r="C17" i="3"/>
  <c r="C19" i="3"/>
  <c r="C22" i="3"/>
  <c r="C23" i="3"/>
  <c r="D12" i="3"/>
  <c r="D16" i="3"/>
  <c r="D17" i="3"/>
  <c r="D19" i="3"/>
  <c r="D22" i="3"/>
  <c r="D23" i="3"/>
  <c r="E12" i="3"/>
  <c r="E16" i="3"/>
  <c r="E17" i="3"/>
  <c r="E19" i="3"/>
  <c r="E22" i="3"/>
  <c r="E23" i="3"/>
  <c r="L52" i="3"/>
  <c r="B39" i="3"/>
  <c r="B36" i="3"/>
  <c r="C39" i="3"/>
  <c r="C36" i="3"/>
  <c r="D39" i="3"/>
  <c r="D37" i="3"/>
  <c r="D36" i="3"/>
  <c r="H33" i="3"/>
  <c r="F39" i="3"/>
  <c r="F37" i="3"/>
  <c r="F36" i="3"/>
  <c r="G39" i="3"/>
  <c r="G37" i="3"/>
  <c r="G36" i="3"/>
  <c r="H39" i="3"/>
  <c r="H37" i="3"/>
  <c r="H36" i="3"/>
  <c r="K56" i="3"/>
  <c r="J56" i="3"/>
  <c r="I56" i="3"/>
  <c r="H56" i="3"/>
  <c r="G56" i="3"/>
  <c r="F56" i="3"/>
  <c r="K60" i="3"/>
  <c r="J60" i="3"/>
  <c r="I60" i="3"/>
  <c r="H60" i="3"/>
  <c r="G60" i="3"/>
  <c r="F60" i="3"/>
  <c r="J39" i="3"/>
  <c r="J37" i="3"/>
  <c r="J36" i="3"/>
  <c r="K37" i="3"/>
  <c r="K39" i="3"/>
  <c r="K36" i="3"/>
  <c r="L56" i="3"/>
  <c r="L60" i="3"/>
  <c r="L39" i="3"/>
  <c r="M54" i="3"/>
  <c r="L54" i="3"/>
  <c r="K54" i="3"/>
  <c r="J54" i="3"/>
  <c r="I54" i="3"/>
  <c r="H54" i="3"/>
  <c r="G54" i="3"/>
  <c r="F54" i="3"/>
  <c r="M53" i="3"/>
  <c r="L53" i="3"/>
  <c r="K53" i="3"/>
  <c r="J53" i="3"/>
  <c r="I53" i="3"/>
  <c r="H53" i="3"/>
  <c r="G53" i="3"/>
  <c r="F53" i="3"/>
  <c r="M52" i="3"/>
  <c r="K52" i="3"/>
  <c r="J52" i="3"/>
  <c r="I52" i="3"/>
  <c r="H52" i="3"/>
  <c r="G52" i="3"/>
  <c r="F52" i="3"/>
  <c r="E28" i="3"/>
  <c r="I22" i="3"/>
  <c r="J12" i="3"/>
  <c r="J16" i="3"/>
  <c r="J17" i="3"/>
  <c r="J19" i="3"/>
  <c r="J22" i="3"/>
  <c r="K12" i="3"/>
  <c r="K16" i="3"/>
  <c r="K17" i="3"/>
  <c r="K19" i="3"/>
  <c r="K22" i="3"/>
  <c r="L22" i="3"/>
  <c r="L46" i="3"/>
  <c r="L43" i="3"/>
  <c r="L50" i="3"/>
  <c r="H22" i="3"/>
  <c r="K46" i="3"/>
  <c r="K43" i="3"/>
  <c r="K50" i="3"/>
  <c r="G12" i="3"/>
  <c r="G16" i="3"/>
  <c r="G17" i="3"/>
  <c r="G19" i="3"/>
  <c r="G22" i="3"/>
  <c r="J46" i="3"/>
  <c r="J43" i="3"/>
  <c r="J50" i="3"/>
  <c r="F12" i="3"/>
  <c r="F16" i="3"/>
  <c r="F17" i="3"/>
  <c r="F19" i="3"/>
  <c r="F22" i="3"/>
  <c r="I46" i="3"/>
  <c r="I43" i="3"/>
  <c r="I50" i="3"/>
  <c r="H46" i="3"/>
  <c r="H43" i="3"/>
  <c r="H50" i="3"/>
  <c r="G46" i="3"/>
  <c r="G43" i="3"/>
  <c r="G50" i="3"/>
  <c r="F46" i="3"/>
  <c r="F43" i="3"/>
  <c r="F50" i="3"/>
  <c r="E46" i="3"/>
  <c r="E43" i="3"/>
  <c r="E50" i="3"/>
  <c r="D46" i="3"/>
  <c r="D43" i="3"/>
  <c r="D50" i="3"/>
  <c r="C46" i="3"/>
  <c r="C43" i="3"/>
  <c r="C50" i="3"/>
  <c r="B46" i="3"/>
  <c r="B43" i="3"/>
  <c r="B50" i="3"/>
  <c r="L44" i="3"/>
  <c r="L49" i="3"/>
  <c r="K44" i="3"/>
  <c r="K49" i="3"/>
  <c r="J44" i="3"/>
  <c r="J49" i="3"/>
  <c r="I44" i="3"/>
  <c r="I49" i="3"/>
  <c r="H44" i="3"/>
  <c r="H49" i="3"/>
  <c r="G44" i="3"/>
  <c r="G49" i="3"/>
  <c r="F44" i="3"/>
  <c r="F49" i="3"/>
  <c r="E44" i="3"/>
  <c r="E49" i="3"/>
  <c r="D44" i="3"/>
  <c r="D49" i="3"/>
  <c r="C44" i="3"/>
  <c r="C49" i="3"/>
  <c r="B44" i="3"/>
  <c r="B49" i="3"/>
  <c r="L48" i="3"/>
  <c r="K48" i="3"/>
  <c r="J48" i="3"/>
  <c r="I48" i="3"/>
  <c r="H48" i="3"/>
  <c r="G48" i="3"/>
  <c r="F48" i="3"/>
  <c r="E48" i="3"/>
  <c r="D48" i="3"/>
  <c r="C48" i="3"/>
  <c r="B48" i="3"/>
  <c r="L47" i="3"/>
  <c r="K47" i="3"/>
  <c r="J47" i="3"/>
  <c r="I47" i="3"/>
  <c r="H47" i="3"/>
  <c r="G47" i="3"/>
  <c r="F47" i="3"/>
  <c r="E47" i="3"/>
  <c r="D47" i="3"/>
  <c r="C47" i="3"/>
  <c r="B47" i="3"/>
  <c r="K35" i="3"/>
  <c r="J35" i="3"/>
  <c r="I35" i="3"/>
  <c r="H35" i="3"/>
  <c r="G35" i="3"/>
  <c r="F35" i="3"/>
  <c r="E35" i="3"/>
  <c r="D35" i="3"/>
  <c r="C35" i="3"/>
  <c r="B35" i="3"/>
  <c r="M33" i="3"/>
  <c r="L33" i="3"/>
  <c r="K33" i="3"/>
  <c r="J33" i="3"/>
  <c r="I33" i="3"/>
  <c r="G33" i="3"/>
  <c r="F33" i="3"/>
  <c r="M32" i="3"/>
  <c r="L32" i="3"/>
  <c r="K32" i="3"/>
  <c r="J32" i="3"/>
  <c r="I32" i="3"/>
  <c r="H32" i="3"/>
  <c r="G32" i="3"/>
  <c r="F32" i="3"/>
  <c r="M31" i="3"/>
  <c r="L31" i="3"/>
  <c r="K31" i="3"/>
  <c r="J31" i="3"/>
  <c r="I31" i="3"/>
  <c r="H31" i="3"/>
  <c r="G31" i="3"/>
  <c r="F31" i="3"/>
  <c r="M30" i="3"/>
  <c r="L30" i="3"/>
  <c r="K30" i="3"/>
  <c r="J30" i="3"/>
  <c r="I30" i="3"/>
  <c r="H30" i="3"/>
  <c r="G30" i="3"/>
  <c r="F30" i="3"/>
  <c r="M28" i="3"/>
  <c r="K28" i="3"/>
  <c r="J28" i="3"/>
  <c r="I28" i="3"/>
  <c r="G28" i="3"/>
  <c r="F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M26" i="3"/>
  <c r="K26" i="3"/>
  <c r="J26" i="3"/>
  <c r="I26" i="3"/>
  <c r="H26" i="3"/>
  <c r="G26" i="3"/>
  <c r="F26" i="3"/>
  <c r="E26" i="3"/>
  <c r="D26" i="3"/>
  <c r="C26" i="3"/>
  <c r="B26" i="3"/>
  <c r="L23" i="3"/>
  <c r="K23" i="3"/>
  <c r="J23" i="3"/>
  <c r="I23" i="3"/>
  <c r="H23" i="3"/>
  <c r="G23" i="3"/>
  <c r="F23" i="3"/>
  <c r="G7" i="2"/>
  <c r="C4" i="2"/>
  <c r="G59" i="2"/>
  <c r="G58" i="2"/>
  <c r="G57" i="2"/>
  <c r="E59" i="2"/>
  <c r="E58" i="2"/>
  <c r="C6" i="2"/>
  <c r="C7" i="2"/>
</calcChain>
</file>

<file path=xl/sharedStrings.xml><?xml version="1.0" encoding="utf-8"?>
<sst xmlns="http://schemas.openxmlformats.org/spreadsheetml/2006/main" count="162" uniqueCount="111">
  <si>
    <t>Revenue</t>
  </si>
  <si>
    <t>Shares</t>
  </si>
  <si>
    <t>Revenue y/y</t>
  </si>
  <si>
    <t>Net Cash</t>
  </si>
  <si>
    <t>Q318</t>
  </si>
  <si>
    <t>EDGAR</t>
  </si>
  <si>
    <t>CEO</t>
  </si>
  <si>
    <t>Founder</t>
  </si>
  <si>
    <t>Price</t>
  </si>
  <si>
    <t>Market Cap</t>
  </si>
  <si>
    <t>EV</t>
  </si>
  <si>
    <t>per share</t>
  </si>
  <si>
    <t>Booking Holdings Inc (BKNG)</t>
  </si>
  <si>
    <t>Agency</t>
  </si>
  <si>
    <t>Merchant</t>
  </si>
  <si>
    <t>Advertising</t>
  </si>
  <si>
    <t>Agency y/y</t>
  </si>
  <si>
    <t>Merchant y/y</t>
  </si>
  <si>
    <t>Advertising y/y</t>
  </si>
  <si>
    <t>Net Income</t>
  </si>
  <si>
    <t>Glenn Fogel</t>
  </si>
  <si>
    <t>Jay Walker</t>
  </si>
  <si>
    <t>Maturity</t>
  </si>
  <si>
    <t>ROIC</t>
  </si>
  <si>
    <t>Expected return on invested capital (innovation grade)</t>
  </si>
  <si>
    <t>Discount</t>
  </si>
  <si>
    <t>Inflation + risk premium (opportunity cost)</t>
  </si>
  <si>
    <t>NPV</t>
  </si>
  <si>
    <t>NPV on net income (terminal value)</t>
  </si>
  <si>
    <t>Value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</si>
  <si>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</si>
  <si>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</si>
  <si>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</si>
  <si>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</si>
  <si>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</si>
  <si>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</si>
  <si>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</si>
  <si>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</si>
  <si>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</si>
  <si>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</si>
  <si>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</si>
  <si>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Gross Margin</t>
  </si>
  <si>
    <t>Operating Margin</t>
  </si>
  <si>
    <t>Tax Rate</t>
  </si>
  <si>
    <t>R&amp;D y/y</t>
  </si>
  <si>
    <t>S&amp;M y/y</t>
  </si>
  <si>
    <t>G&amp;A y/y</t>
  </si>
  <si>
    <t>Cash</t>
  </si>
  <si>
    <t>Debt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</si>
  <si>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</si>
  <si>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</si>
  <si>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</si>
  <si>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</si>
  <si>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</si>
  <si>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</si>
  <si>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</si>
  <si>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</si>
  <si>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</si>
  <si>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</si>
  <si>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</si>
  <si>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</si>
  <si>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</si>
  <si>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</si>
  <si>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</si>
  <si>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</si>
  <si>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</si>
  <si>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</si>
  <si>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</si>
  <si>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Q418</t>
  </si>
  <si>
    <t>Q119</t>
  </si>
  <si>
    <t>Q219</t>
  </si>
  <si>
    <t>Q319</t>
  </si>
  <si>
    <t>Q419</t>
  </si>
  <si>
    <t>31/3/2016</t>
  </si>
  <si>
    <t>30/6/2016</t>
  </si>
  <si>
    <t>30/9/2016</t>
  </si>
  <si>
    <t>31/12/2016</t>
  </si>
  <si>
    <t>31/3/2017</t>
  </si>
  <si>
    <t>30/6/2017</t>
  </si>
  <si>
    <t>30/9/2017</t>
  </si>
  <si>
    <t>31/12/2017</t>
  </si>
  <si>
    <t>31/3/2018</t>
  </si>
  <si>
    <t>30/6/2018</t>
  </si>
  <si>
    <t>30/9/2018</t>
  </si>
  <si>
    <t>31/12/2018</t>
  </si>
  <si>
    <t>Tax anomaly</t>
  </si>
  <si>
    <t>NI 12M</t>
  </si>
  <si>
    <t>Booking.com</t>
  </si>
  <si>
    <t>Priceline</t>
  </si>
  <si>
    <t>KAYAK</t>
  </si>
  <si>
    <t>Meta-search to compare travel prices</t>
  </si>
  <si>
    <t>Hotel, car, airline ticket packages</t>
  </si>
  <si>
    <t>Agoda</t>
  </si>
  <si>
    <t>Online accomodation reservations Asia-Pacific</t>
  </si>
  <si>
    <t>Online accomodation reservations</t>
  </si>
  <si>
    <t>Rentalcars.com</t>
  </si>
  <si>
    <t xml:space="preserve">Rental car reservations </t>
  </si>
  <si>
    <t>OpenTable</t>
  </si>
  <si>
    <t>Restaurant reservations</t>
  </si>
  <si>
    <t>Gross bookings</t>
  </si>
  <si>
    <t>Gross bookings y/y</t>
  </si>
  <si>
    <t>Room nights</t>
  </si>
  <si>
    <t>Room nights y/y</t>
  </si>
  <si>
    <t>Investor Relations</t>
  </si>
  <si>
    <t>ARPU</t>
  </si>
  <si>
    <t>ARPU y/y</t>
  </si>
  <si>
    <t>18/3/2019</t>
  </si>
  <si>
    <t>Earnings</t>
  </si>
  <si>
    <t>Growth</t>
  </si>
  <si>
    <t>GM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</si>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</sst>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 ;[Red]\-#,##0\ "/>
    <numFmt numFmtId="165" formatCode="0.0%"/>
    <numFmt numFmtId="166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3" fontId="6" fillId="0" borderId="0" xfId="0" applyNumberFormat="1" applyFont="1" applyBorder="1"/>
    <xf numFmtId="3" fontId="6" fillId="2" borderId="0" xfId="0" applyNumberFormat="1" applyFont="1" applyFill="1" applyBorder="1"/>
    <xf numFmtId="164" fontId="6" fillId="0" borderId="0" xfId="0" applyNumberFormat="1" applyFont="1"/>
    <xf numFmtId="3" fontId="5" fillId="2" borderId="0" xfId="0" applyNumberFormat="1" applyFont="1" applyFill="1" applyBorder="1"/>
    <xf numFmtId="165" fontId="6" fillId="0" borderId="0" xfId="0" applyNumberFormat="1" applyFont="1" applyFill="1"/>
    <xf numFmtId="0" fontId="6" fillId="0" borderId="0" xfId="0" applyFont="1" applyFill="1" applyBorder="1"/>
    <xf numFmtId="0" fontId="6" fillId="0" borderId="0" xfId="0" applyFont="1" applyFill="1"/>
    <xf numFmtId="3" fontId="6" fillId="0" borderId="0" xfId="0" applyNumberFormat="1" applyFont="1" applyFill="1" applyBorder="1"/>
    <xf numFmtId="3" fontId="6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Border="1"/>
    <xf numFmtId="2" fontId="6" fillId="0" borderId="0" xfId="0" applyNumberFormat="1" applyFont="1" applyFill="1" applyBorder="1"/>
    <xf numFmtId="9" fontId="6" fillId="0" borderId="0" xfId="1" applyFont="1" applyFill="1" applyBorder="1"/>
    <xf numFmtId="9" fontId="6" fillId="0" borderId="0" xfId="0" applyNumberFormat="1" applyFont="1" applyFill="1" applyBorder="1"/>
    <xf numFmtId="9" fontId="6" fillId="0" borderId="0" xfId="0" applyNumberFormat="1" applyFont="1" applyFill="1"/>
    <xf numFmtId="0" fontId="8" fillId="0" borderId="0" xfId="4" applyFont="1"/>
    <xf numFmtId="0" fontId="6" fillId="0" borderId="0" xfId="0" applyFont="1" applyAlignment="1">
      <alignment horizontal="left"/>
    </xf>
    <xf numFmtId="10" fontId="6" fillId="0" borderId="0" xfId="0" applyNumberFormat="1" applyFont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2" fontId="6" fillId="2" borderId="0" xfId="0" applyNumberFormat="1" applyFont="1" applyFill="1" applyBorder="1"/>
    <xf numFmtId="9" fontId="6" fillId="0" borderId="0" xfId="0" applyNumberFormat="1" applyFont="1" applyBorder="1"/>
    <xf numFmtId="9" fontId="6" fillId="0" borderId="0" xfId="1" applyFont="1" applyBorder="1"/>
    <xf numFmtId="0" fontId="4" fillId="0" borderId="0" xfId="4" applyFont="1"/>
    <xf numFmtId="9" fontId="5" fillId="0" borderId="0" xfId="1" applyFont="1" applyBorder="1"/>
    <xf numFmtId="3" fontId="6" fillId="2" borderId="0" xfId="0" applyNumberFormat="1" applyFont="1" applyFill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Fill="1" applyBorder="1"/>
    <xf numFmtId="0" fontId="6" fillId="0" borderId="1" xfId="0" applyFont="1" applyBorder="1"/>
    <xf numFmtId="166" fontId="6" fillId="0" borderId="0" xfId="0" applyNumberFormat="1" applyFont="1" applyBorder="1" applyAlignment="1">
      <alignment horizontal="right"/>
    </xf>
    <xf numFmtId="0" fontId="7" fillId="0" borderId="0" xfId="0" applyFont="1" applyFill="1"/>
    <xf numFmtId="10" fontId="6" fillId="0" borderId="0" xfId="0" applyNumberFormat="1" applyFont="1" applyFill="1"/>
    <xf numFmtId="4" fontId="6" fillId="2" borderId="0" xfId="0" applyNumberFormat="1" applyFont="1" applyFill="1"/>
    <xf numFmtId="4" fontId="6" fillId="2" borderId="1" xfId="0" applyNumberFormat="1" applyFont="1" applyFill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166" fontId="6" fillId="2" borderId="0" xfId="0" applyNumberFormat="1" applyFont="1" applyFill="1" applyBorder="1"/>
    <xf numFmtId="3" fontId="6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8</xdr:row>
      <xdr:rowOff>0</xdr:rowOff>
    </xdr:from>
    <xdr:to>
      <xdr:col>7</xdr:col>
      <xdr:colOff>127000</xdr:colOff>
      <xdr:row>67</xdr:row>
      <xdr:rowOff>12700</xdr:rowOff>
    </xdr:to>
    <xdr:cxnSp macro="">
      <xdr:nvCxnSpPr>
        <xdr:cNvPr id="4" name="Straight Connector 3"/>
        <xdr:cNvCxnSpPr/>
      </xdr:nvCxnSpPr>
      <xdr:spPr>
        <a:xfrm>
          <a:off x="6311900" y="1320800"/>
          <a:ext cx="0" cy="975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0</xdr:row>
      <xdr:rowOff>152400</xdr:rowOff>
    </xdr:from>
    <xdr:to>
      <xdr:col>13</xdr:col>
      <xdr:colOff>139700</xdr:colOff>
      <xdr:row>61</xdr:row>
      <xdr:rowOff>0</xdr:rowOff>
    </xdr:to>
    <xdr:cxnSp macro="">
      <xdr:nvCxnSpPr>
        <xdr:cNvPr id="2" name="Straight Connector 1"/>
        <xdr:cNvCxnSpPr/>
      </xdr:nvCxnSpPr>
      <xdr:spPr>
        <a:xfrm>
          <a:off x="11379200" y="152400"/>
          <a:ext cx="0" cy="9918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Jay_S._Walker" TargetMode="External"/><Relationship Id="rId2" Type="http://schemas.openxmlformats.org/officeDocument/2006/relationships/hyperlink" Target="http://ir.bookingholdings.com/investor-relation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cgi-bin/browse-edgar?CIK=BKNG&amp;owner=exclude&amp;action=getcompany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86"/>
  <sheetViews>
    <sheetView tabSelected="1" workbookViewId="0">
      <pane xSplit="1" ySplit="9" topLeftCell="C10" activePane="bottomRight" state="frozen"/>
      <selection pane="topRight" activeCell="B1" sqref="B1"/>
      <selection pane="bottomLeft" activeCell="A11" sqref="A11"/>
      <selection pane="bottomRight" activeCell="I7" sqref="I7"/>
    </sheetView>
  </sheetViews>
  <sheetFormatPr baseColWidth="10" defaultRowHeight="13" x14ac:dyDescent="0.15"/>
  <cols>
    <col min="1" max="1" width="16.1640625" style="3" bestFit="1" customWidth="1"/>
    <col min="2" max="6" width="10.83203125" style="3"/>
    <col min="7" max="7" width="10.83203125" style="13"/>
    <col min="8" max="16384" width="10.83203125" style="3"/>
  </cols>
  <sheetData>
    <row r="1" spans="1:124" x14ac:dyDescent="0.15">
      <c r="A1" s="1" t="s">
        <v>103</v>
      </c>
      <c r="B1" s="2" t="s">
        <v>12</v>
      </c>
    </row>
    <row r="2" spans="1:124" x14ac:dyDescent="0.15">
      <c r="B2" s="3" t="s">
        <v>8</v>
      </c>
      <c r="C2" s="4">
        <v>1762.52</v>
      </c>
      <c r="D2" s="23" t="s">
        <v>106</v>
      </c>
      <c r="E2" s="6" t="s">
        <v>22</v>
      </c>
      <c r="F2" s="24">
        <v>-0.02</v>
      </c>
      <c r="H2" s="3" t="s">
        <v>0</v>
      </c>
      <c r="I2" s="72">
        <f>G17</f>
        <v>14524</v>
      </c>
      <c r="N2" s="2"/>
    </row>
    <row r="3" spans="1:124" x14ac:dyDescent="0.15">
      <c r="A3" s="2" t="s">
        <v>6</v>
      </c>
      <c r="B3" s="3" t="s">
        <v>1</v>
      </c>
      <c r="C3" s="7">
        <f>Reports!M24</f>
        <v>46.588999999999999</v>
      </c>
      <c r="D3" s="23" t="s">
        <v>68</v>
      </c>
      <c r="E3" s="6" t="s">
        <v>23</v>
      </c>
      <c r="F3" s="24">
        <v>5.0000000000000001E-3</v>
      </c>
      <c r="G3" s="66" t="s">
        <v>24</v>
      </c>
      <c r="H3" s="3" t="s">
        <v>107</v>
      </c>
      <c r="I3" s="72">
        <f>G28</f>
        <v>3996</v>
      </c>
    </row>
    <row r="4" spans="1:124" x14ac:dyDescent="0.15">
      <c r="A4" s="22" t="s">
        <v>20</v>
      </c>
      <c r="B4" s="3" t="s">
        <v>9</v>
      </c>
      <c r="C4" s="8">
        <f>C2*C3</f>
        <v>82114.044280000002</v>
      </c>
      <c r="D4" s="23"/>
      <c r="E4" s="6" t="s">
        <v>25</v>
      </c>
      <c r="F4" s="24">
        <f>2%+5%</f>
        <v>7.0000000000000007E-2</v>
      </c>
      <c r="G4" s="66" t="s">
        <v>26</v>
      </c>
      <c r="H4" s="3" t="s">
        <v>108</v>
      </c>
      <c r="I4" s="35">
        <f>G36</f>
        <v>0.1453355413610915</v>
      </c>
    </row>
    <row r="5" spans="1:124" x14ac:dyDescent="0.15">
      <c r="B5" s="3" t="s">
        <v>3</v>
      </c>
      <c r="C5" s="7">
        <f>Reports!M35</f>
        <v>6043</v>
      </c>
      <c r="D5" s="23" t="s">
        <v>68</v>
      </c>
      <c r="E5" s="6" t="s">
        <v>27</v>
      </c>
      <c r="F5" s="25">
        <f>NPV(F4,H28:DT28)</f>
        <v>118818.61570959131</v>
      </c>
      <c r="G5" s="66" t="s">
        <v>28</v>
      </c>
      <c r="H5" s="3" t="s">
        <v>109</v>
      </c>
      <c r="I5" s="35">
        <f>G32</f>
        <v>0.69381713026714409</v>
      </c>
    </row>
    <row r="6" spans="1:124" x14ac:dyDescent="0.15">
      <c r="A6" s="2" t="s">
        <v>7</v>
      </c>
      <c r="B6" s="3" t="s">
        <v>10</v>
      </c>
      <c r="C6" s="8">
        <f>C4-C5</f>
        <v>76071.044280000002</v>
      </c>
      <c r="D6" s="23"/>
      <c r="E6" s="26" t="s">
        <v>29</v>
      </c>
      <c r="F6" s="27">
        <f>F5+C5</f>
        <v>124861.61570959131</v>
      </c>
      <c r="H6" s="3" t="s">
        <v>110</v>
      </c>
      <c r="I6" s="35">
        <f>G33</f>
        <v>0.36746075461305427</v>
      </c>
    </row>
    <row r="7" spans="1:124" x14ac:dyDescent="0.15">
      <c r="A7" s="32" t="s">
        <v>21</v>
      </c>
      <c r="B7" s="5" t="s">
        <v>11</v>
      </c>
      <c r="C7" s="8">
        <f>C6/C3</f>
        <v>1632.8112704715707</v>
      </c>
      <c r="D7" s="23"/>
      <c r="E7" s="28" t="s">
        <v>11</v>
      </c>
      <c r="F7" s="68">
        <f>F6/C3</f>
        <v>2680.0664472212607</v>
      </c>
      <c r="G7" s="67">
        <f>F7/C2-1</f>
        <v>0.52058782154032901</v>
      </c>
    </row>
    <row r="8" spans="1:124" x14ac:dyDescent="0.15">
      <c r="A8" s="22"/>
      <c r="G8" s="12"/>
      <c r="H8" s="9"/>
    </row>
    <row r="9" spans="1:124" x14ac:dyDescent="0.15">
      <c r="A9" s="13"/>
      <c r="B9" s="13">
        <v>2013</v>
      </c>
      <c r="C9" s="13">
        <v>2014</v>
      </c>
      <c r="D9" s="13">
        <v>2015</v>
      </c>
      <c r="E9" s="13">
        <v>2016</v>
      </c>
      <c r="F9" s="13">
        <v>2017</v>
      </c>
      <c r="G9" s="13">
        <v>2018</v>
      </c>
      <c r="H9" s="13">
        <v>2019</v>
      </c>
      <c r="I9" s="13">
        <v>2020</v>
      </c>
      <c r="J9" s="13">
        <v>2021</v>
      </c>
      <c r="K9" s="13">
        <v>2022</v>
      </c>
      <c r="L9" s="13">
        <f>K9+1</f>
        <v>2023</v>
      </c>
      <c r="M9" s="13">
        <f t="shared" ref="M9:R9" si="0">L9+1</f>
        <v>2024</v>
      </c>
      <c r="N9" s="13">
        <f t="shared" si="0"/>
        <v>2025</v>
      </c>
      <c r="O9" s="13">
        <f t="shared" si="0"/>
        <v>2026</v>
      </c>
      <c r="P9" s="13">
        <f t="shared" si="0"/>
        <v>2027</v>
      </c>
      <c r="Q9" s="13">
        <f t="shared" si="0"/>
        <v>2028</v>
      </c>
      <c r="R9" s="13">
        <f t="shared" si="0"/>
        <v>2029</v>
      </c>
      <c r="S9" s="13">
        <f>R9+1</f>
        <v>2030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</row>
    <row r="10" spans="1:124" x14ac:dyDescent="0.15">
      <c r="A10" s="13" t="s">
        <v>13</v>
      </c>
      <c r="B10" s="14">
        <v>4411</v>
      </c>
      <c r="C10" s="14">
        <v>5846</v>
      </c>
      <c r="D10" s="14">
        <v>6528</v>
      </c>
      <c r="E10" s="14">
        <f>SUM(Reports!B3:E3)</f>
        <v>7982</v>
      </c>
      <c r="F10" s="15">
        <f>SUM(Reports!F3:I3)</f>
        <v>9714</v>
      </c>
      <c r="G10" s="15">
        <f>SUM(Reports!J3:M3)</f>
        <v>10479</v>
      </c>
      <c r="H10" s="15"/>
      <c r="I10" s="15"/>
      <c r="J10" s="15"/>
      <c r="K10" s="15"/>
      <c r="L10" s="15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</row>
    <row r="11" spans="1:124" x14ac:dyDescent="0.15">
      <c r="A11" s="13" t="s">
        <v>14</v>
      </c>
      <c r="B11" s="14">
        <v>2211</v>
      </c>
      <c r="C11" s="14">
        <v>2186</v>
      </c>
      <c r="D11" s="14">
        <v>2083</v>
      </c>
      <c r="E11" s="14">
        <f>SUM(Reports!B4:E4)</f>
        <v>2048</v>
      </c>
      <c r="F11" s="15">
        <f>SUM(Reports!F4:I4)</f>
        <v>2133</v>
      </c>
      <c r="G11" s="15">
        <f>SUM(Reports!J4:M4)</f>
        <v>2987</v>
      </c>
      <c r="H11" s="15"/>
      <c r="I11" s="15"/>
      <c r="J11" s="15"/>
      <c r="K11" s="15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</row>
    <row r="12" spans="1:124" x14ac:dyDescent="0.15">
      <c r="A12" s="13" t="s">
        <v>15</v>
      </c>
      <c r="B12" s="14">
        <v>171</v>
      </c>
      <c r="C12" s="14">
        <v>410</v>
      </c>
      <c r="D12" s="14">
        <v>613</v>
      </c>
      <c r="E12" s="14">
        <f>SUM(Reports!B5:E5)</f>
        <v>713</v>
      </c>
      <c r="F12" s="15">
        <f>SUM(Reports!F5:I5)</f>
        <v>834</v>
      </c>
      <c r="G12" s="15">
        <f>SUM(Reports!J5:M5)</f>
        <v>1058</v>
      </c>
      <c r="H12" s="15"/>
      <c r="I12" s="15"/>
      <c r="J12" s="15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</row>
    <row r="13" spans="1:124" x14ac:dyDescent="0.15">
      <c r="A13" s="13"/>
      <c r="B13" s="14"/>
      <c r="C13" s="14"/>
      <c r="D13" s="14"/>
      <c r="E13" s="14"/>
      <c r="F13" s="15"/>
      <c r="G13" s="15"/>
      <c r="H13" s="15"/>
      <c r="I13" s="15"/>
      <c r="J13" s="15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</row>
    <row r="14" spans="1:124" x14ac:dyDescent="0.15">
      <c r="A14" s="6" t="s">
        <v>101</v>
      </c>
      <c r="B14" s="14">
        <v>270.5</v>
      </c>
      <c r="C14" s="14">
        <v>346</v>
      </c>
      <c r="D14" s="14">
        <v>423.3</v>
      </c>
      <c r="E14" s="14">
        <f>SUM(Reports!B7:E7)</f>
        <v>556.5</v>
      </c>
      <c r="F14" s="15">
        <f>SUM(Reports!F7:I7)</f>
        <v>673.1</v>
      </c>
      <c r="G14" s="15">
        <f>SUM(Reports!J7:M7)</f>
        <v>759.6</v>
      </c>
      <c r="H14" s="15">
        <f>G14*1.15</f>
        <v>873.54</v>
      </c>
      <c r="I14" s="15">
        <f t="shared" ref="I14:L14" si="1">H14*1.15</f>
        <v>1004.5709999999999</v>
      </c>
      <c r="J14" s="15">
        <f t="shared" si="1"/>
        <v>1155.2566499999998</v>
      </c>
      <c r="K14" s="15">
        <f t="shared" si="1"/>
        <v>1328.5451474999998</v>
      </c>
      <c r="L14" s="15">
        <f t="shared" si="1"/>
        <v>1527.8269196249996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</row>
    <row r="15" spans="1:124" x14ac:dyDescent="0.15">
      <c r="A15" s="6" t="s">
        <v>104</v>
      </c>
      <c r="B15" s="71">
        <f>SUM(B10:B12)/B14</f>
        <v>25.112754158964879</v>
      </c>
      <c r="C15" s="71">
        <f t="shared" ref="C15:F15" si="2">SUM(C10:C12)/C14</f>
        <v>24.398843930635838</v>
      </c>
      <c r="D15" s="71">
        <f t="shared" si="2"/>
        <v>21.790692180486651</v>
      </c>
      <c r="E15" s="71">
        <f t="shared" si="2"/>
        <v>19.304582210242586</v>
      </c>
      <c r="F15" s="71">
        <f t="shared" si="2"/>
        <v>18.839696924676868</v>
      </c>
      <c r="G15" s="71">
        <f>SUM(G10:G12)/G14</f>
        <v>19.120589784096893</v>
      </c>
      <c r="H15" s="15">
        <f>G15*0.98</f>
        <v>18.738177988414954</v>
      </c>
      <c r="I15" s="15">
        <f t="shared" ref="I15:L15" si="3">H15*0.98</f>
        <v>18.363414428646653</v>
      </c>
      <c r="J15" s="15">
        <f t="shared" si="3"/>
        <v>17.996146140073719</v>
      </c>
      <c r="K15" s="15">
        <f t="shared" si="3"/>
        <v>17.636223217272246</v>
      </c>
      <c r="L15" s="15">
        <f t="shared" si="3"/>
        <v>17.2834987529268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</row>
    <row r="16" spans="1:124" x14ac:dyDescent="0.15">
      <c r="A16" s="13"/>
      <c r="B16" s="13"/>
      <c r="C16" s="13"/>
      <c r="D16" s="13"/>
      <c r="E16" s="13"/>
      <c r="F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</row>
    <row r="17" spans="1:124" s="2" customFormat="1" x14ac:dyDescent="0.15">
      <c r="A17" s="16" t="s">
        <v>0</v>
      </c>
      <c r="B17" s="10">
        <f>B14*B15</f>
        <v>6793</v>
      </c>
      <c r="C17" s="10">
        <f t="shared" ref="C17:E17" si="4">C14*C15</f>
        <v>8442</v>
      </c>
      <c r="D17" s="10">
        <f t="shared" si="4"/>
        <v>9224</v>
      </c>
      <c r="E17" s="10">
        <f t="shared" si="4"/>
        <v>10742.999999999998</v>
      </c>
      <c r="F17" s="10">
        <f>F14*F15</f>
        <v>12681</v>
      </c>
      <c r="G17" s="10">
        <f>G14*G15</f>
        <v>14524</v>
      </c>
      <c r="H17" s="17">
        <f>H14*H15</f>
        <v>16368.547999999999</v>
      </c>
      <c r="I17" s="17">
        <f t="shared" ref="I17:L17" si="5">I14*I15</f>
        <v>18447.353595999994</v>
      </c>
      <c r="J17" s="17">
        <f t="shared" si="5"/>
        <v>20790.167502691991</v>
      </c>
      <c r="K17" s="17">
        <f t="shared" si="5"/>
        <v>23430.518775533877</v>
      </c>
      <c r="L17" s="17">
        <f t="shared" si="5"/>
        <v>26406.194660026675</v>
      </c>
      <c r="M17" s="17">
        <f>L17*1.05</f>
        <v>27726.504393028008</v>
      </c>
      <c r="N17" s="17">
        <f t="shared" ref="N17:S17" si="6">M17*1.05</f>
        <v>29112.829612679408</v>
      </c>
      <c r="O17" s="17">
        <f t="shared" si="6"/>
        <v>30568.471093313379</v>
      </c>
      <c r="P17" s="17">
        <f t="shared" si="6"/>
        <v>32096.89464797905</v>
      </c>
      <c r="Q17" s="17">
        <f t="shared" si="6"/>
        <v>33701.739380378007</v>
      </c>
      <c r="R17" s="17">
        <f t="shared" si="6"/>
        <v>35386.826349396906</v>
      </c>
      <c r="S17" s="17">
        <f t="shared" si="6"/>
        <v>37156.16766686675</v>
      </c>
      <c r="T17" s="17"/>
      <c r="U17" s="17"/>
      <c r="V17" s="17"/>
      <c r="W17" s="17"/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</row>
    <row r="18" spans="1:124" s="2" customFormat="1" x14ac:dyDescent="0.15">
      <c r="A18" s="3" t="s">
        <v>30</v>
      </c>
      <c r="B18" s="14">
        <f>1077+1799</f>
        <v>2876</v>
      </c>
      <c r="C18" s="14">
        <f>858+2360</f>
        <v>3218</v>
      </c>
      <c r="D18" s="14">
        <f>632+2797</f>
        <v>3429</v>
      </c>
      <c r="E18" s="14">
        <f>SUM(Reports!B11:E11)</f>
        <v>3907</v>
      </c>
      <c r="F18" s="15">
        <f>SUM(Reports!F11:I11)</f>
        <v>4387</v>
      </c>
      <c r="G18" s="15">
        <f>SUM(Reports!J11:M11)</f>
        <v>4447</v>
      </c>
      <c r="H18" s="14">
        <f>H17-H19</f>
        <v>5011.7689999999984</v>
      </c>
      <c r="I18" s="14">
        <f t="shared" ref="I18:K18" si="7">I17-I19</f>
        <v>5648.2636629999979</v>
      </c>
      <c r="J18" s="14">
        <f t="shared" si="7"/>
        <v>6365.5931482009964</v>
      </c>
      <c r="K18" s="14">
        <f t="shared" si="7"/>
        <v>7174.0234780225237</v>
      </c>
      <c r="L18" s="14">
        <f t="shared" ref="L18" si="8">L17-L19</f>
        <v>8085.1244597313816</v>
      </c>
      <c r="M18" s="14">
        <f t="shared" ref="M18" si="9">M17-M19</f>
        <v>8489.3806827179505</v>
      </c>
      <c r="N18" s="14">
        <f t="shared" ref="N18" si="10">N17-N19</f>
        <v>8913.8497168538488</v>
      </c>
      <c r="O18" s="14">
        <f t="shared" ref="O18" si="11">O17-O19</f>
        <v>9359.5422026965425</v>
      </c>
      <c r="P18" s="14">
        <f t="shared" ref="P18" si="12">P17-P19</f>
        <v>9827.5193128313695</v>
      </c>
      <c r="Q18" s="14">
        <f t="shared" ref="Q18" si="13">Q17-Q19</f>
        <v>10318.895278472941</v>
      </c>
      <c r="R18" s="14">
        <f t="shared" ref="R18" si="14">R17-R19</f>
        <v>10834.840042396587</v>
      </c>
      <c r="S18" s="14">
        <f t="shared" ref="S18" si="15">S17-S19</f>
        <v>11376.582044516414</v>
      </c>
      <c r="T18" s="14"/>
      <c r="U18" s="14"/>
      <c r="V18" s="14"/>
      <c r="W18" s="14"/>
      <c r="X18" s="14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</row>
    <row r="19" spans="1:124" s="2" customFormat="1" x14ac:dyDescent="0.15">
      <c r="A19" s="3" t="s">
        <v>31</v>
      </c>
      <c r="B19" s="8">
        <f t="shared" ref="B19:G19" si="16">B17-B18</f>
        <v>3917</v>
      </c>
      <c r="C19" s="8">
        <f t="shared" si="16"/>
        <v>5224</v>
      </c>
      <c r="D19" s="8">
        <f t="shared" si="16"/>
        <v>5795</v>
      </c>
      <c r="E19" s="8">
        <f t="shared" si="16"/>
        <v>6835.9999999999982</v>
      </c>
      <c r="F19" s="8">
        <f t="shared" si="16"/>
        <v>8294</v>
      </c>
      <c r="G19" s="8">
        <f t="shared" si="16"/>
        <v>10077</v>
      </c>
      <c r="H19" s="14">
        <f>H17*G32</f>
        <v>11356.779</v>
      </c>
      <c r="I19" s="14">
        <f>I17*H32</f>
        <v>12799.089932999996</v>
      </c>
      <c r="J19" s="14">
        <f t="shared" ref="J19:K19" si="17">J17*I32</f>
        <v>14424.574354490995</v>
      </c>
      <c r="K19" s="14">
        <f t="shared" si="17"/>
        <v>16256.495297511354</v>
      </c>
      <c r="L19" s="14">
        <f t="shared" ref="L19:S19" si="18">L17*K32</f>
        <v>18321.070200295293</v>
      </c>
      <c r="M19" s="14">
        <f>M17*L32</f>
        <v>19237.123710310058</v>
      </c>
      <c r="N19" s="14">
        <f t="shared" si="18"/>
        <v>20198.97989582556</v>
      </c>
      <c r="O19" s="14">
        <f t="shared" si="18"/>
        <v>21208.928890616837</v>
      </c>
      <c r="P19" s="14">
        <f t="shared" si="18"/>
        <v>22269.375335147681</v>
      </c>
      <c r="Q19" s="14">
        <f t="shared" si="18"/>
        <v>23382.844101905066</v>
      </c>
      <c r="R19" s="14">
        <f t="shared" si="18"/>
        <v>24551.986307000319</v>
      </c>
      <c r="S19" s="14">
        <f t="shared" si="18"/>
        <v>25779.585622350336</v>
      </c>
      <c r="T19" s="14"/>
      <c r="U19" s="14"/>
      <c r="V19" s="14"/>
      <c r="W19" s="14"/>
      <c r="X19" s="14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</row>
    <row r="20" spans="1:124" s="2" customFormat="1" x14ac:dyDescent="0.15">
      <c r="A20" s="3" t="s">
        <v>32</v>
      </c>
      <c r="B20" s="14">
        <v>72</v>
      </c>
      <c r="C20" s="14">
        <v>97</v>
      </c>
      <c r="D20" s="14">
        <v>114</v>
      </c>
      <c r="E20" s="14">
        <f>SUM(Reports!B13:E13)</f>
        <v>142</v>
      </c>
      <c r="F20" s="15">
        <f>SUM(Reports!F13:I13)</f>
        <v>190</v>
      </c>
      <c r="G20" s="15">
        <f>SUM(Reports!J13:M13)</f>
        <v>233</v>
      </c>
      <c r="H20" s="14">
        <f>G20*1.2</f>
        <v>279.59999999999997</v>
      </c>
      <c r="I20" s="14">
        <f t="shared" ref="I20:L20" si="19">H20*1.2</f>
        <v>335.51999999999992</v>
      </c>
      <c r="J20" s="14">
        <f t="shared" si="19"/>
        <v>402.62399999999991</v>
      </c>
      <c r="K20" s="14">
        <f t="shared" si="19"/>
        <v>483.14879999999988</v>
      </c>
      <c r="L20" s="14">
        <f t="shared" si="19"/>
        <v>579.77855999999986</v>
      </c>
      <c r="M20" s="14">
        <f>L20*0.98</f>
        <v>568.18298879999986</v>
      </c>
      <c r="N20" s="14">
        <f t="shared" ref="N20:S20" si="20">M20*0.98</f>
        <v>556.8193290239999</v>
      </c>
      <c r="O20" s="14">
        <f t="shared" si="20"/>
        <v>545.68294244351989</v>
      </c>
      <c r="P20" s="14">
        <f t="shared" si="20"/>
        <v>534.76928359464944</v>
      </c>
      <c r="Q20" s="14">
        <f t="shared" si="20"/>
        <v>524.07389792275649</v>
      </c>
      <c r="R20" s="14">
        <f t="shared" si="20"/>
        <v>513.59241996430137</v>
      </c>
      <c r="S20" s="14">
        <f t="shared" si="20"/>
        <v>503.32057156501531</v>
      </c>
      <c r="T20" s="14"/>
      <c r="U20" s="14"/>
      <c r="V20" s="14"/>
      <c r="W20" s="14"/>
      <c r="X20" s="14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</row>
    <row r="21" spans="1:124" s="2" customFormat="1" x14ac:dyDescent="0.15">
      <c r="A21" s="3" t="s">
        <v>33</v>
      </c>
      <c r="B21" s="14">
        <f>127+236</f>
        <v>363</v>
      </c>
      <c r="C21" s="14">
        <f>231+311</f>
        <v>542</v>
      </c>
      <c r="D21" s="14">
        <f>215+353</f>
        <v>568</v>
      </c>
      <c r="E21" s="14">
        <f>SUM(Reports!B14:E14)</f>
        <v>732</v>
      </c>
      <c r="F21" s="15">
        <f>SUM(Reports!F14:I14)</f>
        <v>956</v>
      </c>
      <c r="G21" s="15">
        <f>SUM(Reports!J14:M14)</f>
        <v>1340</v>
      </c>
      <c r="H21" s="14">
        <f>G21*1.2</f>
        <v>1608</v>
      </c>
      <c r="I21" s="14">
        <f t="shared" ref="I21:L21" si="21">H21*1.2</f>
        <v>1929.6</v>
      </c>
      <c r="J21" s="14">
        <f t="shared" si="21"/>
        <v>2315.52</v>
      </c>
      <c r="K21" s="14">
        <f t="shared" si="21"/>
        <v>2778.6239999999998</v>
      </c>
      <c r="L21" s="14">
        <f t="shared" si="21"/>
        <v>3334.3487999999998</v>
      </c>
      <c r="M21" s="14">
        <f t="shared" ref="M21:S21" si="22">L21*1.05</f>
        <v>3501.0662400000001</v>
      </c>
      <c r="N21" s="14">
        <f t="shared" si="22"/>
        <v>3676.1195520000001</v>
      </c>
      <c r="O21" s="14">
        <f t="shared" si="22"/>
        <v>3859.9255296000001</v>
      </c>
      <c r="P21" s="14">
        <f t="shared" si="22"/>
        <v>4052.9218060800004</v>
      </c>
      <c r="Q21" s="14">
        <f t="shared" si="22"/>
        <v>4255.567896384001</v>
      </c>
      <c r="R21" s="14">
        <f t="shared" si="22"/>
        <v>4468.346291203201</v>
      </c>
      <c r="S21" s="14">
        <f t="shared" si="22"/>
        <v>4691.7636057633608</v>
      </c>
      <c r="T21" s="14"/>
      <c r="U21" s="14"/>
      <c r="V21" s="14"/>
      <c r="W21" s="14"/>
      <c r="X21" s="14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</row>
    <row r="22" spans="1:124" s="2" customFormat="1" x14ac:dyDescent="0.15">
      <c r="A22" s="3" t="s">
        <v>34</v>
      </c>
      <c r="B22" s="14">
        <f>699+253+118</f>
        <v>1070</v>
      </c>
      <c r="C22" s="14">
        <f>950+353+208</f>
        <v>1511</v>
      </c>
      <c r="D22" s="14">
        <f>1166+415+272</f>
        <v>1853</v>
      </c>
      <c r="E22" s="14">
        <f>SUM(Reports!B15:E15)</f>
        <v>3057</v>
      </c>
      <c r="F22" s="15">
        <f>SUM(Reports!F15:I15)</f>
        <v>2611</v>
      </c>
      <c r="G22" s="15">
        <f>SUM(Reports!J15:M15)</f>
        <v>3167</v>
      </c>
      <c r="H22" s="14">
        <f>G22*1.2</f>
        <v>3800.3999999999996</v>
      </c>
      <c r="I22" s="14">
        <f t="shared" ref="I22:L22" si="23">H22*1.2</f>
        <v>4560.4799999999996</v>
      </c>
      <c r="J22" s="14">
        <f t="shared" si="23"/>
        <v>5472.5759999999991</v>
      </c>
      <c r="K22" s="14">
        <f t="shared" si="23"/>
        <v>6567.0911999999989</v>
      </c>
      <c r="L22" s="14">
        <f t="shared" si="23"/>
        <v>7880.509439999998</v>
      </c>
      <c r="M22" s="14">
        <f t="shared" ref="M22:S22" si="24">L22*0.95</f>
        <v>7486.4839679999977</v>
      </c>
      <c r="N22" s="14">
        <f t="shared" si="24"/>
        <v>7112.1597695999972</v>
      </c>
      <c r="O22" s="14">
        <f t="shared" si="24"/>
        <v>6756.551781119997</v>
      </c>
      <c r="P22" s="14">
        <f t="shared" si="24"/>
        <v>6418.7241920639972</v>
      </c>
      <c r="Q22" s="14">
        <f t="shared" si="24"/>
        <v>6097.7879824607971</v>
      </c>
      <c r="R22" s="14">
        <f t="shared" si="24"/>
        <v>5792.8985833377574</v>
      </c>
      <c r="S22" s="14">
        <f t="shared" si="24"/>
        <v>5503.2536541708696</v>
      </c>
      <c r="T22" s="14"/>
      <c r="U22" s="14"/>
      <c r="V22" s="14"/>
      <c r="W22" s="14"/>
      <c r="X22" s="14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</row>
    <row r="23" spans="1:124" s="2" customFormat="1" x14ac:dyDescent="0.15">
      <c r="A23" s="3" t="s">
        <v>35</v>
      </c>
      <c r="B23" s="8">
        <f t="shared" ref="B23:F23" si="25">SUM(B20:B22)</f>
        <v>1505</v>
      </c>
      <c r="C23" s="8">
        <f t="shared" si="25"/>
        <v>2150</v>
      </c>
      <c r="D23" s="8">
        <f t="shared" si="25"/>
        <v>2535</v>
      </c>
      <c r="E23" s="8">
        <f t="shared" si="25"/>
        <v>3931</v>
      </c>
      <c r="F23" s="8">
        <f t="shared" si="25"/>
        <v>3757</v>
      </c>
      <c r="G23" s="8">
        <f t="shared" ref="G23" si="26">SUM(G20:G22)</f>
        <v>4740</v>
      </c>
      <c r="H23" s="14">
        <f t="shared" ref="H23:J23" si="27">SUM(H20:H22)</f>
        <v>5688</v>
      </c>
      <c r="I23" s="14">
        <f t="shared" si="27"/>
        <v>6825.5999999999995</v>
      </c>
      <c r="J23" s="14">
        <f t="shared" si="27"/>
        <v>8190.7199999999993</v>
      </c>
      <c r="K23" s="14">
        <f>SUM(K20:K22)</f>
        <v>9828.8639999999978</v>
      </c>
      <c r="L23" s="14">
        <f t="shared" ref="L23:S23" si="28">SUM(L20:L22)</f>
        <v>11794.636799999997</v>
      </c>
      <c r="M23" s="14">
        <f t="shared" si="28"/>
        <v>11555.733196799998</v>
      </c>
      <c r="N23" s="14">
        <f t="shared" si="28"/>
        <v>11345.098650623997</v>
      </c>
      <c r="O23" s="14">
        <f t="shared" si="28"/>
        <v>11162.160253163518</v>
      </c>
      <c r="P23" s="14">
        <f t="shared" si="28"/>
        <v>11006.415281738646</v>
      </c>
      <c r="Q23" s="14">
        <f t="shared" si="28"/>
        <v>10877.429776767554</v>
      </c>
      <c r="R23" s="14">
        <f t="shared" si="28"/>
        <v>10774.83729450526</v>
      </c>
      <c r="S23" s="14">
        <f t="shared" si="28"/>
        <v>10698.337831499246</v>
      </c>
      <c r="T23" s="14"/>
      <c r="U23" s="14"/>
      <c r="V23" s="14"/>
      <c r="W23" s="14"/>
      <c r="X23" s="14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</row>
    <row r="24" spans="1:124" s="2" customFormat="1" x14ac:dyDescent="0.15">
      <c r="A24" s="3" t="s">
        <v>36</v>
      </c>
      <c r="B24" s="8">
        <f t="shared" ref="B24:F24" si="29">B19-B23</f>
        <v>2412</v>
      </c>
      <c r="C24" s="8">
        <f t="shared" si="29"/>
        <v>3074</v>
      </c>
      <c r="D24" s="8">
        <f t="shared" si="29"/>
        <v>3260</v>
      </c>
      <c r="E24" s="8">
        <f t="shared" si="29"/>
        <v>2904.9999999999982</v>
      </c>
      <c r="F24" s="8">
        <f t="shared" si="29"/>
        <v>4537</v>
      </c>
      <c r="G24" s="8">
        <f t="shared" ref="G24" si="30">G19-G23</f>
        <v>5337</v>
      </c>
      <c r="H24" s="14">
        <f t="shared" ref="H24:J24" si="31">H19-H23</f>
        <v>5668.7790000000005</v>
      </c>
      <c r="I24" s="14">
        <f t="shared" si="31"/>
        <v>5973.4899329999962</v>
      </c>
      <c r="J24" s="14">
        <f t="shared" si="31"/>
        <v>6233.8543544909953</v>
      </c>
      <c r="K24" s="14">
        <f>K19-K23</f>
        <v>6427.631297511356</v>
      </c>
      <c r="L24" s="14">
        <f t="shared" ref="L24:S24" si="32">L19-L23</f>
        <v>6526.4334002952965</v>
      </c>
      <c r="M24" s="14">
        <f t="shared" si="32"/>
        <v>7681.3905135100595</v>
      </c>
      <c r="N24" s="14">
        <f t="shared" si="32"/>
        <v>8853.8812452015627</v>
      </c>
      <c r="O24" s="14">
        <f t="shared" si="32"/>
        <v>10046.768637453319</v>
      </c>
      <c r="P24" s="14">
        <f t="shared" si="32"/>
        <v>11262.960053409035</v>
      </c>
      <c r="Q24" s="14">
        <f t="shared" si="32"/>
        <v>12505.414325137512</v>
      </c>
      <c r="R24" s="14">
        <f t="shared" si="32"/>
        <v>13777.14901249506</v>
      </c>
      <c r="S24" s="14">
        <f t="shared" si="32"/>
        <v>15081.24779085109</v>
      </c>
      <c r="T24" s="14"/>
      <c r="U24" s="14"/>
      <c r="V24" s="14"/>
      <c r="W24" s="14"/>
      <c r="X24" s="14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</row>
    <row r="25" spans="1:124" s="2" customFormat="1" x14ac:dyDescent="0.15">
      <c r="A25" s="3" t="s">
        <v>37</v>
      </c>
      <c r="B25" s="14">
        <f>4-83-37</f>
        <v>-116</v>
      </c>
      <c r="C25" s="14">
        <f>14-88-9</f>
        <v>-83</v>
      </c>
      <c r="D25" s="14">
        <f>56-160-26</f>
        <v>-130</v>
      </c>
      <c r="E25" s="14">
        <f>SUM(Reports!B18:E18)</f>
        <v>-193</v>
      </c>
      <c r="F25" s="15">
        <f>SUM(Reports!F18:I18)</f>
        <v>-140</v>
      </c>
      <c r="G25" s="15">
        <f>SUM(Reports!J18:M18)</f>
        <v>-504</v>
      </c>
      <c r="H25" s="14">
        <f>G41*$F$3</f>
        <v>30.215</v>
      </c>
      <c r="I25" s="14">
        <f t="shared" ref="I25:K25" si="33">H41*$F$3</f>
        <v>53.775086927374304</v>
      </c>
      <c r="J25" s="14">
        <f t="shared" si="33"/>
        <v>78.692271925956732</v>
      </c>
      <c r="K25" s="14">
        <f t="shared" si="33"/>
        <v>104.78883339829495</v>
      </c>
      <c r="L25" s="14">
        <f t="shared" ref="L25:S25" si="34">K41*$F$3</f>
        <v>131.79436913501644</v>
      </c>
      <c r="M25" s="14">
        <f t="shared" si="34"/>
        <v>159.32000348908588</v>
      </c>
      <c r="N25" s="14">
        <f t="shared" si="34"/>
        <v>191.73411400628902</v>
      </c>
      <c r="O25" s="14">
        <f t="shared" si="34"/>
        <v>229.12939537955052</v>
      </c>
      <c r="P25" s="14">
        <f t="shared" si="34"/>
        <v>271.61076154880374</v>
      </c>
      <c r="Q25" s="14">
        <f t="shared" si="34"/>
        <v>319.29557944304281</v>
      </c>
      <c r="R25" s="14">
        <f t="shared" si="34"/>
        <v>372.31393323851546</v>
      </c>
      <c r="S25" s="14">
        <f t="shared" si="34"/>
        <v>430.80891971808444</v>
      </c>
      <c r="T25" s="14"/>
      <c r="U25" s="14"/>
      <c r="V25" s="14"/>
      <c r="W25" s="14"/>
      <c r="X25" s="14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</row>
    <row r="26" spans="1:124" s="2" customFormat="1" x14ac:dyDescent="0.15">
      <c r="A26" s="3" t="s">
        <v>38</v>
      </c>
      <c r="B26" s="8">
        <f t="shared" ref="B26:G26" si="35">B24+B25</f>
        <v>2296</v>
      </c>
      <c r="C26" s="8">
        <f t="shared" si="35"/>
        <v>2991</v>
      </c>
      <c r="D26" s="8">
        <f t="shared" si="35"/>
        <v>3130</v>
      </c>
      <c r="E26" s="8">
        <f t="shared" si="35"/>
        <v>2711.9999999999982</v>
      </c>
      <c r="F26" s="8">
        <f t="shared" si="35"/>
        <v>4397</v>
      </c>
      <c r="G26" s="8">
        <f t="shared" si="35"/>
        <v>4833</v>
      </c>
      <c r="H26" s="14">
        <f t="shared" ref="H26:K26" si="36">H24+H25</f>
        <v>5698.9940000000006</v>
      </c>
      <c r="I26" s="14">
        <f t="shared" si="36"/>
        <v>6027.2650199273703</v>
      </c>
      <c r="J26" s="14">
        <f t="shared" si="36"/>
        <v>6312.5466264169518</v>
      </c>
      <c r="K26" s="14">
        <f t="shared" si="36"/>
        <v>6532.4201309096507</v>
      </c>
      <c r="L26" s="14">
        <f t="shared" ref="L26" si="37">L24+L25</f>
        <v>6658.2277694303129</v>
      </c>
      <c r="M26" s="14">
        <f t="shared" ref="M26" si="38">M24+M25</f>
        <v>7840.7105169991455</v>
      </c>
      <c r="N26" s="14">
        <f t="shared" ref="N26" si="39">N24+N25</f>
        <v>9045.6153592078517</v>
      </c>
      <c r="O26" s="14">
        <f t="shared" ref="O26" si="40">O24+O25</f>
        <v>10275.898032832869</v>
      </c>
      <c r="P26" s="14">
        <f t="shared" ref="P26" si="41">P24+P25</f>
        <v>11534.570814957839</v>
      </c>
      <c r="Q26" s="14">
        <f t="shared" ref="Q26" si="42">Q24+Q25</f>
        <v>12824.709904580555</v>
      </c>
      <c r="R26" s="14">
        <f t="shared" ref="R26" si="43">R24+R25</f>
        <v>14149.462945733576</v>
      </c>
      <c r="S26" s="14">
        <f t="shared" ref="S26" si="44">S24+S25</f>
        <v>15512.056710569175</v>
      </c>
      <c r="T26" s="14"/>
      <c r="U26" s="14"/>
      <c r="V26" s="14"/>
      <c r="W26" s="14"/>
      <c r="X26" s="14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</row>
    <row r="27" spans="1:124" s="2" customFormat="1" x14ac:dyDescent="0.15">
      <c r="A27" s="3" t="s">
        <v>39</v>
      </c>
      <c r="B27" s="14">
        <v>404</v>
      </c>
      <c r="C27" s="14">
        <v>568</v>
      </c>
      <c r="D27" s="14">
        <v>577</v>
      </c>
      <c r="E27" s="14">
        <f>SUM(Reports!B20:E20)</f>
        <v>579</v>
      </c>
      <c r="F27" s="15">
        <f>SUM(Reports!F20:I20)</f>
        <v>718.34881470730534</v>
      </c>
      <c r="G27" s="15">
        <f>SUM(Reports!J20:M20)</f>
        <v>837</v>
      </c>
      <c r="H27" s="14">
        <f>H26*G34</f>
        <v>986.97661452513978</v>
      </c>
      <c r="I27" s="14">
        <f t="shared" ref="I27:K27" si="45">I26*H34</f>
        <v>1043.8280202108854</v>
      </c>
      <c r="J27" s="14">
        <f t="shared" si="45"/>
        <v>1093.2343319493045</v>
      </c>
      <c r="K27" s="14">
        <f t="shared" si="45"/>
        <v>1131.3129835653585</v>
      </c>
      <c r="L27" s="14">
        <f t="shared" ref="L27" si="46">L26*K34</f>
        <v>1153.1008986164229</v>
      </c>
      <c r="M27" s="14">
        <f t="shared" ref="M27" si="47">M26*L34</f>
        <v>1357.8884135585113</v>
      </c>
      <c r="N27" s="14">
        <f t="shared" ref="N27" si="48">N26*M34</f>
        <v>1566.5590845555498</v>
      </c>
      <c r="O27" s="14">
        <f t="shared" ref="O27" si="49">O26*N34</f>
        <v>1779.6247989822289</v>
      </c>
      <c r="P27" s="14">
        <f t="shared" ref="P27" si="50">P26*O34</f>
        <v>1997.6072361100169</v>
      </c>
      <c r="Q27" s="14">
        <f t="shared" ref="Q27" si="51">Q26*P34</f>
        <v>2221.0391454860182</v>
      </c>
      <c r="R27" s="14">
        <f t="shared" ref="R27" si="52">R26*Q34</f>
        <v>2450.4656498197814</v>
      </c>
      <c r="S27" s="14">
        <f t="shared" ref="S27" si="53">S26*R34</f>
        <v>2686.445575573433</v>
      </c>
      <c r="T27" s="14"/>
      <c r="U27" s="14"/>
      <c r="V27" s="14"/>
      <c r="W27" s="14"/>
      <c r="X27" s="14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</row>
    <row r="28" spans="1:124" s="2" customFormat="1" x14ac:dyDescent="0.15">
      <c r="A28" s="2" t="s">
        <v>19</v>
      </c>
      <c r="B28" s="10">
        <f t="shared" ref="B28:G28" si="54">B26-B27</f>
        <v>1892</v>
      </c>
      <c r="C28" s="10">
        <f t="shared" si="54"/>
        <v>2423</v>
      </c>
      <c r="D28" s="10">
        <f t="shared" si="54"/>
        <v>2553</v>
      </c>
      <c r="E28" s="10">
        <f t="shared" si="54"/>
        <v>2132.9999999999982</v>
      </c>
      <c r="F28" s="10">
        <f t="shared" si="54"/>
        <v>3678.6511852926947</v>
      </c>
      <c r="G28" s="10">
        <f t="shared" si="54"/>
        <v>3996</v>
      </c>
      <c r="H28" s="10">
        <f t="shared" ref="H28:K28" si="55">H26-H27</f>
        <v>4712.0173854748609</v>
      </c>
      <c r="I28" s="10">
        <f t="shared" si="55"/>
        <v>4983.4369997164849</v>
      </c>
      <c r="J28" s="10">
        <f t="shared" si="55"/>
        <v>5219.312294467647</v>
      </c>
      <c r="K28" s="10">
        <f t="shared" si="55"/>
        <v>5401.1071473442917</v>
      </c>
      <c r="L28" s="10">
        <f t="shared" ref="L28" si="56">L26-L27</f>
        <v>5505.1268708138905</v>
      </c>
      <c r="M28" s="10">
        <f t="shared" ref="M28" si="57">M26-M27</f>
        <v>6482.8221034406342</v>
      </c>
      <c r="N28" s="10">
        <f t="shared" ref="N28" si="58">N26-N27</f>
        <v>7479.0562746523019</v>
      </c>
      <c r="O28" s="10">
        <f t="shared" ref="O28" si="59">O26-O27</f>
        <v>8496.2732338506394</v>
      </c>
      <c r="P28" s="10">
        <f t="shared" ref="P28" si="60">P26-P27</f>
        <v>9536.9635788478226</v>
      </c>
      <c r="Q28" s="10">
        <f t="shared" ref="Q28" si="61">Q26-Q27</f>
        <v>10603.670759094537</v>
      </c>
      <c r="R28" s="10">
        <f t="shared" ref="R28" si="62">R26-R27</f>
        <v>11698.997295913794</v>
      </c>
      <c r="S28" s="10">
        <f t="shared" ref="S28" si="63">S26-S27</f>
        <v>12825.611134995743</v>
      </c>
      <c r="T28" s="10">
        <f>S28*($F$2+1)</f>
        <v>12569.098912295827</v>
      </c>
      <c r="U28" s="10">
        <f t="shared" ref="U28:CF28" si="64">T28*($F$2+1)</f>
        <v>12317.716934049911</v>
      </c>
      <c r="V28" s="10">
        <f t="shared" si="64"/>
        <v>12071.362595368913</v>
      </c>
      <c r="W28" s="10">
        <f t="shared" si="64"/>
        <v>11829.935343461535</v>
      </c>
      <c r="X28" s="10">
        <f t="shared" si="64"/>
        <v>11593.336636592305</v>
      </c>
      <c r="Y28" s="10">
        <f t="shared" si="64"/>
        <v>11361.469903860458</v>
      </c>
      <c r="Z28" s="10">
        <f t="shared" si="64"/>
        <v>11134.240505783247</v>
      </c>
      <c r="AA28" s="10">
        <f t="shared" si="64"/>
        <v>10911.555695667583</v>
      </c>
      <c r="AB28" s="10">
        <f t="shared" si="64"/>
        <v>10693.32458175423</v>
      </c>
      <c r="AC28" s="10">
        <f t="shared" si="64"/>
        <v>10479.458090119146</v>
      </c>
      <c r="AD28" s="10">
        <f t="shared" si="64"/>
        <v>10269.868928316762</v>
      </c>
      <c r="AE28" s="10">
        <f t="shared" si="64"/>
        <v>10064.471549750428</v>
      </c>
      <c r="AF28" s="10">
        <f t="shared" si="64"/>
        <v>9863.1821187554197</v>
      </c>
      <c r="AG28" s="10">
        <f t="shared" si="64"/>
        <v>9665.9184763803114</v>
      </c>
      <c r="AH28" s="10">
        <f t="shared" si="64"/>
        <v>9472.6001068527057</v>
      </c>
      <c r="AI28" s="10">
        <f t="shared" si="64"/>
        <v>9283.1481047156522</v>
      </c>
      <c r="AJ28" s="10">
        <f t="shared" si="64"/>
        <v>9097.485142621339</v>
      </c>
      <c r="AK28" s="10">
        <f t="shared" si="64"/>
        <v>8915.5354397689116</v>
      </c>
      <c r="AL28" s="10">
        <f t="shared" si="64"/>
        <v>8737.224730973534</v>
      </c>
      <c r="AM28" s="10">
        <f t="shared" si="64"/>
        <v>8562.4802363540639</v>
      </c>
      <c r="AN28" s="10">
        <f t="shared" si="64"/>
        <v>8391.2306316269824</v>
      </c>
      <c r="AO28" s="10">
        <f t="shared" si="64"/>
        <v>8223.406018994443</v>
      </c>
      <c r="AP28" s="10">
        <f t="shared" si="64"/>
        <v>8058.9378986145539</v>
      </c>
      <c r="AQ28" s="10">
        <f t="shared" si="64"/>
        <v>7897.7591406422625</v>
      </c>
      <c r="AR28" s="10">
        <f t="shared" si="64"/>
        <v>7739.8039578294174</v>
      </c>
      <c r="AS28" s="10">
        <f t="shared" si="64"/>
        <v>7585.0078786728291</v>
      </c>
      <c r="AT28" s="10">
        <f t="shared" si="64"/>
        <v>7433.3077210993724</v>
      </c>
      <c r="AU28" s="10">
        <f t="shared" si="64"/>
        <v>7284.6415666773846</v>
      </c>
      <c r="AV28" s="10">
        <f t="shared" si="64"/>
        <v>7138.9487353438371</v>
      </c>
      <c r="AW28" s="10">
        <f t="shared" si="64"/>
        <v>6996.1697606369598</v>
      </c>
      <c r="AX28" s="10">
        <f t="shared" si="64"/>
        <v>6856.2463654242201</v>
      </c>
      <c r="AY28" s="10">
        <f t="shared" si="64"/>
        <v>6719.1214381157361</v>
      </c>
      <c r="AZ28" s="10">
        <f t="shared" si="64"/>
        <v>6584.7390093534214</v>
      </c>
      <c r="BA28" s="10">
        <f t="shared" si="64"/>
        <v>6453.044229166353</v>
      </c>
      <c r="BB28" s="10">
        <f t="shared" si="64"/>
        <v>6323.9833445830254</v>
      </c>
      <c r="BC28" s="10">
        <f t="shared" si="64"/>
        <v>6197.5036776913648</v>
      </c>
      <c r="BD28" s="10">
        <f t="shared" si="64"/>
        <v>6073.5536041375371</v>
      </c>
      <c r="BE28" s="10">
        <f t="shared" si="64"/>
        <v>5952.0825320547865</v>
      </c>
      <c r="BF28" s="10">
        <f t="shared" si="64"/>
        <v>5833.0408814136908</v>
      </c>
      <c r="BG28" s="10">
        <f t="shared" si="64"/>
        <v>5716.3800637854165</v>
      </c>
      <c r="BH28" s="10">
        <f t="shared" si="64"/>
        <v>5602.0524625097078</v>
      </c>
      <c r="BI28" s="10">
        <f t="shared" si="64"/>
        <v>5490.0114132595136</v>
      </c>
      <c r="BJ28" s="10">
        <f t="shared" si="64"/>
        <v>5380.211184994323</v>
      </c>
      <c r="BK28" s="10">
        <f t="shared" si="64"/>
        <v>5272.6069612944366</v>
      </c>
      <c r="BL28" s="10">
        <f t="shared" si="64"/>
        <v>5167.1548220685481</v>
      </c>
      <c r="BM28" s="10">
        <f t="shared" si="64"/>
        <v>5063.8117256271771</v>
      </c>
      <c r="BN28" s="10">
        <f t="shared" si="64"/>
        <v>4962.5354911146333</v>
      </c>
      <c r="BO28" s="10">
        <f t="shared" si="64"/>
        <v>4863.2847812923401</v>
      </c>
      <c r="BP28" s="10">
        <f t="shared" si="64"/>
        <v>4766.0190856664931</v>
      </c>
      <c r="BQ28" s="10">
        <f t="shared" si="64"/>
        <v>4670.6987039531632</v>
      </c>
      <c r="BR28" s="10">
        <f t="shared" si="64"/>
        <v>4577.2847298740999</v>
      </c>
      <c r="BS28" s="10">
        <f t="shared" si="64"/>
        <v>4485.7390352766179</v>
      </c>
      <c r="BT28" s="10">
        <f t="shared" si="64"/>
        <v>4396.0242545710853</v>
      </c>
      <c r="BU28" s="10">
        <f t="shared" si="64"/>
        <v>4308.1037694796632</v>
      </c>
      <c r="BV28" s="10">
        <f t="shared" si="64"/>
        <v>4221.9416940900701</v>
      </c>
      <c r="BW28" s="10">
        <f t="shared" si="64"/>
        <v>4137.5028602082684</v>
      </c>
      <c r="BX28" s="10">
        <f t="shared" si="64"/>
        <v>4054.752803004103</v>
      </c>
      <c r="BY28" s="10">
        <f t="shared" si="64"/>
        <v>3973.6577469440208</v>
      </c>
      <c r="BZ28" s="10">
        <f t="shared" si="64"/>
        <v>3894.1845920051405</v>
      </c>
      <c r="CA28" s="10">
        <f t="shared" si="64"/>
        <v>3816.3009001650375</v>
      </c>
      <c r="CB28" s="10">
        <f t="shared" si="64"/>
        <v>3739.9748821617368</v>
      </c>
      <c r="CC28" s="10">
        <f t="shared" si="64"/>
        <v>3665.1753845185021</v>
      </c>
      <c r="CD28" s="10">
        <f t="shared" si="64"/>
        <v>3591.8718768281319</v>
      </c>
      <c r="CE28" s="10">
        <f t="shared" si="64"/>
        <v>3520.034439291569</v>
      </c>
      <c r="CF28" s="10">
        <f t="shared" si="64"/>
        <v>3449.6337505057377</v>
      </c>
      <c r="CG28" s="10">
        <f t="shared" ref="CG28:DT28" si="65">CF28*($F$2+1)</f>
        <v>3380.6410754956228</v>
      </c>
      <c r="CH28" s="10">
        <f t="shared" si="65"/>
        <v>3313.0282539857103</v>
      </c>
      <c r="CI28" s="10">
        <f t="shared" si="65"/>
        <v>3246.7676889059962</v>
      </c>
      <c r="CJ28" s="10">
        <f t="shared" si="65"/>
        <v>3181.8323351278764</v>
      </c>
      <c r="CK28" s="10">
        <f t="shared" si="65"/>
        <v>3118.1956884253186</v>
      </c>
      <c r="CL28" s="10">
        <f t="shared" si="65"/>
        <v>3055.8317746568123</v>
      </c>
      <c r="CM28" s="10">
        <f t="shared" si="65"/>
        <v>2994.7151391636762</v>
      </c>
      <c r="CN28" s="10">
        <f t="shared" si="65"/>
        <v>2934.8208363804029</v>
      </c>
      <c r="CO28" s="10">
        <f t="shared" si="65"/>
        <v>2876.1244196527946</v>
      </c>
      <c r="CP28" s="10">
        <f t="shared" si="65"/>
        <v>2818.6019312597386</v>
      </c>
      <c r="CQ28" s="10">
        <f t="shared" si="65"/>
        <v>2762.2298926345438</v>
      </c>
      <c r="CR28" s="10">
        <f t="shared" si="65"/>
        <v>2706.9852947818531</v>
      </c>
      <c r="CS28" s="10">
        <f t="shared" si="65"/>
        <v>2652.8455888862159</v>
      </c>
      <c r="CT28" s="10">
        <f t="shared" si="65"/>
        <v>2599.7886771084914</v>
      </c>
      <c r="CU28" s="10">
        <f t="shared" si="65"/>
        <v>2547.7929035663215</v>
      </c>
      <c r="CV28" s="10">
        <f t="shared" si="65"/>
        <v>2496.837045494995</v>
      </c>
      <c r="CW28" s="10">
        <f t="shared" si="65"/>
        <v>2446.900304585095</v>
      </c>
      <c r="CX28" s="10">
        <f t="shared" si="65"/>
        <v>2397.9622984933931</v>
      </c>
      <c r="CY28" s="10">
        <f t="shared" si="65"/>
        <v>2350.0030525235252</v>
      </c>
      <c r="CZ28" s="10">
        <f t="shared" si="65"/>
        <v>2303.0029914730549</v>
      </c>
      <c r="DA28" s="10">
        <f t="shared" si="65"/>
        <v>2256.9429316435935</v>
      </c>
      <c r="DB28" s="10">
        <f t="shared" si="65"/>
        <v>2211.8040730107218</v>
      </c>
      <c r="DC28" s="10">
        <f t="shared" si="65"/>
        <v>2167.5679915505075</v>
      </c>
      <c r="DD28" s="10">
        <f t="shared" si="65"/>
        <v>2124.2166317194974</v>
      </c>
      <c r="DE28" s="10">
        <f t="shared" si="65"/>
        <v>2081.7322990851076</v>
      </c>
      <c r="DF28" s="10">
        <f t="shared" si="65"/>
        <v>2040.0976531034055</v>
      </c>
      <c r="DG28" s="10">
        <f t="shared" si="65"/>
        <v>1999.2957000413373</v>
      </c>
      <c r="DH28" s="10">
        <f t="shared" si="65"/>
        <v>1959.3097860405105</v>
      </c>
      <c r="DI28" s="10">
        <f t="shared" si="65"/>
        <v>1920.1235903197003</v>
      </c>
      <c r="DJ28" s="10">
        <f t="shared" si="65"/>
        <v>1881.7211185133062</v>
      </c>
      <c r="DK28" s="10">
        <f t="shared" si="65"/>
        <v>1844.0866961430402</v>
      </c>
      <c r="DL28" s="10">
        <f t="shared" si="65"/>
        <v>1807.2049622201794</v>
      </c>
      <c r="DM28" s="10">
        <f t="shared" si="65"/>
        <v>1771.0608629757758</v>
      </c>
      <c r="DN28" s="10">
        <f t="shared" si="65"/>
        <v>1735.6396457162602</v>
      </c>
      <c r="DO28" s="10">
        <f t="shared" si="65"/>
        <v>1700.926852801935</v>
      </c>
      <c r="DP28" s="10">
        <f t="shared" si="65"/>
        <v>1666.9083157458963</v>
      </c>
      <c r="DQ28" s="10">
        <f t="shared" si="65"/>
        <v>1633.5701494309783</v>
      </c>
      <c r="DR28" s="10">
        <f t="shared" si="65"/>
        <v>1600.8987464423587</v>
      </c>
      <c r="DS28" s="10">
        <f t="shared" si="65"/>
        <v>1568.8807715135115</v>
      </c>
      <c r="DT28" s="10">
        <f t="shared" si="65"/>
        <v>1537.5031560832413</v>
      </c>
    </row>
    <row r="29" spans="1:124" s="2" customFormat="1" x14ac:dyDescent="0.15">
      <c r="A29" s="3" t="s">
        <v>40</v>
      </c>
      <c r="B29" s="29">
        <f t="shared" ref="B29:G29" si="66">B28/B30</f>
        <v>36.097914639497837</v>
      </c>
      <c r="C29" s="29">
        <f t="shared" si="66"/>
        <v>45.697150293268955</v>
      </c>
      <c r="D29" s="29">
        <f t="shared" si="66"/>
        <v>49.483457058128039</v>
      </c>
      <c r="E29" s="29">
        <f t="shared" si="66"/>
        <v>42.642942822870815</v>
      </c>
      <c r="F29" s="29">
        <f t="shared" si="66"/>
        <v>75.569571792614767</v>
      </c>
      <c r="G29" s="29">
        <f t="shared" si="66"/>
        <v>85.771319410161198</v>
      </c>
      <c r="H29" s="18">
        <f>H28/H30</f>
        <v>101.14012718613537</v>
      </c>
      <c r="I29" s="18">
        <f t="shared" ref="I29:K29" si="67">I28/I30</f>
        <v>106.96595762339791</v>
      </c>
      <c r="J29" s="18">
        <f t="shared" si="67"/>
        <v>112.02885433187335</v>
      </c>
      <c r="K29" s="18">
        <f t="shared" si="67"/>
        <v>115.93095252837132</v>
      </c>
      <c r="L29" s="18">
        <f t="shared" ref="L29" si="68">L28/L30</f>
        <v>118.16366246997984</v>
      </c>
      <c r="M29" s="18">
        <f t="shared" ref="M29" si="69">M28/M30</f>
        <v>139.14920052889383</v>
      </c>
      <c r="N29" s="18">
        <f t="shared" ref="N29" si="70">N28/N30</f>
        <v>160.53266381876199</v>
      </c>
      <c r="O29" s="18">
        <f t="shared" ref="O29" si="71">O28/O30</f>
        <v>182.36650784199361</v>
      </c>
      <c r="P29" s="18">
        <f t="shared" ref="P29" si="72">P28/P30</f>
        <v>204.70419152263031</v>
      </c>
      <c r="Q29" s="18">
        <f t="shared" ref="Q29" si="73">Q28/Q30</f>
        <v>227.60030820782882</v>
      </c>
      <c r="R29" s="18">
        <f t="shared" ref="R29" si="74">R28/R30</f>
        <v>251.11071918078935</v>
      </c>
      <c r="S29" s="18">
        <f t="shared" ref="S29" si="75">S28/S30</f>
        <v>275.29269001257256</v>
      </c>
      <c r="T29" s="14"/>
      <c r="U29" s="14"/>
      <c r="V29" s="14"/>
      <c r="W29" s="14"/>
      <c r="X29" s="14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</row>
    <row r="30" spans="1:124" s="2" customFormat="1" x14ac:dyDescent="0.15">
      <c r="A30" s="3" t="s">
        <v>1</v>
      </c>
      <c r="B30" s="14">
        <v>52.412999999999997</v>
      </c>
      <c r="C30" s="14">
        <v>53.023000000000003</v>
      </c>
      <c r="D30" s="14">
        <v>51.593000000000004</v>
      </c>
      <c r="E30" s="14">
        <f>Reports!E24</f>
        <v>50.02</v>
      </c>
      <c r="F30" s="14">
        <f>Reports!I24</f>
        <v>48.679000000000002</v>
      </c>
      <c r="G30" s="14">
        <f>Reports!M24</f>
        <v>46.588999999999999</v>
      </c>
      <c r="H30" s="14">
        <f>G30</f>
        <v>46.588999999999999</v>
      </c>
      <c r="I30" s="14">
        <f t="shared" ref="I30:K30" si="76">H30</f>
        <v>46.588999999999999</v>
      </c>
      <c r="J30" s="14">
        <f t="shared" si="76"/>
        <v>46.588999999999999</v>
      </c>
      <c r="K30" s="14">
        <f t="shared" si="76"/>
        <v>46.588999999999999</v>
      </c>
      <c r="L30" s="14">
        <f t="shared" ref="L30:S30" si="77">K30</f>
        <v>46.588999999999999</v>
      </c>
      <c r="M30" s="14">
        <f t="shared" si="77"/>
        <v>46.588999999999999</v>
      </c>
      <c r="N30" s="14">
        <f t="shared" si="77"/>
        <v>46.588999999999999</v>
      </c>
      <c r="O30" s="14">
        <f t="shared" si="77"/>
        <v>46.588999999999999</v>
      </c>
      <c r="P30" s="14">
        <f t="shared" si="77"/>
        <v>46.588999999999999</v>
      </c>
      <c r="Q30" s="14">
        <f t="shared" si="77"/>
        <v>46.588999999999999</v>
      </c>
      <c r="R30" s="14">
        <f t="shared" si="77"/>
        <v>46.588999999999999</v>
      </c>
      <c r="S30" s="14">
        <f t="shared" si="77"/>
        <v>46.588999999999999</v>
      </c>
      <c r="T30" s="14"/>
      <c r="U30" s="14"/>
      <c r="V30" s="14"/>
      <c r="W30" s="14"/>
      <c r="X30" s="14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</row>
    <row r="31" spans="1:124" s="2" customFormat="1" x14ac:dyDescent="0.15">
      <c r="A31" s="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</row>
    <row r="32" spans="1:124" s="2" customFormat="1" x14ac:dyDescent="0.15">
      <c r="A32" s="3" t="s">
        <v>41</v>
      </c>
      <c r="B32" s="30">
        <f t="shared" ref="B32" si="78">IFERROR(B19/B17,0)</f>
        <v>0.57662299425879582</v>
      </c>
      <c r="C32" s="30">
        <f t="shared" ref="C32:D32" si="79">IFERROR(C19/C17,0)</f>
        <v>0.61881070836294716</v>
      </c>
      <c r="D32" s="30">
        <f t="shared" si="79"/>
        <v>0.62825238508239378</v>
      </c>
      <c r="E32" s="30">
        <f t="shared" ref="E32" si="80">IFERROR(E19/E17,0)</f>
        <v>0.63632132551428833</v>
      </c>
      <c r="F32" s="30">
        <f t="shared" ref="F32:G32" si="81">IFERROR(F19/F17,0)</f>
        <v>0.65404936519201951</v>
      </c>
      <c r="G32" s="20">
        <f t="shared" si="81"/>
        <v>0.69381713026714409</v>
      </c>
      <c r="H32" s="20">
        <f t="shared" ref="H32:K32" si="82">IFERROR(H19/H17,0)</f>
        <v>0.69381713026714409</v>
      </c>
      <c r="I32" s="20">
        <f t="shared" si="82"/>
        <v>0.69381713026714409</v>
      </c>
      <c r="J32" s="20">
        <f t="shared" si="82"/>
        <v>0.69381713026714409</v>
      </c>
      <c r="K32" s="20">
        <f t="shared" si="82"/>
        <v>0.69381713026714409</v>
      </c>
      <c r="L32" s="20">
        <f t="shared" ref="L32:S32" si="83">IFERROR(L19/L17,0)</f>
        <v>0.69381713026714409</v>
      </c>
      <c r="M32" s="20">
        <f t="shared" si="83"/>
        <v>0.69381713026714409</v>
      </c>
      <c r="N32" s="20">
        <f t="shared" si="83"/>
        <v>0.69381713026714409</v>
      </c>
      <c r="O32" s="20">
        <f t="shared" si="83"/>
        <v>0.69381713026714409</v>
      </c>
      <c r="P32" s="20">
        <f t="shared" si="83"/>
        <v>0.69381713026714409</v>
      </c>
      <c r="Q32" s="20">
        <f t="shared" si="83"/>
        <v>0.69381713026714409</v>
      </c>
      <c r="R32" s="20">
        <f t="shared" si="83"/>
        <v>0.69381713026714409</v>
      </c>
      <c r="S32" s="20">
        <f t="shared" si="83"/>
        <v>0.69381713026714409</v>
      </c>
      <c r="T32" s="14"/>
      <c r="U32" s="14"/>
      <c r="V32" s="14"/>
      <c r="W32" s="14"/>
      <c r="X32" s="14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</row>
    <row r="33" spans="1:124" s="2" customFormat="1" x14ac:dyDescent="0.15">
      <c r="A33" s="3" t="s">
        <v>42</v>
      </c>
      <c r="B33" s="31">
        <f t="shared" ref="B33" si="84">IFERROR(B24/B17,0)</f>
        <v>0.35507139702635065</v>
      </c>
      <c r="C33" s="31">
        <f t="shared" ref="C33:D33" si="85">IFERROR(C24/C17,0)</f>
        <v>0.36413172234067759</v>
      </c>
      <c r="D33" s="31">
        <f t="shared" si="85"/>
        <v>0.35342584562012141</v>
      </c>
      <c r="E33" s="31">
        <f t="shared" ref="E33" si="86">IFERROR(E24/E17,0)</f>
        <v>0.27040863818300276</v>
      </c>
      <c r="F33" s="31">
        <f t="shared" ref="F33:G33" si="87">IFERROR(F24/F17,0)</f>
        <v>0.35777935494046209</v>
      </c>
      <c r="G33" s="19">
        <f t="shared" si="87"/>
        <v>0.36746075461305427</v>
      </c>
      <c r="H33" s="19">
        <f t="shared" ref="H33:K33" si="88">IFERROR(H24/H17,0)</f>
        <v>0.34632143303120111</v>
      </c>
      <c r="I33" s="19">
        <f t="shared" si="88"/>
        <v>0.32381283862283911</v>
      </c>
      <c r="J33" s="19">
        <f t="shared" si="88"/>
        <v>0.29984627847196577</v>
      </c>
      <c r="K33" s="19">
        <f t="shared" si="88"/>
        <v>0.27432731469108917</v>
      </c>
      <c r="L33" s="19">
        <f t="shared" ref="L33:S33" si="89">IFERROR(L24/L17,0)</f>
        <v>0.24715539229796407</v>
      </c>
      <c r="M33" s="19">
        <f t="shared" si="89"/>
        <v>0.27704143315814417</v>
      </c>
      <c r="N33" s="19">
        <f t="shared" si="89"/>
        <v>0.30412300566432959</v>
      </c>
      <c r="O33" s="19">
        <f t="shared" si="89"/>
        <v>0.32866441395726109</v>
      </c>
      <c r="P33" s="19">
        <f t="shared" si="89"/>
        <v>0.35090497622698202</v>
      </c>
      <c r="Q33" s="19">
        <f t="shared" si="89"/>
        <v>0.37106139193570747</v>
      </c>
      <c r="R33" s="19">
        <f t="shared" si="89"/>
        <v>0.38932988441699751</v>
      </c>
      <c r="S33" s="19">
        <f t="shared" si="89"/>
        <v>0.40588814018888936</v>
      </c>
      <c r="T33" s="14"/>
      <c r="U33" s="14"/>
      <c r="V33" s="14"/>
      <c r="W33" s="14"/>
      <c r="X33" s="14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</row>
    <row r="34" spans="1:124" s="2" customFormat="1" x14ac:dyDescent="0.15">
      <c r="A34" s="3" t="s">
        <v>43</v>
      </c>
      <c r="B34" s="31">
        <f t="shared" ref="B34" si="90">IFERROR(B27/B26,0)</f>
        <v>0.1759581881533101</v>
      </c>
      <c r="C34" s="31">
        <f t="shared" ref="C34:D34" si="91">IFERROR(C27/C26,0)</f>
        <v>0.18990304246071549</v>
      </c>
      <c r="D34" s="31">
        <f t="shared" si="91"/>
        <v>0.18434504792332268</v>
      </c>
      <c r="E34" s="31">
        <f t="shared" ref="E34" si="92">IFERROR(E27/E26,0)</f>
        <v>0.21349557522123908</v>
      </c>
      <c r="F34" s="31">
        <f t="shared" ref="F34:G34" si="93">IFERROR(F27/F26,0)</f>
        <v>0.16337248458205716</v>
      </c>
      <c r="G34" s="19">
        <f t="shared" si="93"/>
        <v>0.17318435754189945</v>
      </c>
      <c r="H34" s="19">
        <f t="shared" ref="H34:K34" si="94">IFERROR(H27/H26,0)</f>
        <v>0.17318435754189945</v>
      </c>
      <c r="I34" s="19">
        <f t="shared" si="94"/>
        <v>0.17318435754189945</v>
      </c>
      <c r="J34" s="19">
        <f t="shared" si="94"/>
        <v>0.17318435754189945</v>
      </c>
      <c r="K34" s="19">
        <f t="shared" si="94"/>
        <v>0.17318435754189945</v>
      </c>
      <c r="L34" s="19">
        <f t="shared" ref="L34:S34" si="95">IFERROR(L27/L26,0)</f>
        <v>0.17318435754189945</v>
      </c>
      <c r="M34" s="19">
        <f t="shared" si="95"/>
        <v>0.17318435754189945</v>
      </c>
      <c r="N34" s="19">
        <f t="shared" si="95"/>
        <v>0.17318435754189945</v>
      </c>
      <c r="O34" s="19">
        <f t="shared" si="95"/>
        <v>0.17318435754189945</v>
      </c>
      <c r="P34" s="19">
        <f t="shared" si="95"/>
        <v>0.17318435754189945</v>
      </c>
      <c r="Q34" s="19">
        <f t="shared" si="95"/>
        <v>0.17318435754189945</v>
      </c>
      <c r="R34" s="19">
        <f t="shared" si="95"/>
        <v>0.17318435754189945</v>
      </c>
      <c r="S34" s="19">
        <f t="shared" si="95"/>
        <v>0.17318435754189945</v>
      </c>
      <c r="T34" s="14"/>
      <c r="U34" s="14"/>
      <c r="V34" s="14"/>
      <c r="W34" s="14"/>
      <c r="X34" s="14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</row>
    <row r="35" spans="1:124" s="2" customFormat="1" x14ac:dyDescent="0.1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</row>
    <row r="36" spans="1:124" s="2" customFormat="1" x14ac:dyDescent="0.15">
      <c r="A36" s="2" t="s">
        <v>2</v>
      </c>
      <c r="B36" s="33"/>
      <c r="C36" s="33">
        <f>C17/B17-1</f>
        <v>0.24274988959222732</v>
      </c>
      <c r="D36" s="33">
        <f t="shared" ref="D36" si="96">D17/C17-1</f>
        <v>9.2632077706704674E-2</v>
      </c>
      <c r="E36" s="33">
        <f t="shared" ref="E36" si="97">E17/D17-1</f>
        <v>0.16467909800520353</v>
      </c>
      <c r="F36" s="33">
        <f t="shared" ref="F36:G36" si="98">F17/E17-1</f>
        <v>0.18039653728008953</v>
      </c>
      <c r="G36" s="33">
        <f t="shared" si="98"/>
        <v>0.1453355413610915</v>
      </c>
      <c r="H36" s="33">
        <f>H17/G17-1</f>
        <v>0.127</v>
      </c>
      <c r="I36" s="33">
        <f>I17/H17-1</f>
        <v>0.12699999999999978</v>
      </c>
      <c r="J36" s="33">
        <f>J17/I17-1</f>
        <v>0.127</v>
      </c>
      <c r="K36" s="33">
        <f>K17/J17-1</f>
        <v>0.12700000000000022</v>
      </c>
      <c r="L36" s="33">
        <f t="shared" ref="L36:S36" si="99">L17/K17-1</f>
        <v>0.12699999999999978</v>
      </c>
      <c r="M36" s="33">
        <f t="shared" si="99"/>
        <v>5.0000000000000044E-2</v>
      </c>
      <c r="N36" s="33">
        <f t="shared" si="99"/>
        <v>5.0000000000000044E-2</v>
      </c>
      <c r="O36" s="33">
        <f t="shared" si="99"/>
        <v>5.0000000000000044E-2</v>
      </c>
      <c r="P36" s="33">
        <f t="shared" si="99"/>
        <v>5.0000000000000044E-2</v>
      </c>
      <c r="Q36" s="33">
        <f t="shared" si="99"/>
        <v>5.0000000000000044E-2</v>
      </c>
      <c r="R36" s="33">
        <f t="shared" si="99"/>
        <v>5.0000000000000044E-2</v>
      </c>
      <c r="S36" s="33">
        <f t="shared" si="99"/>
        <v>5.0000000000000044E-2</v>
      </c>
      <c r="T36" s="14"/>
      <c r="U36" s="14"/>
      <c r="V36" s="14"/>
      <c r="W36" s="14"/>
      <c r="X36" s="14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</row>
    <row r="37" spans="1:124" s="2" customFormat="1" x14ac:dyDescent="0.15">
      <c r="A37" s="3" t="s">
        <v>44</v>
      </c>
      <c r="B37" s="14"/>
      <c r="C37" s="20">
        <f>C20/B20-1</f>
        <v>0.34722222222222232</v>
      </c>
      <c r="D37" s="20">
        <f t="shared" ref="D37:G37" si="100">D20/C20-1</f>
        <v>0.17525773195876293</v>
      </c>
      <c r="E37" s="20">
        <f t="shared" si="100"/>
        <v>0.2456140350877194</v>
      </c>
      <c r="F37" s="20">
        <f t="shared" si="100"/>
        <v>0.3380281690140845</v>
      </c>
      <c r="G37" s="20">
        <f t="shared" si="100"/>
        <v>0.22631578947368425</v>
      </c>
      <c r="H37" s="20">
        <f t="shared" ref="H37:K37" si="101">H20/G20-1</f>
        <v>0.19999999999999996</v>
      </c>
      <c r="I37" s="20">
        <f t="shared" si="101"/>
        <v>0.19999999999999996</v>
      </c>
      <c r="J37" s="20">
        <f t="shared" si="101"/>
        <v>0.19999999999999996</v>
      </c>
      <c r="K37" s="20">
        <f t="shared" si="101"/>
        <v>0.19999999999999996</v>
      </c>
      <c r="L37" s="20">
        <f t="shared" ref="L37:S37" si="102">L20/K20-1</f>
        <v>0.19999999999999996</v>
      </c>
      <c r="M37" s="20">
        <f t="shared" si="102"/>
        <v>-2.0000000000000018E-2</v>
      </c>
      <c r="N37" s="20">
        <f t="shared" si="102"/>
        <v>-1.9999999999999907E-2</v>
      </c>
      <c r="O37" s="20">
        <f t="shared" si="102"/>
        <v>-2.0000000000000018E-2</v>
      </c>
      <c r="P37" s="20">
        <f t="shared" si="102"/>
        <v>-2.0000000000000129E-2</v>
      </c>
      <c r="Q37" s="20">
        <f t="shared" si="102"/>
        <v>-1.9999999999999907E-2</v>
      </c>
      <c r="R37" s="20">
        <f t="shared" si="102"/>
        <v>-2.0000000000000018E-2</v>
      </c>
      <c r="S37" s="20">
        <f t="shared" si="102"/>
        <v>-2.0000000000000018E-2</v>
      </c>
      <c r="T37" s="14"/>
      <c r="U37" s="14"/>
      <c r="V37" s="14"/>
      <c r="W37" s="14"/>
      <c r="X37" s="14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</row>
    <row r="38" spans="1:124" s="2" customFormat="1" x14ac:dyDescent="0.15">
      <c r="A38" s="3" t="s">
        <v>45</v>
      </c>
      <c r="B38" s="14"/>
      <c r="C38" s="20">
        <f t="shared" ref="C38:G39" si="103">C21/B21-1</f>
        <v>0.49311294765840219</v>
      </c>
      <c r="D38" s="20">
        <f t="shared" si="103"/>
        <v>4.7970479704797064E-2</v>
      </c>
      <c r="E38" s="20">
        <f t="shared" si="103"/>
        <v>0.28873239436619724</v>
      </c>
      <c r="F38" s="20">
        <f t="shared" si="103"/>
        <v>0.30601092896174853</v>
      </c>
      <c r="G38" s="20">
        <f>G21/F21-1</f>
        <v>0.40167364016736395</v>
      </c>
      <c r="H38" s="20">
        <f t="shared" ref="H38:K38" si="104">H21/G21-1</f>
        <v>0.19999999999999996</v>
      </c>
      <c r="I38" s="20">
        <f t="shared" si="104"/>
        <v>0.19999999999999996</v>
      </c>
      <c r="J38" s="20">
        <f t="shared" si="104"/>
        <v>0.19999999999999996</v>
      </c>
      <c r="K38" s="20">
        <f t="shared" si="104"/>
        <v>0.19999999999999996</v>
      </c>
      <c r="L38" s="20">
        <f t="shared" ref="L38:S38" si="105">L21/K21-1</f>
        <v>0.19999999999999996</v>
      </c>
      <c r="M38" s="20">
        <f t="shared" si="105"/>
        <v>5.0000000000000044E-2</v>
      </c>
      <c r="N38" s="20">
        <f t="shared" si="105"/>
        <v>5.0000000000000044E-2</v>
      </c>
      <c r="O38" s="20">
        <f t="shared" si="105"/>
        <v>5.0000000000000044E-2</v>
      </c>
      <c r="P38" s="20">
        <f t="shared" si="105"/>
        <v>5.0000000000000044E-2</v>
      </c>
      <c r="Q38" s="20">
        <f t="shared" si="105"/>
        <v>5.0000000000000044E-2</v>
      </c>
      <c r="R38" s="20">
        <f t="shared" si="105"/>
        <v>5.0000000000000044E-2</v>
      </c>
      <c r="S38" s="20">
        <f t="shared" si="105"/>
        <v>5.0000000000000044E-2</v>
      </c>
      <c r="T38" s="14"/>
      <c r="U38" s="14"/>
      <c r="V38" s="14"/>
      <c r="W38" s="14"/>
      <c r="X38" s="14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</row>
    <row r="39" spans="1:124" s="2" customFormat="1" x14ac:dyDescent="0.15">
      <c r="A39" s="3" t="s">
        <v>46</v>
      </c>
      <c r="B39" s="14"/>
      <c r="C39" s="20">
        <f t="shared" si="103"/>
        <v>0.41214953271028043</v>
      </c>
      <c r="D39" s="20">
        <f t="shared" si="103"/>
        <v>0.22634017207147594</v>
      </c>
      <c r="E39" s="20">
        <f t="shared" si="103"/>
        <v>0.64975715056664862</v>
      </c>
      <c r="F39" s="20">
        <f>F22/E22-1</f>
        <v>-0.14589466797513906</v>
      </c>
      <c r="G39" s="20">
        <f t="shared" si="103"/>
        <v>0.21294523171198776</v>
      </c>
      <c r="H39" s="20">
        <f t="shared" ref="H39:K39" si="106">H22/G22-1</f>
        <v>0.19999999999999996</v>
      </c>
      <c r="I39" s="20">
        <f t="shared" si="106"/>
        <v>0.19999999999999996</v>
      </c>
      <c r="J39" s="20">
        <f t="shared" si="106"/>
        <v>0.19999999999999996</v>
      </c>
      <c r="K39" s="20">
        <f t="shared" si="106"/>
        <v>0.19999999999999996</v>
      </c>
      <c r="L39" s="20">
        <f t="shared" ref="L39:S39" si="107">L22/K22-1</f>
        <v>0.19999999999999996</v>
      </c>
      <c r="M39" s="20">
        <f t="shared" si="107"/>
        <v>-5.0000000000000044E-2</v>
      </c>
      <c r="N39" s="20">
        <f t="shared" si="107"/>
        <v>-5.0000000000000044E-2</v>
      </c>
      <c r="O39" s="20">
        <f t="shared" si="107"/>
        <v>-5.0000000000000044E-2</v>
      </c>
      <c r="P39" s="20">
        <f t="shared" si="107"/>
        <v>-5.0000000000000044E-2</v>
      </c>
      <c r="Q39" s="20">
        <f t="shared" si="107"/>
        <v>-5.0000000000000044E-2</v>
      </c>
      <c r="R39" s="20">
        <f t="shared" si="107"/>
        <v>-4.9999999999999933E-2</v>
      </c>
      <c r="S39" s="20">
        <f t="shared" si="107"/>
        <v>-4.9999999999999933E-2</v>
      </c>
      <c r="T39" s="14"/>
      <c r="U39" s="14"/>
      <c r="V39" s="14"/>
      <c r="W39" s="14"/>
      <c r="X39" s="14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</row>
    <row r="40" spans="1:124" s="2" customFormat="1" x14ac:dyDescent="0.1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</row>
    <row r="41" spans="1:124" s="2" customFormat="1" x14ac:dyDescent="0.15">
      <c r="A41" s="2" t="s">
        <v>3</v>
      </c>
      <c r="B41" s="10">
        <f t="shared" ref="B41:G41" si="108">B42-B43</f>
        <v>4860</v>
      </c>
      <c r="C41" s="10">
        <f t="shared" si="108"/>
        <v>4187</v>
      </c>
      <c r="D41" s="10">
        <f t="shared" si="108"/>
        <v>4422</v>
      </c>
      <c r="E41" s="10">
        <f t="shared" si="108"/>
        <v>6723</v>
      </c>
      <c r="F41" s="10">
        <f t="shared" si="108"/>
        <v>8754</v>
      </c>
      <c r="G41" s="10">
        <f t="shared" si="108"/>
        <v>6043</v>
      </c>
      <c r="H41" s="17">
        <f>G41+H28</f>
        <v>10755.017385474861</v>
      </c>
      <c r="I41" s="17">
        <f t="shared" ref="I41:K41" si="109">H41+I28</f>
        <v>15738.454385191346</v>
      </c>
      <c r="J41" s="17">
        <f t="shared" si="109"/>
        <v>20957.766679658991</v>
      </c>
      <c r="K41" s="17">
        <f t="shared" si="109"/>
        <v>26358.873827003285</v>
      </c>
      <c r="L41" s="17">
        <f t="shared" ref="L41:S41" si="110">K41+L28</f>
        <v>31864.000697817173</v>
      </c>
      <c r="M41" s="17">
        <f t="shared" si="110"/>
        <v>38346.822801257804</v>
      </c>
      <c r="N41" s="17">
        <f t="shared" si="110"/>
        <v>45825.879075910103</v>
      </c>
      <c r="O41" s="17">
        <f t="shared" si="110"/>
        <v>54322.152309760742</v>
      </c>
      <c r="P41" s="17">
        <f t="shared" si="110"/>
        <v>63859.115888608561</v>
      </c>
      <c r="Q41" s="17">
        <f t="shared" si="110"/>
        <v>74462.786647703091</v>
      </c>
      <c r="R41" s="17">
        <f t="shared" si="110"/>
        <v>86161.783943616887</v>
      </c>
      <c r="S41" s="17">
        <f t="shared" si="110"/>
        <v>98987.395078612637</v>
      </c>
      <c r="T41" s="17"/>
      <c r="U41" s="17"/>
      <c r="V41" s="17"/>
      <c r="W41" s="17"/>
      <c r="X41" s="17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</row>
    <row r="42" spans="1:124" s="2" customFormat="1" x14ac:dyDescent="0.15">
      <c r="A42" s="3" t="s">
        <v>47</v>
      </c>
      <c r="B42" s="14">
        <f>1290+10+5463</f>
        <v>6763</v>
      </c>
      <c r="C42" s="14">
        <f>3149+1+1142+3756</f>
        <v>8048</v>
      </c>
      <c r="D42" s="14">
        <f>1477+1+1171+7931</f>
        <v>10580</v>
      </c>
      <c r="E42" s="14">
        <f>Reports!E36</f>
        <v>13891</v>
      </c>
      <c r="F42" s="14">
        <f>Reports!I36</f>
        <v>18275</v>
      </c>
      <c r="G42" s="14">
        <f>Reports!M36</f>
        <v>14692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</row>
    <row r="43" spans="1:124" s="2" customFormat="1" x14ac:dyDescent="0.15">
      <c r="A43" s="3" t="s">
        <v>48</v>
      </c>
      <c r="B43" s="14">
        <f>152+1742+9</f>
        <v>1903</v>
      </c>
      <c r="C43" s="14">
        <f>37+3824</f>
        <v>3861</v>
      </c>
      <c r="D43" s="14">
        <v>6158</v>
      </c>
      <c r="E43" s="14">
        <f>Reports!E37</f>
        <v>7168</v>
      </c>
      <c r="F43" s="14">
        <f>Reports!I37</f>
        <v>9521</v>
      </c>
      <c r="G43" s="14">
        <f>Reports!M37</f>
        <v>8649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</row>
    <row r="44" spans="1:124" s="2" customFormat="1" x14ac:dyDescent="0.15">
      <c r="A44" s="3"/>
      <c r="B44" s="14"/>
      <c r="C44" s="14"/>
      <c r="D44" s="14"/>
      <c r="E44" s="14"/>
      <c r="F44" s="14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</row>
    <row r="45" spans="1:124" s="2" customFormat="1" x14ac:dyDescent="0.15">
      <c r="A45" s="3" t="s">
        <v>49</v>
      </c>
      <c r="B45" s="14">
        <f>1020+1768</f>
        <v>2788</v>
      </c>
      <c r="C45" s="14">
        <f>2335+3326</f>
        <v>5661</v>
      </c>
      <c r="D45" s="14">
        <f>2168+2275</f>
        <v>4443</v>
      </c>
      <c r="E45" s="14">
        <f>Reports!E39</f>
        <v>4391</v>
      </c>
      <c r="F45" s="14">
        <f>Reports!I39</f>
        <v>4915</v>
      </c>
      <c r="G45" s="14">
        <f>Reports!M39</f>
        <v>5035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</row>
    <row r="46" spans="1:124" s="2" customFormat="1" x14ac:dyDescent="0.15">
      <c r="A46" s="3" t="s">
        <v>50</v>
      </c>
      <c r="B46" s="14">
        <v>10444</v>
      </c>
      <c r="C46" s="14">
        <v>14771</v>
      </c>
      <c r="D46" s="14">
        <v>17421</v>
      </c>
      <c r="E46" s="14">
        <f>Reports!E40</f>
        <v>19839</v>
      </c>
      <c r="F46" s="14">
        <f>Reports!I40</f>
        <v>25451</v>
      </c>
      <c r="G46" s="14">
        <f>Reports!M40</f>
        <v>22687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</row>
    <row r="47" spans="1:124" s="2" customFormat="1" x14ac:dyDescent="0.15">
      <c r="A47" s="3" t="s">
        <v>51</v>
      </c>
      <c r="B47" s="14">
        <v>3526</v>
      </c>
      <c r="C47" s="14">
        <v>6204</v>
      </c>
      <c r="D47" s="14">
        <v>8625</v>
      </c>
      <c r="E47" s="14">
        <f>Reports!E41</f>
        <v>9990</v>
      </c>
      <c r="F47" s="14">
        <f>Reports!I41</f>
        <v>14188</v>
      </c>
      <c r="G47" s="14">
        <f>Reports!M41</f>
        <v>13902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1:124" s="2" customFormat="1" x14ac:dyDescent="0.15">
      <c r="A48" s="3"/>
      <c r="B48" s="14"/>
      <c r="C48" s="14"/>
      <c r="D48" s="14"/>
      <c r="E48" s="14"/>
      <c r="F48" s="14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1:124" s="2" customFormat="1" x14ac:dyDescent="0.15">
      <c r="A49" s="3" t="s">
        <v>52</v>
      </c>
      <c r="B49" s="34">
        <f t="shared" ref="B49:G49" si="111">B46-B45-B42</f>
        <v>893</v>
      </c>
      <c r="C49" s="34">
        <f t="shared" si="111"/>
        <v>1062</v>
      </c>
      <c r="D49" s="34">
        <f t="shared" si="111"/>
        <v>2398</v>
      </c>
      <c r="E49" s="34">
        <f t="shared" si="111"/>
        <v>1557</v>
      </c>
      <c r="F49" s="34">
        <f t="shared" si="111"/>
        <v>2261</v>
      </c>
      <c r="G49" s="34">
        <f t="shared" si="111"/>
        <v>2960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</row>
    <row r="50" spans="1:124" s="2" customFormat="1" x14ac:dyDescent="0.15">
      <c r="A50" s="3" t="s">
        <v>53</v>
      </c>
      <c r="B50" s="34">
        <f t="shared" ref="B50:G50" si="112">B46-B47</f>
        <v>6918</v>
      </c>
      <c r="C50" s="34">
        <f t="shared" si="112"/>
        <v>8567</v>
      </c>
      <c r="D50" s="34">
        <f t="shared" si="112"/>
        <v>8796</v>
      </c>
      <c r="E50" s="34">
        <f t="shared" si="112"/>
        <v>9849</v>
      </c>
      <c r="F50" s="34">
        <f t="shared" si="112"/>
        <v>11263</v>
      </c>
      <c r="G50" s="34">
        <f t="shared" si="112"/>
        <v>8785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1:124" s="2" customFormat="1" x14ac:dyDescent="0.15">
      <c r="A51" s="3"/>
      <c r="B51" s="14"/>
      <c r="C51" s="14"/>
      <c r="D51" s="14"/>
      <c r="E51" s="14"/>
      <c r="F51" s="14"/>
      <c r="G51" s="14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1:124" s="2" customFormat="1" x14ac:dyDescent="0.15">
      <c r="A52" s="12" t="s">
        <v>54</v>
      </c>
      <c r="B52" s="35">
        <f t="shared" ref="B52:G52" si="113">B28/B50</f>
        <v>0.27348944781728823</v>
      </c>
      <c r="C52" s="35">
        <f t="shared" si="113"/>
        <v>0.28282946188864244</v>
      </c>
      <c r="D52" s="35">
        <f t="shared" si="113"/>
        <v>0.29024556616643932</v>
      </c>
      <c r="E52" s="35">
        <f t="shared" si="113"/>
        <v>0.21657021017362149</v>
      </c>
      <c r="F52" s="35">
        <f t="shared" si="113"/>
        <v>0.32661379608387592</v>
      </c>
      <c r="G52" s="35">
        <f t="shared" si="113"/>
        <v>0.45486624928856007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1:124" s="2" customFormat="1" x14ac:dyDescent="0.15">
      <c r="A53" s="12" t="s">
        <v>55</v>
      </c>
      <c r="B53" s="35">
        <f t="shared" ref="B53:G53" si="114">B28/B46</f>
        <v>0.18115664496361547</v>
      </c>
      <c r="C53" s="35">
        <f t="shared" si="114"/>
        <v>0.16403764132421636</v>
      </c>
      <c r="D53" s="35">
        <f t="shared" si="114"/>
        <v>0.14654727053556052</v>
      </c>
      <c r="E53" s="35">
        <f t="shared" si="114"/>
        <v>0.10751549977317396</v>
      </c>
      <c r="F53" s="35">
        <f t="shared" si="114"/>
        <v>0.14453857158039743</v>
      </c>
      <c r="G53" s="35">
        <f t="shared" si="114"/>
        <v>0.17613611319257724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</row>
    <row r="54" spans="1:124" s="2" customFormat="1" x14ac:dyDescent="0.15">
      <c r="A54" s="12" t="s">
        <v>56</v>
      </c>
      <c r="B54" s="35">
        <f t="shared" ref="B54:G54" si="115">B28/(B50-B45)</f>
        <v>0.45811138014527847</v>
      </c>
      <c r="C54" s="35">
        <f t="shared" si="115"/>
        <v>0.83379215416379904</v>
      </c>
      <c r="D54" s="35">
        <f t="shared" si="115"/>
        <v>0.58649207443142659</v>
      </c>
      <c r="E54" s="35">
        <f t="shared" si="115"/>
        <v>0.39080249175522136</v>
      </c>
      <c r="F54" s="35">
        <f t="shared" si="115"/>
        <v>0.57949766624018506</v>
      </c>
      <c r="G54" s="35">
        <f t="shared" si="115"/>
        <v>1.0656000000000001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</row>
    <row r="55" spans="1:124" s="2" customFormat="1" x14ac:dyDescent="0.15">
      <c r="A55" s="12" t="s">
        <v>57</v>
      </c>
      <c r="B55" s="35">
        <f t="shared" ref="B55:G55" si="116">B28/B49</f>
        <v>2.1187010078387458</v>
      </c>
      <c r="C55" s="35">
        <f t="shared" si="116"/>
        <v>2.2815442561205272</v>
      </c>
      <c r="D55" s="35">
        <f t="shared" si="116"/>
        <v>1.0646371976647206</v>
      </c>
      <c r="E55" s="35">
        <f t="shared" si="116"/>
        <v>1.3699421965317908</v>
      </c>
      <c r="F55" s="35">
        <f t="shared" si="116"/>
        <v>1.6270018510803603</v>
      </c>
      <c r="G55" s="35">
        <f t="shared" si="116"/>
        <v>1.35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</row>
    <row r="56" spans="1:124" s="2" customFormat="1" x14ac:dyDescent="0.15">
      <c r="A56" s="3"/>
      <c r="B56" s="14"/>
      <c r="C56" s="14"/>
      <c r="D56" s="14"/>
      <c r="E56" s="14"/>
      <c r="F56" s="14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</row>
    <row r="57" spans="1:124" x14ac:dyDescent="0.15">
      <c r="A57" s="13" t="s">
        <v>16</v>
      </c>
      <c r="B57" s="20"/>
      <c r="C57" s="20">
        <f>C10/B10-1</f>
        <v>0.32532305599637268</v>
      </c>
      <c r="D57" s="20">
        <f>D10/C10-1</f>
        <v>0.11666096476223053</v>
      </c>
      <c r="E57" s="20">
        <f>E10/D10-1</f>
        <v>0.22273284313725483</v>
      </c>
      <c r="F57" s="20">
        <f>F10/E10-1</f>
        <v>0.21698822350288149</v>
      </c>
      <c r="G57" s="20">
        <f t="shared" ref="G57" si="117">G10/F10-1</f>
        <v>7.8752316244595333E-2</v>
      </c>
      <c r="H57" s="20"/>
      <c r="I57" s="20"/>
      <c r="J57" s="20"/>
      <c r="K57" s="20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</row>
    <row r="58" spans="1:124" x14ac:dyDescent="0.15">
      <c r="A58" s="13" t="s">
        <v>17</v>
      </c>
      <c r="B58" s="20"/>
      <c r="C58" s="20">
        <f t="shared" ref="C58:F59" si="118">C11/B11-1</f>
        <v>-1.1307100859339614E-2</v>
      </c>
      <c r="D58" s="20">
        <f t="shared" si="118"/>
        <v>-4.7118023787740215E-2</v>
      </c>
      <c r="E58" s="20">
        <f t="shared" si="118"/>
        <v>-1.6802688430148871E-2</v>
      </c>
      <c r="F58" s="20">
        <f t="shared" si="118"/>
        <v>4.150390625E-2</v>
      </c>
      <c r="G58" s="20">
        <f t="shared" ref="G58" si="119">G11/F11-1</f>
        <v>0.40037505860290667</v>
      </c>
      <c r="H58" s="20"/>
      <c r="I58" s="20"/>
      <c r="J58" s="20"/>
      <c r="K58" s="20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</row>
    <row r="59" spans="1:124" x14ac:dyDescent="0.15">
      <c r="A59" s="13" t="s">
        <v>18</v>
      </c>
      <c r="B59" s="20"/>
      <c r="C59" s="20">
        <f t="shared" si="118"/>
        <v>1.3976608187134505</v>
      </c>
      <c r="D59" s="20">
        <f t="shared" si="118"/>
        <v>0.49512195121951219</v>
      </c>
      <c r="E59" s="20">
        <f t="shared" si="118"/>
        <v>0.16313213703099505</v>
      </c>
      <c r="F59" s="20">
        <f t="shared" si="118"/>
        <v>0.16970546984572232</v>
      </c>
      <c r="G59" s="20">
        <f t="shared" ref="G59" si="120">G12/F12-1</f>
        <v>0.26858513189448452</v>
      </c>
      <c r="H59" s="20"/>
      <c r="I59" s="20"/>
      <c r="J59" s="20"/>
      <c r="K59" s="20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</row>
    <row r="60" spans="1:124" x14ac:dyDescent="0.15">
      <c r="A60" s="13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</row>
    <row r="61" spans="1:124" x14ac:dyDescent="0.15">
      <c r="A61" s="6" t="s">
        <v>102</v>
      </c>
      <c r="B61" s="14"/>
      <c r="C61" s="20">
        <f>C14/B14-1</f>
        <v>0.27911275415896486</v>
      </c>
      <c r="D61" s="20">
        <f>D14/C14-1</f>
        <v>0.22341040462427753</v>
      </c>
      <c r="E61" s="20">
        <f>E14/D14-1</f>
        <v>0.31467044649184972</v>
      </c>
      <c r="F61" s="20">
        <f>F14/E14-1</f>
        <v>0.20952380952380967</v>
      </c>
      <c r="G61" s="20">
        <f>G14/F14-1</f>
        <v>0.1285098796612687</v>
      </c>
      <c r="H61" s="20">
        <f t="shared" ref="H61:K61" si="121">H14/G14-1</f>
        <v>0.14999999999999991</v>
      </c>
      <c r="I61" s="20">
        <f t="shared" si="121"/>
        <v>0.14999999999999991</v>
      </c>
      <c r="J61" s="20">
        <f t="shared" si="121"/>
        <v>0.14999999999999991</v>
      </c>
      <c r="K61" s="20">
        <f t="shared" si="121"/>
        <v>0.14999999999999991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</row>
    <row r="62" spans="1:124" x14ac:dyDescent="0.15">
      <c r="A62" s="6" t="s">
        <v>105</v>
      </c>
      <c r="B62" s="14"/>
      <c r="C62" s="20">
        <f>C15/B15-1</f>
        <v>-2.8428193252319378E-2</v>
      </c>
      <c r="D62" s="20">
        <f t="shared" ref="D62:G62" si="122">D15/C15-1</f>
        <v>-0.10689652991608845</v>
      </c>
      <c r="E62" s="20">
        <f t="shared" si="122"/>
        <v>-0.11409045429361586</v>
      </c>
      <c r="F62" s="20">
        <f t="shared" si="122"/>
        <v>-2.4081603036146482E-2</v>
      </c>
      <c r="G62" s="20">
        <f t="shared" si="122"/>
        <v>1.4909627290877525E-2</v>
      </c>
      <c r="H62" s="20">
        <f t="shared" ref="H62:K62" si="123">H15/G15-1</f>
        <v>-2.0000000000000129E-2</v>
      </c>
      <c r="I62" s="20">
        <f t="shared" si="123"/>
        <v>-2.0000000000000129E-2</v>
      </c>
      <c r="J62" s="20">
        <f t="shared" si="123"/>
        <v>-2.0000000000000018E-2</v>
      </c>
      <c r="K62" s="20">
        <f t="shared" si="123"/>
        <v>-1.9999999999999907E-2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</row>
    <row r="63" spans="1:124" x14ac:dyDescent="0.15">
      <c r="A63" s="13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</row>
    <row r="64" spans="1:124" x14ac:dyDescent="0.15">
      <c r="A64" s="7" t="s">
        <v>99</v>
      </c>
      <c r="B64" s="14">
        <v>39173</v>
      </c>
      <c r="C64" s="14">
        <v>50300</v>
      </c>
      <c r="D64" s="14">
        <v>55528</v>
      </c>
      <c r="E64" s="14">
        <f>SUM(Reports!B59:E59)</f>
        <v>68087</v>
      </c>
      <c r="F64" s="15">
        <f>SUM(Reports!F59:I59)</f>
        <v>81226</v>
      </c>
      <c r="G64" s="15">
        <f>SUM(Reports!J59:M59)</f>
        <v>92731</v>
      </c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</row>
    <row r="65" spans="1:124" x14ac:dyDescent="0.15">
      <c r="A65" s="6" t="s">
        <v>100</v>
      </c>
      <c r="B65" s="14"/>
      <c r="C65" s="20">
        <f>C64/B64-1</f>
        <v>0.28404768590610874</v>
      </c>
      <c r="D65" s="20">
        <f>D64/C64-1</f>
        <v>0.10393638170974162</v>
      </c>
      <c r="E65" s="20">
        <f>E64/D64-1</f>
        <v>0.22617418239446763</v>
      </c>
      <c r="F65" s="20">
        <f>F64/E64-1</f>
        <v>0.19297369541909615</v>
      </c>
      <c r="G65" s="20">
        <f>G64/F64-1</f>
        <v>0.14164183882008219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</row>
    <row r="67" spans="1:124" s="2" customFormat="1" x14ac:dyDescent="0.1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</row>
    <row r="68" spans="1:124" x14ac:dyDescent="0.15">
      <c r="A68" s="1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</row>
    <row r="69" spans="1:124" x14ac:dyDescent="0.1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</row>
    <row r="70" spans="1:124" x14ac:dyDescent="0.15">
      <c r="A70" s="13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</row>
    <row r="71" spans="1:124" x14ac:dyDescent="0.15">
      <c r="A71" s="13"/>
      <c r="B71" s="12"/>
      <c r="C71" s="12"/>
      <c r="D71" s="12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</row>
    <row r="72" spans="1:124" x14ac:dyDescent="0.15">
      <c r="A72" s="13"/>
      <c r="B72" s="12"/>
      <c r="C72" s="12"/>
      <c r="D72" s="12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</row>
    <row r="73" spans="1:124" x14ac:dyDescent="0.15">
      <c r="A73" s="13"/>
      <c r="B73" s="12"/>
      <c r="C73" s="12"/>
      <c r="D73" s="12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</row>
    <row r="74" spans="1:124" x14ac:dyDescent="0.15">
      <c r="A74" s="13"/>
      <c r="B74" s="12"/>
      <c r="C74" s="12"/>
      <c r="D74" s="12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</row>
    <row r="75" spans="1:124" x14ac:dyDescent="0.15">
      <c r="A75" s="13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</row>
    <row r="76" spans="1:124" x14ac:dyDescent="0.15">
      <c r="A76" s="13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</row>
    <row r="77" spans="1:124" x14ac:dyDescent="0.15">
      <c r="A77" s="13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</row>
    <row r="78" spans="1:124" x14ac:dyDescent="0.15">
      <c r="A78" s="13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</row>
    <row r="79" spans="1:124" x14ac:dyDescent="0.15">
      <c r="A79" s="13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</row>
    <row r="80" spans="1:124" x14ac:dyDescent="0.15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</row>
    <row r="81" spans="1:124" x14ac:dyDescent="0.15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</row>
    <row r="82" spans="1:124" x14ac:dyDescent="0.15">
      <c r="A82" s="13"/>
      <c r="B82" s="13"/>
      <c r="C82" s="13"/>
      <c r="D82" s="13"/>
      <c r="E82" s="13"/>
      <c r="F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</row>
    <row r="83" spans="1:124" x14ac:dyDescent="0.15">
      <c r="A83" s="12"/>
      <c r="B83" s="21"/>
      <c r="C83" s="21"/>
      <c r="D83" s="21"/>
      <c r="E83" s="21"/>
      <c r="F83" s="21"/>
      <c r="G83" s="21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</row>
    <row r="84" spans="1:124" x14ac:dyDescent="0.15">
      <c r="A84" s="12"/>
      <c r="B84" s="21"/>
      <c r="C84" s="21"/>
      <c r="D84" s="21"/>
      <c r="E84" s="21"/>
      <c r="F84" s="21"/>
      <c r="G84" s="21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</row>
    <row r="85" spans="1:124" x14ac:dyDescent="0.15">
      <c r="A85" s="12"/>
      <c r="B85" s="21"/>
      <c r="C85" s="21"/>
      <c r="D85" s="21"/>
      <c r="E85" s="21"/>
      <c r="F85" s="21"/>
      <c r="G85" s="21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</row>
    <row r="86" spans="1:124" x14ac:dyDescent="0.15">
      <c r="A86" s="12"/>
      <c r="B86" s="21"/>
      <c r="C86" s="21"/>
      <c r="D86" s="21"/>
      <c r="E86" s="21"/>
      <c r="F86" s="21"/>
      <c r="G86" s="21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</row>
  </sheetData>
  <hyperlinks>
    <hyperlink ref="A7" r:id="rId1"/>
    <hyperlink ref="A1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>
      <pane xSplit="1" ySplit="2" topLeftCell="F7" activePane="bottomRight" state="frozen"/>
      <selection pane="topRight" activeCell="B1" sqref="B1"/>
      <selection pane="bottomLeft" activeCell="A3" sqref="A3"/>
      <selection pane="bottomRight" activeCell="O26" sqref="O26"/>
    </sheetView>
  </sheetViews>
  <sheetFormatPr baseColWidth="10" defaultRowHeight="13" x14ac:dyDescent="0.15"/>
  <cols>
    <col min="1" max="1" width="17.5" style="6" bestFit="1" customWidth="1"/>
    <col min="2" max="2" width="10.83203125" style="37" customWidth="1"/>
    <col min="3" max="4" width="10.83203125" style="36" customWidth="1"/>
    <col min="5" max="5" width="10.83203125" style="36"/>
    <col min="6" max="6" width="10.83203125" style="37"/>
    <col min="7" max="9" width="10.83203125" style="36"/>
    <col min="10" max="10" width="10.83203125" style="37"/>
    <col min="11" max="13" width="10.83203125" style="36"/>
    <col min="14" max="14" width="10.83203125" style="37"/>
    <col min="15" max="17" width="10.83203125" style="36"/>
    <col min="18" max="16384" width="10.83203125" style="6"/>
  </cols>
  <sheetData>
    <row r="1" spans="1:17" x14ac:dyDescent="0.15">
      <c r="A1" s="1" t="s">
        <v>5</v>
      </c>
      <c r="B1" s="37" t="s">
        <v>58</v>
      </c>
      <c r="C1" s="36" t="s">
        <v>59</v>
      </c>
      <c r="D1" s="36" t="s">
        <v>60</v>
      </c>
      <c r="E1" s="36" t="s">
        <v>61</v>
      </c>
      <c r="F1" s="38" t="s">
        <v>62</v>
      </c>
      <c r="G1" s="39" t="s">
        <v>63</v>
      </c>
      <c r="H1" s="39" t="s">
        <v>64</v>
      </c>
      <c r="I1" s="39" t="s">
        <v>65</v>
      </c>
      <c r="J1" s="38" t="s">
        <v>66</v>
      </c>
      <c r="K1" s="39" t="s">
        <v>67</v>
      </c>
      <c r="L1" s="39" t="s">
        <v>4</v>
      </c>
      <c r="M1" s="39" t="s">
        <v>68</v>
      </c>
      <c r="N1" s="38" t="s">
        <v>69</v>
      </c>
      <c r="O1" s="39" t="s">
        <v>70</v>
      </c>
      <c r="P1" s="39" t="s">
        <v>71</v>
      </c>
      <c r="Q1" s="39" t="s">
        <v>72</v>
      </c>
    </row>
    <row r="2" spans="1:17" s="36" customFormat="1" x14ac:dyDescent="0.15">
      <c r="A2" s="1"/>
      <c r="B2" s="37" t="s">
        <v>73</v>
      </c>
      <c r="C2" s="36" t="s">
        <v>74</v>
      </c>
      <c r="D2" s="36" t="s">
        <v>75</v>
      </c>
      <c r="E2" s="36" t="s">
        <v>76</v>
      </c>
      <c r="F2" s="37" t="s">
        <v>77</v>
      </c>
      <c r="G2" s="36" t="s">
        <v>78</v>
      </c>
      <c r="H2" s="36" t="s">
        <v>79</v>
      </c>
      <c r="I2" s="36" t="s">
        <v>80</v>
      </c>
      <c r="J2" s="37" t="s">
        <v>81</v>
      </c>
      <c r="K2" s="36" t="s">
        <v>82</v>
      </c>
      <c r="L2" s="36" t="s">
        <v>83</v>
      </c>
      <c r="M2" s="36" t="s">
        <v>84</v>
      </c>
      <c r="N2" s="37"/>
    </row>
    <row r="3" spans="1:17" x14ac:dyDescent="0.15">
      <c r="A3" s="13" t="s">
        <v>13</v>
      </c>
      <c r="B3" s="38">
        <v>1500</v>
      </c>
      <c r="C3" s="39">
        <v>1853</v>
      </c>
      <c r="D3" s="39">
        <v>2892</v>
      </c>
      <c r="E3" s="39">
        <v>1737</v>
      </c>
      <c r="F3" s="38">
        <v>1785</v>
      </c>
      <c r="G3" s="39">
        <v>2332</v>
      </c>
      <c r="H3" s="39">
        <v>3524</v>
      </c>
      <c r="I3" s="39">
        <v>2073</v>
      </c>
      <c r="J3" s="38">
        <v>2113</v>
      </c>
      <c r="K3" s="39">
        <v>2566</v>
      </c>
      <c r="L3" s="39">
        <v>3541</v>
      </c>
      <c r="M3" s="39">
        <v>2259</v>
      </c>
    </row>
    <row r="4" spans="1:17" x14ac:dyDescent="0.15">
      <c r="A4" s="13" t="s">
        <v>14</v>
      </c>
      <c r="B4" s="38">
        <v>470</v>
      </c>
      <c r="C4" s="39">
        <v>518</v>
      </c>
      <c r="D4" s="39">
        <v>620</v>
      </c>
      <c r="E4" s="39">
        <v>440</v>
      </c>
      <c r="F4" s="38">
        <v>442</v>
      </c>
      <c r="G4" s="39">
        <v>498</v>
      </c>
      <c r="H4" s="39">
        <v>684</v>
      </c>
      <c r="I4" s="39">
        <v>509</v>
      </c>
      <c r="J4" s="38">
        <v>526</v>
      </c>
      <c r="K4" s="39">
        <v>710</v>
      </c>
      <c r="L4" s="39">
        <v>1050</v>
      </c>
      <c r="M4" s="39">
        <v>701</v>
      </c>
    </row>
    <row r="5" spans="1:17" x14ac:dyDescent="0.15">
      <c r="A5" s="13" t="s">
        <v>15</v>
      </c>
      <c r="B5" s="38">
        <v>178</v>
      </c>
      <c r="C5" s="39">
        <v>185</v>
      </c>
      <c r="D5" s="39">
        <v>178</v>
      </c>
      <c r="E5" s="39">
        <v>172</v>
      </c>
      <c r="F5" s="38">
        <v>192</v>
      </c>
      <c r="G5" s="39">
        <v>194</v>
      </c>
      <c r="H5" s="39">
        <v>226</v>
      </c>
      <c r="I5" s="39">
        <v>222</v>
      </c>
      <c r="J5" s="38">
        <v>288</v>
      </c>
      <c r="K5" s="39">
        <v>261</v>
      </c>
      <c r="L5" s="39">
        <v>256</v>
      </c>
      <c r="M5" s="39">
        <v>253</v>
      </c>
    </row>
    <row r="6" spans="1:17" x14ac:dyDescent="0.15">
      <c r="A6" s="13"/>
      <c r="B6" s="38"/>
      <c r="C6" s="39"/>
      <c r="D6" s="39"/>
      <c r="E6" s="39"/>
      <c r="F6" s="38"/>
      <c r="G6" s="39"/>
      <c r="H6" s="39"/>
      <c r="I6" s="39"/>
      <c r="J6" s="38"/>
      <c r="K6" s="39"/>
      <c r="L6" s="39"/>
      <c r="M6" s="39"/>
    </row>
    <row r="7" spans="1:17" x14ac:dyDescent="0.15">
      <c r="A7" s="6" t="s">
        <v>101</v>
      </c>
      <c r="B7" s="37">
        <v>136.5</v>
      </c>
      <c r="C7" s="36">
        <v>140.69999999999999</v>
      </c>
      <c r="D7" s="36">
        <v>149.6</v>
      </c>
      <c r="E7" s="36">
        <v>129.69999999999999</v>
      </c>
      <c r="F7" s="37">
        <v>173.9</v>
      </c>
      <c r="G7" s="36">
        <v>170.2</v>
      </c>
      <c r="H7" s="36">
        <v>177.5</v>
      </c>
      <c r="I7" s="36">
        <v>151.5</v>
      </c>
      <c r="J7" s="37">
        <v>196.8</v>
      </c>
      <c r="K7" s="36">
        <v>190.5</v>
      </c>
      <c r="L7" s="65">
        <v>201.3</v>
      </c>
      <c r="M7" s="65">
        <v>171</v>
      </c>
    </row>
    <row r="8" spans="1:17" x14ac:dyDescent="0.15">
      <c r="A8" s="6" t="s">
        <v>104</v>
      </c>
      <c r="B8" s="69">
        <f t="shared" ref="B8:M8" si="0">SUM(B3:B5)/B7</f>
        <v>15.736263736263735</v>
      </c>
      <c r="C8" s="70">
        <f t="shared" si="0"/>
        <v>18.166311300639659</v>
      </c>
      <c r="D8" s="70">
        <f t="shared" si="0"/>
        <v>24.665775401069521</v>
      </c>
      <c r="E8" s="70">
        <f t="shared" si="0"/>
        <v>18.111025443330764</v>
      </c>
      <c r="F8" s="69">
        <f t="shared" si="0"/>
        <v>13.9102932719954</v>
      </c>
      <c r="G8" s="70">
        <f t="shared" si="0"/>
        <v>17.767332549941248</v>
      </c>
      <c r="H8" s="70">
        <f t="shared" si="0"/>
        <v>24.980281690140846</v>
      </c>
      <c r="I8" s="70">
        <f t="shared" si="0"/>
        <v>18.508250825082509</v>
      </c>
      <c r="J8" s="69">
        <f t="shared" si="0"/>
        <v>14.872967479674795</v>
      </c>
      <c r="K8" s="70">
        <f t="shared" si="0"/>
        <v>18.566929133858267</v>
      </c>
      <c r="L8" s="70">
        <f t="shared" si="0"/>
        <v>24.078489816194732</v>
      </c>
      <c r="M8" s="70">
        <f t="shared" si="0"/>
        <v>18.789473684210527</v>
      </c>
    </row>
    <row r="9" spans="1:17" x14ac:dyDescent="0.15">
      <c r="B9" s="38"/>
      <c r="E9" s="39"/>
    </row>
    <row r="10" spans="1:17" s="26" customFormat="1" x14ac:dyDescent="0.15">
      <c r="A10" s="26" t="s">
        <v>0</v>
      </c>
      <c r="B10" s="41">
        <f t="shared" ref="B10:M10" si="1">B7*B8</f>
        <v>2148</v>
      </c>
      <c r="C10" s="40">
        <f t="shared" si="1"/>
        <v>2556</v>
      </c>
      <c r="D10" s="40">
        <f t="shared" si="1"/>
        <v>3690</v>
      </c>
      <c r="E10" s="40">
        <f t="shared" si="1"/>
        <v>2349</v>
      </c>
      <c r="F10" s="41">
        <f t="shared" si="1"/>
        <v>2419</v>
      </c>
      <c r="G10" s="40">
        <f t="shared" si="1"/>
        <v>3024</v>
      </c>
      <c r="H10" s="40">
        <f t="shared" si="1"/>
        <v>4434</v>
      </c>
      <c r="I10" s="40">
        <f t="shared" si="1"/>
        <v>2804</v>
      </c>
      <c r="J10" s="41">
        <f t="shared" si="1"/>
        <v>2927</v>
      </c>
      <c r="K10" s="40">
        <f t="shared" si="1"/>
        <v>3537</v>
      </c>
      <c r="L10" s="40">
        <f t="shared" si="1"/>
        <v>4847</v>
      </c>
      <c r="M10" s="40">
        <f t="shared" si="1"/>
        <v>3213</v>
      </c>
      <c r="N10" s="42"/>
      <c r="O10" s="43"/>
      <c r="P10" s="43"/>
      <c r="Q10" s="43"/>
    </row>
    <row r="11" spans="1:17" x14ac:dyDescent="0.15">
      <c r="A11" s="6" t="s">
        <v>30</v>
      </c>
      <c r="B11" s="38">
        <f>129+780</f>
        <v>909</v>
      </c>
      <c r="C11" s="39">
        <f>126+921</f>
        <v>1047</v>
      </c>
      <c r="D11" s="39">
        <f>101+1040</f>
        <v>1141</v>
      </c>
      <c r="E11" s="39">
        <f>72+738</f>
        <v>810</v>
      </c>
      <c r="F11" s="38">
        <f>80+982</f>
        <v>1062</v>
      </c>
      <c r="G11" s="39">
        <f>67+1151</f>
        <v>1218</v>
      </c>
      <c r="H11" s="39">
        <f>54+1231</f>
        <v>1285</v>
      </c>
      <c r="I11" s="39">
        <f>33+789</f>
        <v>822</v>
      </c>
      <c r="J11" s="38">
        <v>1106</v>
      </c>
      <c r="K11" s="39">
        <v>1142</v>
      </c>
      <c r="L11" s="39">
        <v>1314</v>
      </c>
      <c r="M11" s="39">
        <f>885</f>
        <v>885</v>
      </c>
    </row>
    <row r="12" spans="1:17" x14ac:dyDescent="0.15">
      <c r="A12" s="6" t="s">
        <v>31</v>
      </c>
      <c r="B12" s="45">
        <f>B10-B11</f>
        <v>1239</v>
      </c>
      <c r="C12" s="44">
        <f t="shared" ref="C12:I12" si="2">C10-C11</f>
        <v>1509</v>
      </c>
      <c r="D12" s="44">
        <f t="shared" si="2"/>
        <v>2549</v>
      </c>
      <c r="E12" s="44">
        <f t="shared" si="2"/>
        <v>1539</v>
      </c>
      <c r="F12" s="45">
        <f t="shared" si="2"/>
        <v>1357</v>
      </c>
      <c r="G12" s="44">
        <f t="shared" si="2"/>
        <v>1806</v>
      </c>
      <c r="H12" s="44">
        <f t="shared" si="2"/>
        <v>3149</v>
      </c>
      <c r="I12" s="44">
        <f t="shared" si="2"/>
        <v>1982</v>
      </c>
      <c r="J12" s="45">
        <f>J10-J11</f>
        <v>1821</v>
      </c>
      <c r="K12" s="44">
        <f>K10-K11</f>
        <v>2395</v>
      </c>
      <c r="L12" s="44">
        <f t="shared" ref="L12:M12" si="3">L10-L11</f>
        <v>3533</v>
      </c>
      <c r="M12" s="44">
        <f t="shared" si="3"/>
        <v>2328</v>
      </c>
    </row>
    <row r="13" spans="1:17" x14ac:dyDescent="0.15">
      <c r="A13" s="6" t="s">
        <v>32</v>
      </c>
      <c r="B13" s="38">
        <v>33</v>
      </c>
      <c r="C13" s="39">
        <v>36</v>
      </c>
      <c r="D13" s="39">
        <v>36</v>
      </c>
      <c r="E13" s="39">
        <v>37</v>
      </c>
      <c r="F13" s="38">
        <v>40</v>
      </c>
      <c r="G13" s="39">
        <v>45</v>
      </c>
      <c r="H13" s="39">
        <v>48</v>
      </c>
      <c r="I13" s="39">
        <v>57</v>
      </c>
      <c r="J13" s="38">
        <v>60</v>
      </c>
      <c r="K13" s="39">
        <v>59</v>
      </c>
      <c r="L13" s="39">
        <v>58</v>
      </c>
      <c r="M13" s="39">
        <v>56</v>
      </c>
    </row>
    <row r="14" spans="1:17" x14ac:dyDescent="0.15">
      <c r="A14" s="6" t="s">
        <v>33</v>
      </c>
      <c r="B14" s="38">
        <f>70+92</f>
        <v>162</v>
      </c>
      <c r="C14" s="39">
        <f>112+106</f>
        <v>218</v>
      </c>
      <c r="D14" s="39">
        <f>73+125</f>
        <v>198</v>
      </c>
      <c r="E14" s="39">
        <f>41+113</f>
        <v>154</v>
      </c>
      <c r="F14" s="38">
        <f>81+110</f>
        <v>191</v>
      </c>
      <c r="G14" s="39">
        <f>130+122</f>
        <v>252</v>
      </c>
      <c r="H14" s="39">
        <f>126+151</f>
        <v>277</v>
      </c>
      <c r="I14" s="39">
        <f>85+151</f>
        <v>236</v>
      </c>
      <c r="J14" s="38">
        <f>101+166</f>
        <v>267</v>
      </c>
      <c r="K14" s="39">
        <f>124+204</f>
        <v>328</v>
      </c>
      <c r="L14" s="39">
        <f>160+243</f>
        <v>403</v>
      </c>
      <c r="M14" s="39">
        <f>124+218</f>
        <v>342</v>
      </c>
    </row>
    <row r="15" spans="1:17" x14ac:dyDescent="0.15">
      <c r="A15" s="6" t="s">
        <v>34</v>
      </c>
      <c r="B15" s="38">
        <f>308+113+73</f>
        <v>494</v>
      </c>
      <c r="C15" s="39">
        <f>333+113+78</f>
        <v>524</v>
      </c>
      <c r="D15" s="39">
        <f>348+115+79+940</f>
        <v>1482</v>
      </c>
      <c r="E15" s="39">
        <f>361+116+80</f>
        <v>557</v>
      </c>
      <c r="F15" s="38">
        <f>351+136+83</f>
        <v>570</v>
      </c>
      <c r="G15" s="39">
        <f>386+144+86</f>
        <v>616</v>
      </c>
      <c r="H15" s="39">
        <f>483+143+96</f>
        <v>722</v>
      </c>
      <c r="I15" s="39">
        <f>439+166+98</f>
        <v>703</v>
      </c>
      <c r="J15" s="38">
        <f>499+162+103</f>
        <v>764</v>
      </c>
      <c r="K15" s="39">
        <f>522+159+107</f>
        <v>788</v>
      </c>
      <c r="L15" s="39">
        <f>537+183+108</f>
        <v>828</v>
      </c>
      <c r="M15" s="39">
        <f>484+194+109</f>
        <v>787</v>
      </c>
    </row>
    <row r="16" spans="1:17" x14ac:dyDescent="0.15">
      <c r="A16" s="6" t="s">
        <v>35</v>
      </c>
      <c r="B16" s="45">
        <f>SUM(B13:B15)</f>
        <v>689</v>
      </c>
      <c r="C16" s="44">
        <f t="shared" ref="C16:L16" si="4">SUM(C13:C15)</f>
        <v>778</v>
      </c>
      <c r="D16" s="44">
        <f t="shared" si="4"/>
        <v>1716</v>
      </c>
      <c r="E16" s="44">
        <f t="shared" si="4"/>
        <v>748</v>
      </c>
      <c r="F16" s="45">
        <f t="shared" si="4"/>
        <v>801</v>
      </c>
      <c r="G16" s="44">
        <f t="shared" si="4"/>
        <v>913</v>
      </c>
      <c r="H16" s="44">
        <f t="shared" si="4"/>
        <v>1047</v>
      </c>
      <c r="I16" s="44">
        <f t="shared" si="4"/>
        <v>996</v>
      </c>
      <c r="J16" s="45">
        <f t="shared" si="4"/>
        <v>1091</v>
      </c>
      <c r="K16" s="44">
        <f t="shared" si="4"/>
        <v>1175</v>
      </c>
      <c r="L16" s="44">
        <f t="shared" si="4"/>
        <v>1289</v>
      </c>
      <c r="M16" s="44">
        <f t="shared" ref="M16" si="5">SUM(M13:M15)</f>
        <v>1185</v>
      </c>
    </row>
    <row r="17" spans="1:17" x14ac:dyDescent="0.15">
      <c r="A17" s="6" t="s">
        <v>36</v>
      </c>
      <c r="B17" s="45">
        <f>B12-B16</f>
        <v>550</v>
      </c>
      <c r="C17" s="44">
        <f t="shared" ref="C17:L17" si="6">C12-C16</f>
        <v>731</v>
      </c>
      <c r="D17" s="44">
        <f t="shared" si="6"/>
        <v>833</v>
      </c>
      <c r="E17" s="44">
        <f t="shared" si="6"/>
        <v>791</v>
      </c>
      <c r="F17" s="45">
        <f t="shared" si="6"/>
        <v>556</v>
      </c>
      <c r="G17" s="44">
        <f t="shared" si="6"/>
        <v>893</v>
      </c>
      <c r="H17" s="44">
        <f t="shared" si="6"/>
        <v>2102</v>
      </c>
      <c r="I17" s="44">
        <f t="shared" si="6"/>
        <v>986</v>
      </c>
      <c r="J17" s="45">
        <f t="shared" si="6"/>
        <v>730</v>
      </c>
      <c r="K17" s="44">
        <f t="shared" si="6"/>
        <v>1220</v>
      </c>
      <c r="L17" s="44">
        <f t="shared" si="6"/>
        <v>2244</v>
      </c>
      <c r="M17" s="44">
        <f t="shared" ref="M17" si="7">M12-M16</f>
        <v>1143</v>
      </c>
    </row>
    <row r="18" spans="1:17" x14ac:dyDescent="0.15">
      <c r="A18" s="6" t="s">
        <v>37</v>
      </c>
      <c r="B18" s="38">
        <f>20-47-13-50</f>
        <v>-90</v>
      </c>
      <c r="C18" s="39">
        <f>21-50+2-13</f>
        <v>-40</v>
      </c>
      <c r="D18" s="39">
        <f>24-55-4</f>
        <v>-35</v>
      </c>
      <c r="E18" s="39">
        <f>29-55-2</f>
        <v>-28</v>
      </c>
      <c r="F18" s="38">
        <f>32-56-5</f>
        <v>-29</v>
      </c>
      <c r="G18" s="39">
        <f>37-61-6</f>
        <v>-30</v>
      </c>
      <c r="H18" s="39">
        <f>41-66-10</f>
        <v>-35</v>
      </c>
      <c r="I18" s="39">
        <f>47-71-14-8</f>
        <v>-46</v>
      </c>
      <c r="J18" s="38">
        <f>47-70+55-8</f>
        <v>24</v>
      </c>
      <c r="K18" s="39">
        <f>46-65+22-15</f>
        <v>-12</v>
      </c>
      <c r="L18" s="39">
        <f>49-68+31-17</f>
        <v>-5</v>
      </c>
      <c r="M18" s="39">
        <f>46-66-474-17</f>
        <v>-511</v>
      </c>
    </row>
    <row r="19" spans="1:17" x14ac:dyDescent="0.15">
      <c r="A19" s="6" t="s">
        <v>38</v>
      </c>
      <c r="B19" s="45">
        <f>B17+B18</f>
        <v>460</v>
      </c>
      <c r="C19" s="44">
        <f t="shared" ref="C19:K19" si="8">C17+C18</f>
        <v>691</v>
      </c>
      <c r="D19" s="44">
        <f t="shared" si="8"/>
        <v>798</v>
      </c>
      <c r="E19" s="44">
        <f t="shared" si="8"/>
        <v>763</v>
      </c>
      <c r="F19" s="45">
        <f t="shared" si="8"/>
        <v>527</v>
      </c>
      <c r="G19" s="44">
        <f t="shared" si="8"/>
        <v>863</v>
      </c>
      <c r="H19" s="44">
        <f t="shared" si="8"/>
        <v>2067</v>
      </c>
      <c r="I19" s="44">
        <f>I17+I18</f>
        <v>940</v>
      </c>
      <c r="J19" s="45">
        <f t="shared" si="8"/>
        <v>754</v>
      </c>
      <c r="K19" s="44">
        <f t="shared" si="8"/>
        <v>1208</v>
      </c>
      <c r="L19" s="44">
        <f>L17+L18</f>
        <v>2239</v>
      </c>
      <c r="M19" s="44">
        <f>M17+M18</f>
        <v>632</v>
      </c>
    </row>
    <row r="20" spans="1:17" x14ac:dyDescent="0.15">
      <c r="A20" s="6" t="s">
        <v>39</v>
      </c>
      <c r="B20" s="38">
        <v>86</v>
      </c>
      <c r="C20" s="39">
        <v>112</v>
      </c>
      <c r="D20" s="39">
        <v>292</v>
      </c>
      <c r="E20" s="39">
        <v>89</v>
      </c>
      <c r="F20" s="38">
        <v>72</v>
      </c>
      <c r="G20" s="39">
        <v>143</v>
      </c>
      <c r="H20" s="39">
        <v>346</v>
      </c>
      <c r="I20" s="39">
        <f>I19*H28</f>
        <v>157.34881470730528</v>
      </c>
      <c r="J20" s="38">
        <v>146</v>
      </c>
      <c r="K20" s="39">
        <v>232</v>
      </c>
      <c r="L20" s="39">
        <v>473</v>
      </c>
      <c r="M20" s="39">
        <v>-14</v>
      </c>
    </row>
    <row r="21" spans="1:17" s="28" customFormat="1" x14ac:dyDescent="0.15">
      <c r="A21" s="28" t="s">
        <v>85</v>
      </c>
      <c r="B21" s="47"/>
      <c r="C21" s="46"/>
      <c r="D21" s="46"/>
      <c r="E21" s="46"/>
      <c r="F21" s="47"/>
      <c r="G21" s="46"/>
      <c r="H21" s="46"/>
      <c r="I21" s="46">
        <v>1496</v>
      </c>
      <c r="J21" s="47"/>
      <c r="K21" s="46"/>
      <c r="L21" s="46"/>
      <c r="M21" s="46"/>
      <c r="N21" s="48"/>
      <c r="O21" s="49"/>
      <c r="P21" s="49"/>
      <c r="Q21" s="49"/>
    </row>
    <row r="22" spans="1:17" s="26" customFormat="1" x14ac:dyDescent="0.15">
      <c r="A22" s="26" t="s">
        <v>19</v>
      </c>
      <c r="B22" s="41">
        <f t="shared" ref="B22:M22" si="9">B19-B20</f>
        <v>374</v>
      </c>
      <c r="C22" s="40">
        <f t="shared" si="9"/>
        <v>579</v>
      </c>
      <c r="D22" s="40">
        <f t="shared" si="9"/>
        <v>506</v>
      </c>
      <c r="E22" s="40">
        <f t="shared" si="9"/>
        <v>674</v>
      </c>
      <c r="F22" s="41">
        <f t="shared" si="9"/>
        <v>455</v>
      </c>
      <c r="G22" s="40">
        <f t="shared" si="9"/>
        <v>720</v>
      </c>
      <c r="H22" s="40">
        <f t="shared" si="9"/>
        <v>1721</v>
      </c>
      <c r="I22" s="40">
        <f t="shared" si="9"/>
        <v>782.65118529269466</v>
      </c>
      <c r="J22" s="41">
        <f t="shared" si="9"/>
        <v>608</v>
      </c>
      <c r="K22" s="40">
        <f t="shared" si="9"/>
        <v>976</v>
      </c>
      <c r="L22" s="40">
        <f t="shared" si="9"/>
        <v>1766</v>
      </c>
      <c r="M22" s="40">
        <f t="shared" si="9"/>
        <v>646</v>
      </c>
      <c r="N22" s="50"/>
      <c r="O22" s="43"/>
      <c r="P22" s="43"/>
      <c r="Q22" s="43"/>
    </row>
    <row r="23" spans="1:17" x14ac:dyDescent="0.15">
      <c r="A23" s="6" t="s">
        <v>40</v>
      </c>
      <c r="B23" s="52">
        <f t="shared" ref="B23:I23" si="10">IFERROR(B22/B24,0)</f>
        <v>7.4607512617446989</v>
      </c>
      <c r="C23" s="51">
        <f t="shared" si="10"/>
        <v>11.566351704988115</v>
      </c>
      <c r="D23" s="51">
        <f t="shared" si="10"/>
        <v>10.125062531265632</v>
      </c>
      <c r="E23" s="51">
        <f t="shared" si="10"/>
        <v>13.474610155937624</v>
      </c>
      <c r="F23" s="52">
        <f t="shared" si="10"/>
        <v>9.1</v>
      </c>
      <c r="G23" s="51">
        <f t="shared" si="10"/>
        <v>14.4</v>
      </c>
      <c r="H23" s="51">
        <f t="shared" si="10"/>
        <v>34.42</v>
      </c>
      <c r="I23" s="51">
        <f t="shared" si="10"/>
        <v>16.077799159651896</v>
      </c>
      <c r="J23" s="52">
        <f>IFERROR(J22/J24,0)</f>
        <v>12.357723577235772</v>
      </c>
      <c r="K23" s="51">
        <f>IFERROR(K22/K24,0)</f>
        <v>19.918367346938776</v>
      </c>
      <c r="L23" s="51">
        <f>IFERROR(L22/L24,0)</f>
        <v>36.983518669766077</v>
      </c>
      <c r="M23" s="51">
        <f>IFERROR(M22/M24,0)</f>
        <v>13.865934018759793</v>
      </c>
    </row>
    <row r="24" spans="1:17" s="7" customFormat="1" x14ac:dyDescent="0.15">
      <c r="A24" s="7" t="s">
        <v>1</v>
      </c>
      <c r="B24" s="38">
        <v>50.128999999999998</v>
      </c>
      <c r="C24" s="39">
        <v>50.058999999999997</v>
      </c>
      <c r="D24" s="39">
        <v>49.975000000000001</v>
      </c>
      <c r="E24" s="39">
        <v>50.02</v>
      </c>
      <c r="F24" s="38">
        <v>50</v>
      </c>
      <c r="G24" s="39">
        <v>50</v>
      </c>
      <c r="H24" s="39">
        <v>50</v>
      </c>
      <c r="I24" s="39">
        <v>48.679000000000002</v>
      </c>
      <c r="J24" s="38">
        <v>49.2</v>
      </c>
      <c r="K24" s="39">
        <v>49</v>
      </c>
      <c r="L24" s="39">
        <v>47.750999999999998</v>
      </c>
      <c r="M24" s="39">
        <v>46.588999999999999</v>
      </c>
      <c r="N24" s="38"/>
      <c r="O24" s="39"/>
      <c r="P24" s="39"/>
      <c r="Q24" s="39"/>
    </row>
    <row r="25" spans="1:17" x14ac:dyDescent="0.15">
      <c r="B25" s="38"/>
      <c r="C25" s="39"/>
      <c r="D25" s="39"/>
      <c r="E25" s="39"/>
      <c r="F25" s="38"/>
      <c r="G25" s="39"/>
      <c r="H25" s="39"/>
      <c r="I25" s="39"/>
      <c r="M25" s="39"/>
    </row>
    <row r="26" spans="1:17" x14ac:dyDescent="0.15">
      <c r="A26" s="6" t="s">
        <v>41</v>
      </c>
      <c r="B26" s="54">
        <f t="shared" ref="B26:M26" si="11">IFERROR(B12/B10,0)</f>
        <v>0.57681564245810057</v>
      </c>
      <c r="C26" s="53">
        <f t="shared" si="11"/>
        <v>0.59037558685446012</v>
      </c>
      <c r="D26" s="53">
        <f t="shared" si="11"/>
        <v>0.69078590785907856</v>
      </c>
      <c r="E26" s="53">
        <f t="shared" si="11"/>
        <v>0.65517241379310343</v>
      </c>
      <c r="F26" s="54">
        <f t="shared" si="11"/>
        <v>0.56097560975609762</v>
      </c>
      <c r="G26" s="53">
        <f t="shared" si="11"/>
        <v>0.59722222222222221</v>
      </c>
      <c r="H26" s="53">
        <f t="shared" si="11"/>
        <v>0.71019395579612088</v>
      </c>
      <c r="I26" s="53">
        <f t="shared" si="11"/>
        <v>0.7068473609129815</v>
      </c>
      <c r="J26" s="54">
        <f t="shared" si="11"/>
        <v>0.62213870857533315</v>
      </c>
      <c r="K26" s="53">
        <f t="shared" si="11"/>
        <v>0.67712750918857789</v>
      </c>
      <c r="L26" s="53">
        <f t="shared" si="11"/>
        <v>0.72890447699608008</v>
      </c>
      <c r="M26" s="53">
        <f t="shared" si="11"/>
        <v>0.72455648926237159</v>
      </c>
    </row>
    <row r="27" spans="1:17" x14ac:dyDescent="0.15">
      <c r="A27" s="6" t="s">
        <v>42</v>
      </c>
      <c r="B27" s="56">
        <f t="shared" ref="B27:M27" si="12">IFERROR(B17/B10,0)</f>
        <v>0.25605214152700184</v>
      </c>
      <c r="C27" s="55">
        <f t="shared" si="12"/>
        <v>0.28599374021909235</v>
      </c>
      <c r="D27" s="55">
        <f t="shared" si="12"/>
        <v>0.22574525745257454</v>
      </c>
      <c r="E27" s="55">
        <f t="shared" si="12"/>
        <v>0.33673903788846316</v>
      </c>
      <c r="F27" s="56">
        <f t="shared" si="12"/>
        <v>0.22984704423315419</v>
      </c>
      <c r="G27" s="55">
        <f t="shared" si="12"/>
        <v>0.29530423280423279</v>
      </c>
      <c r="H27" s="55">
        <f t="shared" si="12"/>
        <v>0.47406405051871897</v>
      </c>
      <c r="I27" s="55">
        <f t="shared" si="12"/>
        <v>0.35164051355206849</v>
      </c>
      <c r="J27" s="56">
        <f t="shared" si="12"/>
        <v>0.2494021182097711</v>
      </c>
      <c r="K27" s="55">
        <f t="shared" si="12"/>
        <v>0.3449250777495052</v>
      </c>
      <c r="L27" s="55">
        <f t="shared" si="12"/>
        <v>0.46296678357747062</v>
      </c>
      <c r="M27" s="55">
        <f t="shared" si="12"/>
        <v>0.35574229691876752</v>
      </c>
    </row>
    <row r="28" spans="1:17" x14ac:dyDescent="0.15">
      <c r="A28" s="6" t="s">
        <v>43</v>
      </c>
      <c r="B28" s="56">
        <f t="shared" ref="B28:M28" si="13">IFERROR(B20/B19,0)</f>
        <v>0.18695652173913044</v>
      </c>
      <c r="C28" s="55">
        <f t="shared" si="13"/>
        <v>0.16208393632416787</v>
      </c>
      <c r="D28" s="55">
        <f t="shared" si="13"/>
        <v>0.36591478696741853</v>
      </c>
      <c r="E28" s="55">
        <f t="shared" si="13"/>
        <v>0.11664482306684142</v>
      </c>
      <c r="F28" s="56">
        <f t="shared" si="13"/>
        <v>0.13662239089184061</v>
      </c>
      <c r="G28" s="55">
        <f t="shared" si="13"/>
        <v>0.16570104287369641</v>
      </c>
      <c r="H28" s="55">
        <f t="shared" si="13"/>
        <v>0.16739235607160136</v>
      </c>
      <c r="I28" s="55">
        <f t="shared" si="13"/>
        <v>0.16739235607160136</v>
      </c>
      <c r="J28" s="56">
        <f t="shared" si="13"/>
        <v>0.19363395225464192</v>
      </c>
      <c r="K28" s="55">
        <f t="shared" si="13"/>
        <v>0.19205298013245034</v>
      </c>
      <c r="L28" s="55">
        <f t="shared" si="13"/>
        <v>0.21125502456453774</v>
      </c>
      <c r="M28" s="55">
        <f t="shared" si="13"/>
        <v>-2.2151898734177215E-2</v>
      </c>
    </row>
    <row r="29" spans="1:17" x14ac:dyDescent="0.15">
      <c r="B29" s="38"/>
      <c r="C29" s="39"/>
      <c r="D29" s="39"/>
      <c r="E29" s="39"/>
      <c r="F29" s="38"/>
      <c r="G29" s="39"/>
      <c r="H29" s="39"/>
      <c r="I29" s="39"/>
      <c r="M29" s="39"/>
    </row>
    <row r="30" spans="1:17" s="26" customFormat="1" x14ac:dyDescent="0.15">
      <c r="A30" s="26" t="s">
        <v>2</v>
      </c>
      <c r="B30" s="58"/>
      <c r="C30" s="57"/>
      <c r="D30" s="57"/>
      <c r="E30" s="57"/>
      <c r="F30" s="58">
        <f t="shared" ref="F30:M30" si="14">IFERROR((F10/B10)-1,0)</f>
        <v>0.12616387337057722</v>
      </c>
      <c r="G30" s="57">
        <f t="shared" si="14"/>
        <v>0.18309859154929575</v>
      </c>
      <c r="H30" s="57">
        <f t="shared" si="14"/>
        <v>0.20162601626016263</v>
      </c>
      <c r="I30" s="57">
        <f t="shared" si="14"/>
        <v>0.19369944657300975</v>
      </c>
      <c r="J30" s="58">
        <f t="shared" si="14"/>
        <v>0.21000413393964457</v>
      </c>
      <c r="K30" s="57">
        <f t="shared" si="14"/>
        <v>0.16964285714285721</v>
      </c>
      <c r="L30" s="57">
        <f t="shared" si="14"/>
        <v>9.3143888137122266E-2</v>
      </c>
      <c r="M30" s="57">
        <f t="shared" si="14"/>
        <v>0.14586305278174039</v>
      </c>
      <c r="N30" s="50"/>
      <c r="O30" s="43"/>
      <c r="P30" s="43"/>
      <c r="Q30" s="43"/>
    </row>
    <row r="31" spans="1:17" s="26" customFormat="1" x14ac:dyDescent="0.15">
      <c r="A31" s="6" t="s">
        <v>44</v>
      </c>
      <c r="B31" s="60"/>
      <c r="C31" s="59"/>
      <c r="D31" s="59"/>
      <c r="E31" s="59"/>
      <c r="F31" s="60">
        <f t="shared" ref="F31:M33" si="15">F13/B13-1</f>
        <v>0.21212121212121215</v>
      </c>
      <c r="G31" s="59">
        <f t="shared" si="15"/>
        <v>0.25</v>
      </c>
      <c r="H31" s="59">
        <f t="shared" si="15"/>
        <v>0.33333333333333326</v>
      </c>
      <c r="I31" s="59">
        <f t="shared" si="15"/>
        <v>0.54054054054054057</v>
      </c>
      <c r="J31" s="60">
        <f t="shared" si="15"/>
        <v>0.5</v>
      </c>
      <c r="K31" s="59">
        <f t="shared" si="15"/>
        <v>0.31111111111111112</v>
      </c>
      <c r="L31" s="59">
        <f t="shared" si="15"/>
        <v>0.20833333333333326</v>
      </c>
      <c r="M31" s="59">
        <f t="shared" si="15"/>
        <v>-1.7543859649122862E-2</v>
      </c>
      <c r="N31" s="50"/>
      <c r="O31" s="43"/>
      <c r="P31" s="43"/>
      <c r="Q31" s="43"/>
    </row>
    <row r="32" spans="1:17" s="26" customFormat="1" x14ac:dyDescent="0.15">
      <c r="A32" s="6" t="s">
        <v>45</v>
      </c>
      <c r="B32" s="60"/>
      <c r="C32" s="59"/>
      <c r="D32" s="59"/>
      <c r="E32" s="59"/>
      <c r="F32" s="60">
        <f t="shared" si="15"/>
        <v>0.17901234567901225</v>
      </c>
      <c r="G32" s="59">
        <f t="shared" si="15"/>
        <v>0.15596330275229353</v>
      </c>
      <c r="H32" s="59">
        <f t="shared" si="15"/>
        <v>0.39898989898989901</v>
      </c>
      <c r="I32" s="59">
        <f t="shared" si="15"/>
        <v>0.53246753246753253</v>
      </c>
      <c r="J32" s="60">
        <f t="shared" si="15"/>
        <v>0.39790575916230364</v>
      </c>
      <c r="K32" s="59">
        <f t="shared" si="15"/>
        <v>0.30158730158730163</v>
      </c>
      <c r="L32" s="59">
        <f t="shared" si="15"/>
        <v>0.45487364620938631</v>
      </c>
      <c r="M32" s="59">
        <f t="shared" si="15"/>
        <v>0.44915254237288127</v>
      </c>
      <c r="N32" s="50"/>
      <c r="O32" s="43"/>
      <c r="P32" s="43"/>
      <c r="Q32" s="43"/>
    </row>
    <row r="33" spans="1:17" s="26" customFormat="1" x14ac:dyDescent="0.15">
      <c r="A33" s="6" t="s">
        <v>46</v>
      </c>
      <c r="B33" s="60"/>
      <c r="C33" s="59"/>
      <c r="D33" s="59"/>
      <c r="E33" s="59"/>
      <c r="F33" s="60">
        <f t="shared" si="15"/>
        <v>0.15384615384615374</v>
      </c>
      <c r="G33" s="59">
        <f t="shared" si="15"/>
        <v>0.17557251908396942</v>
      </c>
      <c r="H33" s="59">
        <f t="shared" si="15"/>
        <v>-0.51282051282051277</v>
      </c>
      <c r="I33" s="59">
        <f t="shared" si="15"/>
        <v>0.26211849192100534</v>
      </c>
      <c r="J33" s="60">
        <f t="shared" si="15"/>
        <v>0.3403508771929824</v>
      </c>
      <c r="K33" s="59">
        <f t="shared" si="15"/>
        <v>0.27922077922077926</v>
      </c>
      <c r="L33" s="59">
        <f t="shared" si="15"/>
        <v>0.14681440443213289</v>
      </c>
      <c r="M33" s="59">
        <f t="shared" si="15"/>
        <v>0.11948790896159323</v>
      </c>
      <c r="N33" s="50"/>
      <c r="O33" s="43"/>
      <c r="P33" s="43"/>
      <c r="Q33" s="43"/>
    </row>
    <row r="35" spans="1:17" s="26" customFormat="1" x14ac:dyDescent="0.15">
      <c r="A35" s="26" t="s">
        <v>3</v>
      </c>
      <c r="B35" s="41">
        <f>B36-B37</f>
        <v>4657</v>
      </c>
      <c r="C35" s="40">
        <f t="shared" ref="C35:L35" si="16">C36-C37</f>
        <v>5071</v>
      </c>
      <c r="D35" s="40">
        <f t="shared" si="16"/>
        <v>6352</v>
      </c>
      <c r="E35" s="40">
        <f t="shared" si="16"/>
        <v>6723</v>
      </c>
      <c r="F35" s="41">
        <f t="shared" si="16"/>
        <v>7227</v>
      </c>
      <c r="G35" s="40">
        <f t="shared" si="16"/>
        <v>8141</v>
      </c>
      <c r="H35" s="40">
        <f t="shared" si="16"/>
        <v>8731</v>
      </c>
      <c r="I35" s="40">
        <f t="shared" si="16"/>
        <v>8754</v>
      </c>
      <c r="J35" s="41">
        <f t="shared" si="16"/>
        <v>7313</v>
      </c>
      <c r="K35" s="40">
        <f t="shared" si="16"/>
        <v>8019</v>
      </c>
      <c r="L35" s="40">
        <f t="shared" si="16"/>
        <v>7541</v>
      </c>
      <c r="M35" s="40">
        <f t="shared" ref="M35" si="17">M36-M37</f>
        <v>6043</v>
      </c>
      <c r="N35" s="50"/>
      <c r="O35" s="43"/>
      <c r="P35" s="43"/>
      <c r="Q35" s="43"/>
    </row>
    <row r="36" spans="1:17" x14ac:dyDescent="0.15">
      <c r="A36" s="6" t="s">
        <v>47</v>
      </c>
      <c r="B36" s="38">
        <f>1857+1+1526+7594</f>
        <v>10978</v>
      </c>
      <c r="C36" s="39">
        <f>2694+1+1677+7954</f>
        <v>12326</v>
      </c>
      <c r="D36" s="39">
        <f>2442+1+1956+9296</f>
        <v>13695</v>
      </c>
      <c r="E36" s="39">
        <f>2081+2219+9591</f>
        <v>13891</v>
      </c>
      <c r="F36" s="38">
        <f>2434+2936+10141</f>
        <v>15511</v>
      </c>
      <c r="G36" s="39">
        <f>2634+3722+10264</f>
        <v>16620</v>
      </c>
      <c r="H36" s="39">
        <f>2846+4407+11114</f>
        <v>18367</v>
      </c>
      <c r="I36" s="39">
        <f>2542+4860+10873</f>
        <v>18275</v>
      </c>
      <c r="J36" s="38">
        <f>2622+4241+9433</f>
        <v>16296</v>
      </c>
      <c r="K36" s="39">
        <f>3187+4146+9445</f>
        <v>16778</v>
      </c>
      <c r="L36" s="39">
        <f>2973+4158+9114</f>
        <v>16245</v>
      </c>
      <c r="M36" s="39">
        <f>2624+3660+8408</f>
        <v>14692</v>
      </c>
    </row>
    <row r="37" spans="1:17" x14ac:dyDescent="0.15">
      <c r="A37" s="6" t="s">
        <v>48</v>
      </c>
      <c r="B37" s="38">
        <v>6321</v>
      </c>
      <c r="C37" s="39">
        <v>7255</v>
      </c>
      <c r="D37" s="39">
        <f>961+6347+35</f>
        <v>7343</v>
      </c>
      <c r="E37" s="39">
        <f>968+6171+29</f>
        <v>7168</v>
      </c>
      <c r="F37" s="38">
        <f>975+7286+23</f>
        <v>8284</v>
      </c>
      <c r="G37" s="39">
        <f>899+7565+15</f>
        <v>8479</v>
      </c>
      <c r="H37" s="39">
        <f>900+8727+9</f>
        <v>9636</v>
      </c>
      <c r="I37" s="39">
        <f>711+8810</f>
        <v>9521</v>
      </c>
      <c r="J37" s="38">
        <f>942+7990+51</f>
        <v>8983</v>
      </c>
      <c r="K37" s="39">
        <f>948+7765+46</f>
        <v>8759</v>
      </c>
      <c r="L37" s="39">
        <v>8704</v>
      </c>
      <c r="M37" s="39">
        <v>8649</v>
      </c>
    </row>
    <row r="39" spans="1:17" x14ac:dyDescent="0.15">
      <c r="A39" s="12" t="s">
        <v>49</v>
      </c>
      <c r="B39" s="38">
        <f>2129+3378</f>
        <v>5507</v>
      </c>
      <c r="C39" s="39">
        <f>2082+3361</f>
        <v>5443</v>
      </c>
      <c r="D39" s="39">
        <f>2040+2416</f>
        <v>4456</v>
      </c>
      <c r="E39" s="61">
        <f>1994+2397</f>
        <v>4391</v>
      </c>
      <c r="F39" s="38">
        <f>1952+2402</f>
        <v>4354</v>
      </c>
      <c r="G39" s="39">
        <f>1915+2419</f>
        <v>4334</v>
      </c>
      <c r="H39" s="39">
        <f>2218+2728</f>
        <v>4946</v>
      </c>
      <c r="I39" s="61">
        <f>2177+2738</f>
        <v>4915</v>
      </c>
      <c r="J39" s="38">
        <f>2140+2755</f>
        <v>4895</v>
      </c>
      <c r="K39" s="39">
        <f>2163+2850</f>
        <v>5013</v>
      </c>
      <c r="L39" s="39">
        <f>2117+2845</f>
        <v>4962</v>
      </c>
      <c r="M39" s="39">
        <f>2125+2910</f>
        <v>5035</v>
      </c>
    </row>
    <row r="40" spans="1:17" x14ac:dyDescent="0.15">
      <c r="A40" s="12" t="s">
        <v>50</v>
      </c>
      <c r="B40" s="38">
        <v>18335</v>
      </c>
      <c r="C40" s="39">
        <v>19687</v>
      </c>
      <c r="D40" s="39">
        <v>20034</v>
      </c>
      <c r="E40" s="61">
        <v>19839</v>
      </c>
      <c r="F40" s="38">
        <v>21994</v>
      </c>
      <c r="G40" s="39">
        <v>23458</v>
      </c>
      <c r="H40" s="39">
        <v>25789</v>
      </c>
      <c r="I40" s="61">
        <v>25451</v>
      </c>
      <c r="J40" s="38">
        <v>25019</v>
      </c>
      <c r="K40" s="39">
        <v>25269</v>
      </c>
      <c r="L40" s="39">
        <v>24370</v>
      </c>
      <c r="M40" s="39">
        <v>22687</v>
      </c>
    </row>
    <row r="41" spans="1:17" x14ac:dyDescent="0.15">
      <c r="A41" s="12" t="s">
        <v>51</v>
      </c>
      <c r="B41" s="38">
        <v>9282</v>
      </c>
      <c r="C41" s="39">
        <v>10412</v>
      </c>
      <c r="D41" s="39">
        <v>10197</v>
      </c>
      <c r="E41" s="61">
        <v>9990</v>
      </c>
      <c r="F41" s="38">
        <v>11161</v>
      </c>
      <c r="G41" s="39">
        <v>11854</v>
      </c>
      <c r="H41" s="39">
        <v>12903</v>
      </c>
      <c r="I41" s="61">
        <v>14188</v>
      </c>
      <c r="J41" s="38">
        <v>14331</v>
      </c>
      <c r="K41" s="39">
        <v>14778</v>
      </c>
      <c r="L41" s="39">
        <v>14419</v>
      </c>
      <c r="M41" s="39">
        <v>13902</v>
      </c>
    </row>
    <row r="42" spans="1:17" x14ac:dyDescent="0.15">
      <c r="E42" s="62"/>
      <c r="I42" s="62"/>
    </row>
    <row r="43" spans="1:17" x14ac:dyDescent="0.15">
      <c r="A43" s="12" t="s">
        <v>52</v>
      </c>
      <c r="B43" s="45">
        <f t="shared" ref="B43:K43" si="18">B40-B36-B39</f>
        <v>1850</v>
      </c>
      <c r="C43" s="44">
        <f t="shared" si="18"/>
        <v>1918</v>
      </c>
      <c r="D43" s="44">
        <f t="shared" si="18"/>
        <v>1883</v>
      </c>
      <c r="E43" s="44">
        <f t="shared" si="18"/>
        <v>1557</v>
      </c>
      <c r="F43" s="45">
        <f t="shared" si="18"/>
        <v>2129</v>
      </c>
      <c r="G43" s="44">
        <f t="shared" si="18"/>
        <v>2504</v>
      </c>
      <c r="H43" s="44">
        <f t="shared" si="18"/>
        <v>2476</v>
      </c>
      <c r="I43" s="44">
        <f t="shared" si="18"/>
        <v>2261</v>
      </c>
      <c r="J43" s="45">
        <f t="shared" si="18"/>
        <v>3828</v>
      </c>
      <c r="K43" s="44">
        <f t="shared" si="18"/>
        <v>3478</v>
      </c>
      <c r="L43" s="44">
        <f>L40-L36-L39</f>
        <v>3163</v>
      </c>
      <c r="M43" s="44">
        <f>M40-M36-M39</f>
        <v>2960</v>
      </c>
    </row>
    <row r="44" spans="1:17" x14ac:dyDescent="0.15">
      <c r="A44" s="12" t="s">
        <v>53</v>
      </c>
      <c r="B44" s="45">
        <f t="shared" ref="B44:L44" si="19">B40-B41</f>
        <v>9053</v>
      </c>
      <c r="C44" s="44">
        <f t="shared" si="19"/>
        <v>9275</v>
      </c>
      <c r="D44" s="44">
        <f>D40-D41</f>
        <v>9837</v>
      </c>
      <c r="E44" s="44">
        <f>E40-E41</f>
        <v>9849</v>
      </c>
      <c r="F44" s="45">
        <f t="shared" si="19"/>
        <v>10833</v>
      </c>
      <c r="G44" s="44">
        <f t="shared" si="19"/>
        <v>11604</v>
      </c>
      <c r="H44" s="44">
        <f t="shared" si="19"/>
        <v>12886</v>
      </c>
      <c r="I44" s="44">
        <f t="shared" si="19"/>
        <v>11263</v>
      </c>
      <c r="J44" s="45">
        <f t="shared" si="19"/>
        <v>10688</v>
      </c>
      <c r="K44" s="44">
        <f t="shared" si="19"/>
        <v>10491</v>
      </c>
      <c r="L44" s="44">
        <f t="shared" si="19"/>
        <v>9951</v>
      </c>
      <c r="M44" s="44">
        <f t="shared" ref="M44" si="20">M40-M41</f>
        <v>8785</v>
      </c>
    </row>
    <row r="45" spans="1:17" x14ac:dyDescent="0.15">
      <c r="E45" s="62"/>
      <c r="I45" s="62"/>
    </row>
    <row r="46" spans="1:17" s="26" customFormat="1" x14ac:dyDescent="0.15">
      <c r="A46" s="63" t="s">
        <v>86</v>
      </c>
      <c r="B46" s="41">
        <f>SUM(B22:B22)</f>
        <v>374</v>
      </c>
      <c r="C46" s="40">
        <f>SUM(B22:C22)</f>
        <v>953</v>
      </c>
      <c r="D46" s="40">
        <f>SUM(B22:D22)</f>
        <v>1459</v>
      </c>
      <c r="E46" s="40">
        <f t="shared" ref="E46:M46" si="21">SUM(B22:E22)</f>
        <v>2133</v>
      </c>
      <c r="F46" s="41">
        <f t="shared" si="21"/>
        <v>2214</v>
      </c>
      <c r="G46" s="40">
        <f t="shared" si="21"/>
        <v>2355</v>
      </c>
      <c r="H46" s="40">
        <f t="shared" si="21"/>
        <v>3570</v>
      </c>
      <c r="I46" s="40">
        <f t="shared" si="21"/>
        <v>3678.6511852926947</v>
      </c>
      <c r="J46" s="41">
        <f t="shared" si="21"/>
        <v>3831.6511852926947</v>
      </c>
      <c r="K46" s="40">
        <f t="shared" si="21"/>
        <v>4087.6511852926947</v>
      </c>
      <c r="L46" s="40">
        <f t="shared" si="21"/>
        <v>4132.6511852926942</v>
      </c>
      <c r="M46" s="40">
        <f t="shared" si="21"/>
        <v>3996</v>
      </c>
      <c r="N46" s="50"/>
      <c r="O46" s="43"/>
      <c r="P46" s="43"/>
      <c r="Q46" s="43"/>
    </row>
    <row r="47" spans="1:17" x14ac:dyDescent="0.15">
      <c r="A47" s="12" t="s">
        <v>54</v>
      </c>
      <c r="B47" s="54">
        <f t="shared" ref="B47:K47" si="22">B46/B44</f>
        <v>4.1312272174969626E-2</v>
      </c>
      <c r="C47" s="53">
        <f t="shared" si="22"/>
        <v>0.10274932614555256</v>
      </c>
      <c r="D47" s="53">
        <f t="shared" si="22"/>
        <v>0.14831757649689947</v>
      </c>
      <c r="E47" s="53">
        <f t="shared" si="22"/>
        <v>0.21657021017362169</v>
      </c>
      <c r="F47" s="54">
        <f t="shared" si="22"/>
        <v>0.20437551924674605</v>
      </c>
      <c r="G47" s="53">
        <f t="shared" si="22"/>
        <v>0.202947259565667</v>
      </c>
      <c r="H47" s="53">
        <f t="shared" si="22"/>
        <v>0.27704485488126651</v>
      </c>
      <c r="I47" s="53">
        <f t="shared" si="22"/>
        <v>0.32661379608387592</v>
      </c>
      <c r="J47" s="54">
        <f t="shared" si="22"/>
        <v>0.35850029802513983</v>
      </c>
      <c r="K47" s="53">
        <f t="shared" si="22"/>
        <v>0.38963408495783952</v>
      </c>
      <c r="L47" s="53">
        <f>L46/L44</f>
        <v>0.41530008896519888</v>
      </c>
      <c r="M47" s="53">
        <f>M46/M44</f>
        <v>0.45486624928856007</v>
      </c>
    </row>
    <row r="48" spans="1:17" x14ac:dyDescent="0.15">
      <c r="A48" s="12" t="s">
        <v>55</v>
      </c>
      <c r="B48" s="54">
        <f t="shared" ref="B48:K48" si="23">B46/B40</f>
        <v>2.0398145623125169E-2</v>
      </c>
      <c r="C48" s="53">
        <f t="shared" si="23"/>
        <v>4.8407578605170927E-2</v>
      </c>
      <c r="D48" s="53">
        <f t="shared" si="23"/>
        <v>7.2826195467704899E-2</v>
      </c>
      <c r="E48" s="53">
        <f t="shared" si="23"/>
        <v>0.10751549977317405</v>
      </c>
      <c r="F48" s="54">
        <f t="shared" si="23"/>
        <v>0.10066381740474675</v>
      </c>
      <c r="G48" s="53">
        <f t="shared" si="23"/>
        <v>0.10039219029755307</v>
      </c>
      <c r="H48" s="53">
        <f t="shared" si="23"/>
        <v>0.13843111404087013</v>
      </c>
      <c r="I48" s="53">
        <f t="shared" si="23"/>
        <v>0.14453857158039743</v>
      </c>
      <c r="J48" s="54">
        <f t="shared" si="23"/>
        <v>0.15314965367491484</v>
      </c>
      <c r="K48" s="53">
        <f t="shared" si="23"/>
        <v>0.16176545115725571</v>
      </c>
      <c r="L48" s="53">
        <f>L46/L40</f>
        <v>0.16957944954011875</v>
      </c>
      <c r="M48" s="53">
        <f>M46/M40</f>
        <v>0.17613611319257724</v>
      </c>
    </row>
    <row r="49" spans="1:17" x14ac:dyDescent="0.15">
      <c r="A49" s="12" t="s">
        <v>56</v>
      </c>
      <c r="B49" s="54">
        <f t="shared" ref="B49:K49" si="24">B46/(B44-B39)</f>
        <v>0.10547095318668923</v>
      </c>
      <c r="C49" s="53">
        <f t="shared" si="24"/>
        <v>0.24869519832985387</v>
      </c>
      <c r="D49" s="53">
        <f t="shared" si="24"/>
        <v>0.27113919345846499</v>
      </c>
      <c r="E49" s="53">
        <f t="shared" si="24"/>
        <v>0.39080249175522169</v>
      </c>
      <c r="F49" s="54">
        <f t="shared" si="24"/>
        <v>0.34171940114215155</v>
      </c>
      <c r="G49" s="53">
        <f t="shared" si="24"/>
        <v>0.32393397524071527</v>
      </c>
      <c r="H49" s="53">
        <f>H46/(H44-H39)</f>
        <v>0.44962216624685136</v>
      </c>
      <c r="I49" s="53">
        <f t="shared" si="24"/>
        <v>0.57949766624018506</v>
      </c>
      <c r="J49" s="54">
        <f t="shared" si="24"/>
        <v>0.66142778962414894</v>
      </c>
      <c r="K49" s="53">
        <f t="shared" si="24"/>
        <v>0.74619408274784493</v>
      </c>
      <c r="L49" s="53">
        <f>L46/(L44-L39)</f>
        <v>0.82835261280671357</v>
      </c>
      <c r="M49" s="53">
        <f>M46/(M44-M39)</f>
        <v>1.0656000000000001</v>
      </c>
    </row>
    <row r="50" spans="1:17" x14ac:dyDescent="0.15">
      <c r="A50" s="12" t="s">
        <v>57</v>
      </c>
      <c r="B50" s="54">
        <f t="shared" ref="B50:K50" si="25">B46/B43</f>
        <v>0.20216216216216215</v>
      </c>
      <c r="C50" s="53">
        <f t="shared" si="25"/>
        <v>0.49687174139728885</v>
      </c>
      <c r="D50" s="53">
        <f t="shared" si="25"/>
        <v>0.77482740308019116</v>
      </c>
      <c r="E50" s="53">
        <f t="shared" si="25"/>
        <v>1.3699421965317919</v>
      </c>
      <c r="F50" s="54">
        <f t="shared" si="25"/>
        <v>1.039924847346172</v>
      </c>
      <c r="G50" s="53">
        <f t="shared" si="25"/>
        <v>0.94049520766773165</v>
      </c>
      <c r="H50" s="53">
        <f t="shared" si="25"/>
        <v>1.4418416801292406</v>
      </c>
      <c r="I50" s="53">
        <f t="shared" si="25"/>
        <v>1.6270018510803603</v>
      </c>
      <c r="J50" s="54">
        <f t="shared" si="25"/>
        <v>1.0009538101600561</v>
      </c>
      <c r="K50" s="53">
        <f t="shared" si="25"/>
        <v>1.1752878623613268</v>
      </c>
      <c r="L50" s="53">
        <f>L46/L43</f>
        <v>1.3065606023688567</v>
      </c>
      <c r="M50" s="53">
        <f>M46/M43</f>
        <v>1.35</v>
      </c>
    </row>
    <row r="52" spans="1:17" x14ac:dyDescent="0.15">
      <c r="A52" s="13" t="s">
        <v>16</v>
      </c>
      <c r="B52" s="54"/>
      <c r="C52" s="53"/>
      <c r="D52" s="53"/>
      <c r="E52" s="53"/>
      <c r="F52" s="54">
        <f t="shared" ref="F52:M54" si="26">F3/B3-1</f>
        <v>0.18999999999999995</v>
      </c>
      <c r="G52" s="53">
        <f t="shared" si="26"/>
        <v>0.25849973016729622</v>
      </c>
      <c r="H52" s="53">
        <f t="shared" si="26"/>
        <v>0.218533886583679</v>
      </c>
      <c r="I52" s="53">
        <f t="shared" si="26"/>
        <v>0.19343696027633861</v>
      </c>
      <c r="J52" s="54">
        <f t="shared" si="26"/>
        <v>0.18375350140056024</v>
      </c>
      <c r="K52" s="53">
        <f t="shared" si="26"/>
        <v>0.10034305317324188</v>
      </c>
      <c r="L52" s="53">
        <f t="shared" si="26"/>
        <v>4.8240635641316754E-3</v>
      </c>
      <c r="M52" s="53">
        <f t="shared" si="26"/>
        <v>8.9725036179450157E-2</v>
      </c>
      <c r="N52" s="64"/>
      <c r="O52" s="6"/>
      <c r="P52" s="6"/>
      <c r="Q52" s="6"/>
    </row>
    <row r="53" spans="1:17" x14ac:dyDescent="0.15">
      <c r="A53" s="13" t="s">
        <v>17</v>
      </c>
      <c r="B53" s="54"/>
      <c r="C53" s="53"/>
      <c r="D53" s="53"/>
      <c r="E53" s="53"/>
      <c r="F53" s="54">
        <f t="shared" si="26"/>
        <v>-5.9574468085106358E-2</v>
      </c>
      <c r="G53" s="53">
        <f t="shared" si="26"/>
        <v>-3.8610038610038644E-2</v>
      </c>
      <c r="H53" s="53">
        <f t="shared" si="26"/>
        <v>0.10322580645161294</v>
      </c>
      <c r="I53" s="53">
        <f t="shared" si="26"/>
        <v>0.15681818181818175</v>
      </c>
      <c r="J53" s="54">
        <f t="shared" si="26"/>
        <v>0.19004524886877827</v>
      </c>
      <c r="K53" s="53">
        <f t="shared" si="26"/>
        <v>0.42570281124497988</v>
      </c>
      <c r="L53" s="53">
        <f t="shared" si="26"/>
        <v>0.53508771929824572</v>
      </c>
      <c r="M53" s="53">
        <f t="shared" si="26"/>
        <v>0.3772102161100197</v>
      </c>
      <c r="N53" s="64"/>
      <c r="O53" s="6"/>
      <c r="P53" s="6"/>
      <c r="Q53" s="6"/>
    </row>
    <row r="54" spans="1:17" x14ac:dyDescent="0.15">
      <c r="A54" s="13" t="s">
        <v>18</v>
      </c>
      <c r="B54" s="54"/>
      <c r="C54" s="53"/>
      <c r="D54" s="53"/>
      <c r="E54" s="53"/>
      <c r="F54" s="54">
        <f t="shared" si="26"/>
        <v>7.8651685393258397E-2</v>
      </c>
      <c r="G54" s="53">
        <f t="shared" si="26"/>
        <v>4.8648648648648596E-2</v>
      </c>
      <c r="H54" s="53">
        <f t="shared" si="26"/>
        <v>0.2696629213483146</v>
      </c>
      <c r="I54" s="53">
        <f t="shared" si="26"/>
        <v>0.29069767441860472</v>
      </c>
      <c r="J54" s="54">
        <f t="shared" si="26"/>
        <v>0.5</v>
      </c>
      <c r="K54" s="53">
        <f t="shared" si="26"/>
        <v>0.34536082474226815</v>
      </c>
      <c r="L54" s="53">
        <f t="shared" si="26"/>
        <v>0.13274336283185839</v>
      </c>
      <c r="M54" s="53">
        <f t="shared" si="26"/>
        <v>0.13963963963963955</v>
      </c>
      <c r="N54" s="64"/>
      <c r="O54" s="6"/>
      <c r="P54" s="6"/>
      <c r="Q54" s="6"/>
    </row>
    <row r="55" spans="1:17" x14ac:dyDescent="0.15">
      <c r="A55" s="13"/>
      <c r="B55" s="54"/>
      <c r="C55" s="53"/>
      <c r="D55" s="53"/>
      <c r="E55" s="53"/>
      <c r="F55" s="54"/>
      <c r="G55" s="53"/>
      <c r="H55" s="53"/>
      <c r="I55" s="53"/>
      <c r="J55" s="54"/>
      <c r="K55" s="53"/>
      <c r="L55" s="53"/>
      <c r="M55" s="53"/>
      <c r="N55" s="64"/>
      <c r="O55" s="6"/>
      <c r="P55" s="6"/>
      <c r="Q55" s="6"/>
    </row>
    <row r="56" spans="1:17" x14ac:dyDescent="0.15">
      <c r="A56" s="6" t="s">
        <v>102</v>
      </c>
      <c r="E56" s="53"/>
      <c r="F56" s="54">
        <f t="shared" ref="F56:M56" si="27">F7/B7-1</f>
        <v>0.27399267399267413</v>
      </c>
      <c r="G56" s="53">
        <f t="shared" si="27"/>
        <v>0.20966595593461257</v>
      </c>
      <c r="H56" s="53">
        <f t="shared" si="27"/>
        <v>0.18649732620320858</v>
      </c>
      <c r="I56" s="53">
        <f t="shared" si="27"/>
        <v>0.16808018504240563</v>
      </c>
      <c r="J56" s="54">
        <f t="shared" si="27"/>
        <v>0.13168487636572745</v>
      </c>
      <c r="K56" s="53">
        <f t="shared" si="27"/>
        <v>0.11927144535840206</v>
      </c>
      <c r="L56" s="53">
        <f t="shared" si="27"/>
        <v>0.13408450704225361</v>
      </c>
      <c r="M56" s="53">
        <f t="shared" si="27"/>
        <v>0.12871287128712861</v>
      </c>
    </row>
    <row r="57" spans="1:17" x14ac:dyDescent="0.15">
      <c r="A57" s="6" t="s">
        <v>105</v>
      </c>
      <c r="F57" s="54">
        <f t="shared" ref="F57:M57" si="28">F8/B8-1</f>
        <v>-0.11603583257571126</v>
      </c>
      <c r="G57" s="53">
        <f t="shared" si="28"/>
        <v>-2.1962562685159059E-2</v>
      </c>
      <c r="H57" s="53">
        <f t="shared" si="28"/>
        <v>1.275071567617081E-2</v>
      </c>
      <c r="I57" s="53">
        <f t="shared" si="28"/>
        <v>2.1932793534781281E-2</v>
      </c>
      <c r="J57" s="54">
        <f t="shared" si="28"/>
        <v>6.9205888679390926E-2</v>
      </c>
      <c r="K57" s="53">
        <f t="shared" si="28"/>
        <v>4.5003749531308479E-2</v>
      </c>
      <c r="L57" s="53">
        <f t="shared" si="28"/>
        <v>-3.6100148314261449E-2</v>
      </c>
      <c r="M57" s="53">
        <f t="shared" si="28"/>
        <v>1.5194459043471831E-2</v>
      </c>
    </row>
    <row r="59" spans="1:17" s="7" customFormat="1" x14ac:dyDescent="0.15">
      <c r="A59" s="7" t="s">
        <v>99</v>
      </c>
      <c r="B59" s="38">
        <v>16653</v>
      </c>
      <c r="C59" s="39">
        <v>17862</v>
      </c>
      <c r="D59" s="39">
        <v>18460</v>
      </c>
      <c r="E59" s="39">
        <v>15112</v>
      </c>
      <c r="F59" s="38">
        <v>20687</v>
      </c>
      <c r="G59" s="39">
        <v>20797</v>
      </c>
      <c r="H59" s="39">
        <v>21762</v>
      </c>
      <c r="I59" s="39">
        <v>17980</v>
      </c>
      <c r="J59" s="38">
        <v>25009</v>
      </c>
      <c r="K59" s="39">
        <v>23896</v>
      </c>
      <c r="L59" s="39">
        <v>24274</v>
      </c>
      <c r="M59" s="39">
        <v>19552</v>
      </c>
      <c r="N59" s="38"/>
      <c r="O59" s="39"/>
      <c r="P59" s="39"/>
      <c r="Q59" s="39"/>
    </row>
    <row r="60" spans="1:17" x14ac:dyDescent="0.15">
      <c r="A60" s="6" t="s">
        <v>100</v>
      </c>
      <c r="E60" s="53"/>
      <c r="F60" s="54">
        <f t="shared" ref="F60:M60" si="29">F59/B59-1</f>
        <v>0.2422386356812587</v>
      </c>
      <c r="G60" s="53">
        <f t="shared" si="29"/>
        <v>0.16431530623670354</v>
      </c>
      <c r="H60" s="53">
        <f t="shared" si="29"/>
        <v>0.1788732394366197</v>
      </c>
      <c r="I60" s="53">
        <f t="shared" si="29"/>
        <v>0.18978295394388556</v>
      </c>
      <c r="J60" s="54">
        <f t="shared" si="29"/>
        <v>0.2089234785130758</v>
      </c>
      <c r="K60" s="53">
        <f t="shared" si="29"/>
        <v>0.14901187671298755</v>
      </c>
      <c r="L60" s="53">
        <f t="shared" si="29"/>
        <v>0.11543056704347032</v>
      </c>
      <c r="M60" s="53">
        <f t="shared" si="29"/>
        <v>8.7430478309232562E-2</v>
      </c>
    </row>
  </sheetData>
  <hyperlinks>
    <hyperlink ref="A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5" sqref="B15"/>
    </sheetView>
  </sheetViews>
  <sheetFormatPr baseColWidth="10" defaultRowHeight="13" x14ac:dyDescent="0.15"/>
  <cols>
    <col min="1" max="1" width="12.6640625" style="3" bestFit="1" customWidth="1"/>
    <col min="2" max="2" width="35.5" style="3" bestFit="1" customWidth="1"/>
    <col min="3" max="16384" width="10.83203125" style="3"/>
  </cols>
  <sheetData>
    <row r="1" spans="1:2" x14ac:dyDescent="0.15">
      <c r="A1" s="3" t="s">
        <v>87</v>
      </c>
      <c r="B1" s="3" t="s">
        <v>94</v>
      </c>
    </row>
    <row r="2" spans="1:2" x14ac:dyDescent="0.15">
      <c r="A2" s="3" t="s">
        <v>88</v>
      </c>
      <c r="B2" s="3" t="s">
        <v>91</v>
      </c>
    </row>
    <row r="3" spans="1:2" x14ac:dyDescent="0.15">
      <c r="A3" s="3" t="s">
        <v>89</v>
      </c>
      <c r="B3" s="3" t="s">
        <v>90</v>
      </c>
    </row>
    <row r="4" spans="1:2" x14ac:dyDescent="0.15">
      <c r="A4" s="3" t="s">
        <v>92</v>
      </c>
      <c r="B4" s="3" t="s">
        <v>93</v>
      </c>
    </row>
    <row r="5" spans="1:2" x14ac:dyDescent="0.15">
      <c r="A5" s="3" t="s">
        <v>95</v>
      </c>
      <c r="B5" s="3" t="s">
        <v>96</v>
      </c>
    </row>
    <row r="6" spans="1:2" x14ac:dyDescent="0.15">
      <c r="A6" s="3" t="s">
        <v>97</v>
      </c>
      <c r="B6" s="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2018-01-04T19:16:18Z</dcterms:created>
  <dcterms:modified xsi:type="dcterms:W3CDTF">2019-03-22T16:53:30Z</dcterms:modified>
</cp:coreProperties>
</file>