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PROJECTS/- Investing/stocks/"/>
    </mc:Choice>
  </mc:AlternateContent>
  <bookViews>
    <workbookView xWindow="0" yWindow="460" windowWidth="15400" windowHeight="16540" tabRatio="500"/>
  </bookViews>
  <sheets>
    <sheet name="Main" sheetId="1" r:id="rId1"/>
    <sheet name="Repor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G15" i="1"/>
  <c r="F4" i="1"/>
  <c r="F5" i="1"/>
  <c r="C5" i="1"/>
  <c r="C3" i="1"/>
  <c r="I6" i="1"/>
  <c r="I5" i="1"/>
  <c r="I4" i="1"/>
  <c r="I3" i="1"/>
  <c r="I2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S26" i="1"/>
  <c r="O26" i="1"/>
  <c r="L26" i="1"/>
  <c r="L39" i="1"/>
  <c r="M23" i="1"/>
  <c r="M24" i="1"/>
  <c r="M25" i="1"/>
  <c r="M26" i="1"/>
  <c r="M39" i="1"/>
  <c r="N23" i="1"/>
  <c r="N24" i="1"/>
  <c r="N25" i="1"/>
  <c r="N26" i="1"/>
  <c r="N39" i="1"/>
  <c r="O23" i="1"/>
  <c r="O24" i="1"/>
  <c r="O25" i="1"/>
  <c r="O39" i="1"/>
  <c r="P23" i="1"/>
  <c r="P24" i="1"/>
  <c r="P25" i="1"/>
  <c r="P26" i="1"/>
  <c r="P39" i="1"/>
  <c r="Q23" i="1"/>
  <c r="Q24" i="1"/>
  <c r="Q25" i="1"/>
  <c r="Q26" i="1"/>
  <c r="Q39" i="1"/>
  <c r="R23" i="1"/>
  <c r="R24" i="1"/>
  <c r="R25" i="1"/>
  <c r="L25" i="1"/>
  <c r="H26" i="1"/>
  <c r="H39" i="1"/>
  <c r="I23" i="1"/>
  <c r="I24" i="1"/>
  <c r="H32" i="1"/>
  <c r="I25" i="1"/>
  <c r="I26" i="1"/>
  <c r="I39" i="1"/>
  <c r="J23" i="1"/>
  <c r="J24" i="1"/>
  <c r="I32" i="1"/>
  <c r="J25" i="1"/>
  <c r="J26" i="1"/>
  <c r="J39" i="1"/>
  <c r="K23" i="1"/>
  <c r="K24" i="1"/>
  <c r="J32" i="1"/>
  <c r="K25" i="1"/>
  <c r="H25" i="1"/>
  <c r="N20" i="1"/>
  <c r="O20" i="1"/>
  <c r="P20" i="1"/>
  <c r="Q20" i="1"/>
  <c r="R20" i="1"/>
  <c r="M20" i="1"/>
  <c r="N18" i="1"/>
  <c r="O18" i="1"/>
  <c r="P18" i="1"/>
  <c r="Q18" i="1"/>
  <c r="R18" i="1"/>
  <c r="M18" i="1"/>
  <c r="N19" i="1"/>
  <c r="O19" i="1"/>
  <c r="P19" i="1"/>
  <c r="Q19" i="1"/>
  <c r="R19" i="1"/>
  <c r="M19" i="1"/>
  <c r="I19" i="1"/>
  <c r="J19" i="1"/>
  <c r="K19" i="1"/>
  <c r="L19" i="1"/>
  <c r="H19" i="1"/>
  <c r="R37" i="1"/>
  <c r="Q37" i="1"/>
  <c r="P37" i="1"/>
  <c r="O37" i="1"/>
  <c r="N37" i="1"/>
  <c r="M37" i="1"/>
  <c r="L37" i="1"/>
  <c r="K37" i="1"/>
  <c r="J37" i="1"/>
  <c r="I37" i="1"/>
  <c r="H37" i="1"/>
  <c r="R36" i="1"/>
  <c r="Q36" i="1"/>
  <c r="P36" i="1"/>
  <c r="O36" i="1"/>
  <c r="N36" i="1"/>
  <c r="M36" i="1"/>
  <c r="L36" i="1"/>
  <c r="K36" i="1"/>
  <c r="J36" i="1"/>
  <c r="I36" i="1"/>
  <c r="H36" i="1"/>
  <c r="R35" i="1"/>
  <c r="Q35" i="1"/>
  <c r="P35" i="1"/>
  <c r="O35" i="1"/>
  <c r="N35" i="1"/>
  <c r="M35" i="1"/>
  <c r="L35" i="1"/>
  <c r="K35" i="1"/>
  <c r="J35" i="1"/>
  <c r="I35" i="1"/>
  <c r="H35" i="1"/>
  <c r="H21" i="1"/>
  <c r="H22" i="1"/>
  <c r="H24" i="1"/>
  <c r="I21" i="1"/>
  <c r="I22" i="1"/>
  <c r="J21" i="1"/>
  <c r="J22" i="1"/>
  <c r="K21" i="1"/>
  <c r="K22" i="1"/>
  <c r="K26" i="1"/>
  <c r="K39" i="1"/>
  <c r="L23" i="1"/>
  <c r="L21" i="1"/>
  <c r="L22" i="1"/>
  <c r="L24" i="1"/>
  <c r="K32" i="1"/>
  <c r="M21" i="1"/>
  <c r="M22" i="1"/>
  <c r="L32" i="1"/>
  <c r="N21" i="1"/>
  <c r="N22" i="1"/>
  <c r="M32" i="1"/>
  <c r="O21" i="1"/>
  <c r="O22" i="1"/>
  <c r="N32" i="1"/>
  <c r="P21" i="1"/>
  <c r="P22" i="1"/>
  <c r="O32" i="1"/>
  <c r="Q21" i="1"/>
  <c r="Q22" i="1"/>
  <c r="P32" i="1"/>
  <c r="R21" i="1"/>
  <c r="R22" i="1"/>
  <c r="Q32" i="1"/>
  <c r="R26" i="1"/>
  <c r="R39" i="1"/>
  <c r="H15" i="1"/>
  <c r="H17" i="1"/>
  <c r="M28" i="1"/>
  <c r="N28" i="1"/>
  <c r="O28" i="1"/>
  <c r="P28" i="1"/>
  <c r="Q28" i="1"/>
  <c r="R28" i="1"/>
  <c r="L30" i="1"/>
  <c r="M17" i="1"/>
  <c r="M30" i="1"/>
  <c r="N17" i="1"/>
  <c r="N30" i="1"/>
  <c r="O17" i="1"/>
  <c r="O30" i="1"/>
  <c r="P17" i="1"/>
  <c r="P30" i="1"/>
  <c r="Q17" i="1"/>
  <c r="Q30" i="1"/>
  <c r="R17" i="1"/>
  <c r="R27" i="1"/>
  <c r="Q27" i="1"/>
  <c r="P27" i="1"/>
  <c r="O27" i="1"/>
  <c r="N27" i="1"/>
  <c r="M27" i="1"/>
  <c r="R16" i="1"/>
  <c r="Q16" i="1"/>
  <c r="P16" i="1"/>
  <c r="O16" i="1"/>
  <c r="N16" i="1"/>
  <c r="M16" i="1"/>
  <c r="N15" i="1"/>
  <c r="O15" i="1"/>
  <c r="P15" i="1"/>
  <c r="Q15" i="1"/>
  <c r="R15" i="1"/>
  <c r="M15" i="1"/>
  <c r="R34" i="1"/>
  <c r="Q34" i="1"/>
  <c r="P34" i="1"/>
  <c r="O34" i="1"/>
  <c r="N34" i="1"/>
  <c r="M34" i="1"/>
  <c r="L34" i="1"/>
  <c r="K34" i="1"/>
  <c r="R32" i="1"/>
  <c r="H30" i="1"/>
  <c r="I17" i="1"/>
  <c r="I30" i="1"/>
  <c r="J17" i="1"/>
  <c r="J30" i="1"/>
  <c r="K17" i="1"/>
  <c r="K30" i="1"/>
  <c r="L17" i="1"/>
  <c r="R31" i="1"/>
  <c r="Q31" i="1"/>
  <c r="P31" i="1"/>
  <c r="O31" i="1"/>
  <c r="N31" i="1"/>
  <c r="M31" i="1"/>
  <c r="L31" i="1"/>
  <c r="K31" i="1"/>
  <c r="J31" i="1"/>
  <c r="I31" i="1"/>
  <c r="H31" i="1"/>
  <c r="R30" i="1"/>
  <c r="I28" i="1"/>
  <c r="J28" i="1"/>
  <c r="K28" i="1"/>
  <c r="L28" i="1"/>
  <c r="I18" i="1"/>
  <c r="J18" i="1"/>
  <c r="K18" i="1"/>
  <c r="L18" i="1"/>
  <c r="I20" i="1"/>
  <c r="J20" i="1"/>
  <c r="K20" i="1"/>
  <c r="L20" i="1"/>
  <c r="L27" i="1"/>
  <c r="K27" i="1"/>
  <c r="J27" i="1"/>
  <c r="I27" i="1"/>
  <c r="L16" i="1"/>
  <c r="K16" i="1"/>
  <c r="J16" i="1"/>
  <c r="I16" i="1"/>
  <c r="H28" i="1"/>
  <c r="H27" i="1"/>
  <c r="H23" i="1"/>
  <c r="F6" i="1"/>
  <c r="F7" i="1"/>
  <c r="G7" i="1"/>
  <c r="H20" i="1"/>
  <c r="H18" i="1"/>
  <c r="H16" i="1"/>
  <c r="M9" i="1"/>
  <c r="N9" i="1"/>
  <c r="O9" i="1"/>
  <c r="P9" i="1"/>
  <c r="Q9" i="1"/>
  <c r="R9" i="1"/>
  <c r="L9" i="1"/>
  <c r="K9" i="1"/>
  <c r="I15" i="1"/>
  <c r="J15" i="1"/>
  <c r="K15" i="1"/>
  <c r="L15" i="1"/>
  <c r="H34" i="1"/>
  <c r="F34" i="1"/>
  <c r="G55" i="1"/>
  <c r="G10" i="1"/>
  <c r="G16" i="1"/>
  <c r="G17" i="1"/>
  <c r="G18" i="1"/>
  <c r="G19" i="1"/>
  <c r="G20" i="1"/>
  <c r="G21" i="1"/>
  <c r="G22" i="1"/>
  <c r="G23" i="1"/>
  <c r="G24" i="1"/>
  <c r="G25" i="1"/>
  <c r="G26" i="1"/>
  <c r="G44" i="1"/>
  <c r="G43" i="1"/>
  <c r="G40" i="1"/>
  <c r="G47" i="1"/>
  <c r="G53" i="1"/>
  <c r="G45" i="1"/>
  <c r="G48" i="1"/>
  <c r="G52" i="1"/>
  <c r="G51" i="1"/>
  <c r="G50" i="1"/>
  <c r="G41" i="1"/>
  <c r="G39" i="1"/>
  <c r="F20" i="1"/>
  <c r="G37" i="1"/>
  <c r="F19" i="1"/>
  <c r="G36" i="1"/>
  <c r="F18" i="1"/>
  <c r="G35" i="1"/>
  <c r="F10" i="1"/>
  <c r="E15" i="1"/>
  <c r="F16" i="1"/>
  <c r="F17" i="1"/>
  <c r="F21" i="1"/>
  <c r="F22" i="1"/>
  <c r="F31" i="1"/>
  <c r="F30" i="1"/>
  <c r="F28" i="1"/>
  <c r="F25" i="1"/>
  <c r="F23" i="1"/>
  <c r="F24" i="1"/>
  <c r="F32" i="1"/>
  <c r="F26" i="1"/>
  <c r="F27" i="1"/>
  <c r="G28" i="1"/>
  <c r="G32" i="1"/>
  <c r="G31" i="1"/>
  <c r="G30" i="1"/>
  <c r="G27" i="1"/>
  <c r="B15" i="1"/>
  <c r="B16" i="2"/>
  <c r="B8" i="2"/>
  <c r="B10" i="2"/>
  <c r="B14" i="2"/>
  <c r="B15" i="2"/>
  <c r="B17" i="2"/>
  <c r="B25" i="2"/>
  <c r="B24" i="2"/>
  <c r="B23" i="2"/>
  <c r="B19" i="2"/>
  <c r="B20" i="2"/>
  <c r="F16" i="2"/>
  <c r="F49" i="2"/>
  <c r="F8" i="2"/>
  <c r="F10" i="2"/>
  <c r="F14" i="2"/>
  <c r="F15" i="2"/>
  <c r="F17" i="2"/>
  <c r="F19" i="2"/>
  <c r="F43" i="2"/>
  <c r="F40" i="2"/>
  <c r="F47" i="2"/>
  <c r="F41" i="2"/>
  <c r="F46" i="2"/>
  <c r="F45" i="2"/>
  <c r="F44" i="2"/>
  <c r="F32" i="2"/>
  <c r="F30" i="2"/>
  <c r="F29" i="2"/>
  <c r="F28" i="2"/>
  <c r="F27" i="2"/>
  <c r="F25" i="2"/>
  <c r="F24" i="2"/>
  <c r="F23" i="2"/>
  <c r="F20" i="2"/>
  <c r="C16" i="2"/>
  <c r="C8" i="2"/>
  <c r="C10" i="2"/>
  <c r="C14" i="2"/>
  <c r="C15" i="2"/>
  <c r="C17" i="2"/>
  <c r="C25" i="2"/>
  <c r="C24" i="2"/>
  <c r="C23" i="2"/>
  <c r="C19" i="2"/>
  <c r="C20" i="2"/>
  <c r="G16" i="2"/>
  <c r="G49" i="2"/>
  <c r="G8" i="2"/>
  <c r="G10" i="2"/>
  <c r="G14" i="2"/>
  <c r="G15" i="2"/>
  <c r="G17" i="2"/>
  <c r="G19" i="2"/>
  <c r="G43" i="2"/>
  <c r="G40" i="2"/>
  <c r="G47" i="2"/>
  <c r="G41" i="2"/>
  <c r="G46" i="2"/>
  <c r="G45" i="2"/>
  <c r="G44" i="2"/>
  <c r="G32" i="2"/>
  <c r="G30" i="2"/>
  <c r="G29" i="2"/>
  <c r="G28" i="2"/>
  <c r="G27" i="2"/>
  <c r="G25" i="2"/>
  <c r="G24" i="2"/>
  <c r="G23" i="2"/>
  <c r="G20" i="2"/>
  <c r="D16" i="2"/>
  <c r="D8" i="2"/>
  <c r="D10" i="2"/>
  <c r="D14" i="2"/>
  <c r="D15" i="2"/>
  <c r="D17" i="2"/>
  <c r="D19" i="2"/>
  <c r="D25" i="2"/>
  <c r="D24" i="2"/>
  <c r="D23" i="2"/>
  <c r="D20" i="2"/>
  <c r="H16" i="2"/>
  <c r="H8" i="2"/>
  <c r="H49" i="2"/>
  <c r="H10" i="2"/>
  <c r="H14" i="2"/>
  <c r="H15" i="2"/>
  <c r="H17" i="2"/>
  <c r="H19" i="2"/>
  <c r="E8" i="2"/>
  <c r="E10" i="2"/>
  <c r="E15" i="2"/>
  <c r="E17" i="2"/>
  <c r="E19" i="2"/>
  <c r="H43" i="2"/>
  <c r="H40" i="2"/>
  <c r="H47" i="2"/>
  <c r="H41" i="2"/>
  <c r="H46" i="2"/>
  <c r="H45" i="2"/>
  <c r="H44" i="2"/>
  <c r="H32" i="2"/>
  <c r="H30" i="2"/>
  <c r="H29" i="2"/>
  <c r="H28" i="2"/>
  <c r="H27" i="2"/>
  <c r="H25" i="2"/>
  <c r="H24" i="2"/>
  <c r="H23" i="2"/>
  <c r="H20" i="2"/>
  <c r="E36" i="2"/>
  <c r="E43" i="2"/>
  <c r="E40" i="2"/>
  <c r="E47" i="2"/>
  <c r="E41" i="2"/>
  <c r="E46" i="2"/>
  <c r="E45" i="2"/>
  <c r="E44" i="2"/>
  <c r="E32" i="2"/>
  <c r="I49" i="2"/>
  <c r="I8" i="2"/>
  <c r="I10" i="2"/>
  <c r="I14" i="2"/>
  <c r="I15" i="2"/>
  <c r="I16" i="2"/>
  <c r="I17" i="2"/>
  <c r="I19" i="2"/>
  <c r="I43" i="2"/>
  <c r="I40" i="2"/>
  <c r="I47" i="2"/>
  <c r="I41" i="2"/>
  <c r="I46" i="2"/>
  <c r="I45" i="2"/>
  <c r="I44" i="2"/>
  <c r="I32" i="2"/>
  <c r="I20" i="2"/>
  <c r="I27" i="2"/>
  <c r="I28" i="2"/>
  <c r="I30" i="2"/>
  <c r="I29" i="2"/>
  <c r="I25" i="2"/>
  <c r="I24" i="2"/>
  <c r="I23" i="2"/>
  <c r="E14" i="2"/>
  <c r="E16" i="2"/>
  <c r="E25" i="2"/>
  <c r="E24" i="2"/>
  <c r="E23" i="2"/>
  <c r="E20" i="2"/>
  <c r="J34" i="1"/>
  <c r="I34" i="1"/>
  <c r="G34" i="1"/>
  <c r="D15" i="1"/>
  <c r="E34" i="1"/>
  <c r="C15" i="1"/>
  <c r="D34" i="1"/>
  <c r="C34" i="1"/>
  <c r="C4" i="1"/>
  <c r="C6" i="1"/>
  <c r="C7" i="1"/>
  <c r="D9" i="1"/>
  <c r="E9" i="1"/>
  <c r="F9" i="1"/>
  <c r="G9" i="1"/>
  <c r="H9" i="1"/>
  <c r="I9" i="1"/>
  <c r="J9" i="1"/>
</calcChain>
</file>

<file path=xl/sharedStrings.xml><?xml version="1.0" encoding="utf-8"?>
<sst xmlns="http://schemas.openxmlformats.org/spreadsheetml/2006/main" count="132" uniqueCount="86">
  <si>
    <t>EDGAR</t>
  </si>
  <si>
    <t>Box Inc (BOX)</t>
  </si>
  <si>
    <t>Price</t>
  </si>
  <si>
    <t>Shares</t>
  </si>
  <si>
    <t>Market Cap</t>
  </si>
  <si>
    <t>Net Cash</t>
  </si>
  <si>
    <t>EV</t>
  </si>
  <si>
    <t>per share</t>
  </si>
  <si>
    <t>CEO</t>
  </si>
  <si>
    <t>Founder</t>
  </si>
  <si>
    <t>Cloud platform</t>
  </si>
  <si>
    <t>Revenue</t>
  </si>
  <si>
    <t>Revenue y/y</t>
  </si>
  <si>
    <t>Q319</t>
  </si>
  <si>
    <t>Aaron Levie</t>
  </si>
  <si>
    <t>Dylan Smith</t>
  </si>
  <si>
    <t>Net Income</t>
  </si>
  <si>
    <t>23/3/2019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</si>
  <si>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</si>
  <si>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</si>
  <si>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</si>
  <si>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</si>
  <si>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</si>
  <si>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</si>
  <si>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</si>
  <si>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</si>
  <si>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</si>
  <si>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</si>
  <si>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</si>
  <si>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Gross Margin</t>
  </si>
  <si>
    <t>Operating Margin</t>
  </si>
  <si>
    <t>Tax Rate</t>
  </si>
  <si>
    <t>R&amp;D y/y</t>
  </si>
  <si>
    <t>S&amp;M y/y</t>
  </si>
  <si>
    <t>G&amp;A y/y</t>
  </si>
  <si>
    <t>Cash</t>
  </si>
  <si>
    <t>Debt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</si>
  <si>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</si>
  <si>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</si>
  <si>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</si>
  <si>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</si>
  <si>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</si>
  <si>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</si>
  <si>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</si>
  <si>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</si>
  <si>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</si>
  <si>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DAU y/y</t>
  </si>
  <si>
    <t>ARPU y/y</t>
  </si>
  <si>
    <t>DAU</t>
  </si>
  <si>
    <t>ARPU</t>
  </si>
  <si>
    <t>NI 12M</t>
  </si>
  <si>
    <t>Q118</t>
  </si>
  <si>
    <t>Q218</t>
  </si>
  <si>
    <t>Q318</t>
  </si>
  <si>
    <t>Q418</t>
  </si>
  <si>
    <t>Q119</t>
  </si>
  <si>
    <t>Q219</t>
  </si>
  <si>
    <t>Q419</t>
  </si>
  <si>
    <t>31/1/2018</t>
  </si>
  <si>
    <t>31/1/2019</t>
  </si>
  <si>
    <t>Cloud platform y/y</t>
  </si>
  <si>
    <t>Q120</t>
  </si>
  <si>
    <t>Q220</t>
  </si>
  <si>
    <t>Q320</t>
  </si>
  <si>
    <t>Q420</t>
  </si>
  <si>
    <t>161-162 (guidance)</t>
  </si>
  <si>
    <t>700-704 (guidance)</t>
  </si>
  <si>
    <t>31/10/2018</t>
  </si>
  <si>
    <t>31/10/2017</t>
  </si>
  <si>
    <t>31/7/2018</t>
  </si>
  <si>
    <t>31/7/2017</t>
  </si>
  <si>
    <t>30/4/2018</t>
  </si>
  <si>
    <t>30/4/2017</t>
  </si>
  <si>
    <t>Maturity</t>
  </si>
  <si>
    <t>ROIC</t>
  </si>
  <si>
    <t>Expected return on invested capital (innovation grade)</t>
  </si>
  <si>
    <t>Earnings</t>
  </si>
  <si>
    <t>Discount</t>
  </si>
  <si>
    <t>Inflation + risk premium (opportunity cost)</t>
  </si>
  <si>
    <t>Growth</t>
  </si>
  <si>
    <t>NPV</t>
  </si>
  <si>
    <t>Future net income (terminal value)</t>
  </si>
  <si>
    <t>GM</t>
  </si>
  <si>
    <t>Value</t>
  </si>
  <si>
    <t>OM</t>
  </si>
  <si>
    <t>Investor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</si>
</sst>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_ ;[Red]\-#,##0\ 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b/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1" fillId="2" borderId="0" xfId="0" applyNumberFormat="1" applyFont="1" applyFill="1"/>
    <xf numFmtId="3" fontId="3" fillId="2" borderId="0" xfId="0" applyNumberFormat="1" applyFont="1" applyFill="1"/>
    <xf numFmtId="9" fontId="3" fillId="0" borderId="0" xfId="0" applyNumberFormat="1" applyFont="1"/>
    <xf numFmtId="4" fontId="1" fillId="2" borderId="0" xfId="0" applyNumberFormat="1" applyFont="1" applyFill="1"/>
    <xf numFmtId="0" fontId="5" fillId="0" borderId="0" xfId="1" applyFont="1"/>
    <xf numFmtId="3" fontId="3" fillId="0" borderId="0" xfId="0" applyNumberFormat="1" applyFont="1"/>
    <xf numFmtId="0" fontId="1" fillId="0" borderId="0" xfId="0" applyFont="1" applyFill="1" applyBorder="1"/>
    <xf numFmtId="9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3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/>
    <xf numFmtId="3" fontId="1" fillId="0" borderId="0" xfId="0" applyNumberFormat="1" applyFont="1" applyFill="1" applyAlignment="1">
      <alignment horizontal="right"/>
    </xf>
    <xf numFmtId="0" fontId="1" fillId="0" borderId="0" xfId="0" applyFont="1" applyBorder="1"/>
    <xf numFmtId="10" fontId="1" fillId="0" borderId="0" xfId="0" applyNumberFormat="1" applyFont="1"/>
    <xf numFmtId="166" fontId="1" fillId="2" borderId="0" xfId="0" applyNumberFormat="1" applyFont="1" applyFill="1"/>
    <xf numFmtId="0" fontId="3" fillId="0" borderId="0" xfId="0" applyFont="1" applyBorder="1"/>
    <xf numFmtId="166" fontId="3" fillId="2" borderId="0" xfId="0" applyNumberFormat="1" applyFont="1" applyFill="1"/>
    <xf numFmtId="0" fontId="4" fillId="0" borderId="0" xfId="0" applyFont="1" applyBorder="1"/>
    <xf numFmtId="4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8</xdr:row>
      <xdr:rowOff>0</xdr:rowOff>
    </xdr:from>
    <xdr:to>
      <xdr:col>7</xdr:col>
      <xdr:colOff>127000</xdr:colOff>
      <xdr:row>59</xdr:row>
      <xdr:rowOff>0</xdr:rowOff>
    </xdr:to>
    <xdr:cxnSp macro="">
      <xdr:nvCxnSpPr>
        <xdr:cNvPr id="4" name="Straight Connector 3"/>
        <xdr:cNvCxnSpPr/>
      </xdr:nvCxnSpPr>
      <xdr:spPr>
        <a:xfrm>
          <a:off x="6413500" y="1320800"/>
          <a:ext cx="0" cy="8750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0</xdr:rowOff>
    </xdr:from>
    <xdr:to>
      <xdr:col>9</xdr:col>
      <xdr:colOff>114300</xdr:colOff>
      <xdr:row>53</xdr:row>
      <xdr:rowOff>12700</xdr:rowOff>
    </xdr:to>
    <xdr:cxnSp macro="">
      <xdr:nvCxnSpPr>
        <xdr:cNvPr id="3" name="Straight Connector 2"/>
        <xdr:cNvCxnSpPr/>
      </xdr:nvCxnSpPr>
      <xdr:spPr>
        <a:xfrm>
          <a:off x="8051800" y="165100"/>
          <a:ext cx="0" cy="8597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aron_Levie" TargetMode="External"/><Relationship Id="rId4" Type="http://schemas.openxmlformats.org/officeDocument/2006/relationships/hyperlink" Target="https://en.wikipedia.org/wiki/Dylan_Smith_(businessman)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www.boxinvestorrelations.com/home/default.aspx" TargetMode="External"/><Relationship Id="rId2" Type="http://schemas.openxmlformats.org/officeDocument/2006/relationships/hyperlink" Target="https://en.wikipedia.org/wiki/Aaron_Lev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IK=box&amp;owner=exclude&amp;action=getcompany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8"/>
  <sheetViews>
    <sheetView tabSelected="1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C21" sqref="C21"/>
    </sheetView>
  </sheetViews>
  <sheetFormatPr baseColWidth="10" defaultRowHeight="13" x14ac:dyDescent="0.15"/>
  <cols>
    <col min="1" max="1" width="17.5" style="1" bestFit="1" customWidth="1"/>
    <col min="2" max="16384" width="10.83203125" style="1"/>
  </cols>
  <sheetData>
    <row r="1" spans="1:18" x14ac:dyDescent="0.15">
      <c r="A1" s="10" t="s">
        <v>85</v>
      </c>
      <c r="B1" s="2" t="s">
        <v>1</v>
      </c>
    </row>
    <row r="2" spans="1:18" x14ac:dyDescent="0.15">
      <c r="B2" s="1" t="s">
        <v>2</v>
      </c>
      <c r="C2" s="4">
        <v>19.07</v>
      </c>
      <c r="D2" s="1" t="s">
        <v>17</v>
      </c>
      <c r="E2" s="36" t="s">
        <v>73</v>
      </c>
      <c r="F2" s="37">
        <v>-0.02</v>
      </c>
      <c r="H2" s="1" t="s">
        <v>11</v>
      </c>
      <c r="I2" s="5">
        <f>G15</f>
        <v>608.38599999999997</v>
      </c>
    </row>
    <row r="3" spans="1:18" x14ac:dyDescent="0.15">
      <c r="A3" s="2" t="s">
        <v>8</v>
      </c>
      <c r="B3" s="1" t="s">
        <v>3</v>
      </c>
      <c r="C3" s="5">
        <f>Reports!I21</f>
        <v>143.703</v>
      </c>
      <c r="D3" s="1" t="s">
        <v>57</v>
      </c>
      <c r="E3" s="36" t="s">
        <v>74</v>
      </c>
      <c r="F3" s="37">
        <v>0.02</v>
      </c>
      <c r="G3" s="3" t="s">
        <v>75</v>
      </c>
      <c r="H3" s="1" t="s">
        <v>76</v>
      </c>
      <c r="I3" s="5">
        <f>G26</f>
        <v>-134.61200000000002</v>
      </c>
    </row>
    <row r="4" spans="1:18" x14ac:dyDescent="0.15">
      <c r="A4" s="10" t="s">
        <v>14</v>
      </c>
      <c r="B4" s="1" t="s">
        <v>4</v>
      </c>
      <c r="C4" s="6">
        <f>C3*C2</f>
        <v>2740.4162100000003</v>
      </c>
      <c r="E4" s="36" t="s">
        <v>77</v>
      </c>
      <c r="F4" s="37">
        <f>2%+4%</f>
        <v>0.06</v>
      </c>
      <c r="G4" s="3" t="s">
        <v>78</v>
      </c>
      <c r="H4" s="1" t="s">
        <v>79</v>
      </c>
      <c r="I4" s="13">
        <f>G34</f>
        <v>0.20200655152111446</v>
      </c>
    </row>
    <row r="5" spans="1:18" x14ac:dyDescent="0.15">
      <c r="B5" s="1" t="s">
        <v>5</v>
      </c>
      <c r="C5" s="5">
        <f>Reports!I32</f>
        <v>177.518</v>
      </c>
      <c r="D5" s="1" t="s">
        <v>57</v>
      </c>
      <c r="E5" s="36" t="s">
        <v>80</v>
      </c>
      <c r="F5" s="38">
        <f>NPV(F4,H26:AV26)</f>
        <v>2240.0709730351218</v>
      </c>
      <c r="G5" s="3" t="s">
        <v>81</v>
      </c>
      <c r="H5" s="1" t="s">
        <v>82</v>
      </c>
      <c r="I5" s="13">
        <f>G30</f>
        <v>0.71466470300105522</v>
      </c>
    </row>
    <row r="6" spans="1:18" x14ac:dyDescent="0.15">
      <c r="A6" s="2" t="s">
        <v>9</v>
      </c>
      <c r="B6" s="1" t="s">
        <v>6</v>
      </c>
      <c r="C6" s="6">
        <f>C4-C5</f>
        <v>2562.8982100000003</v>
      </c>
      <c r="E6" s="39" t="s">
        <v>83</v>
      </c>
      <c r="F6" s="40">
        <f>F5+C5</f>
        <v>2417.5889730351219</v>
      </c>
      <c r="H6" s="1" t="s">
        <v>84</v>
      </c>
      <c r="I6" s="13">
        <f>G31</f>
        <v>-0.22064445927421084</v>
      </c>
    </row>
    <row r="7" spans="1:18" x14ac:dyDescent="0.15">
      <c r="A7" s="10" t="s">
        <v>14</v>
      </c>
      <c r="B7" s="3" t="s">
        <v>7</v>
      </c>
      <c r="C7" s="9">
        <f>C6/C3</f>
        <v>17.834688280690035</v>
      </c>
      <c r="E7" s="41" t="s">
        <v>7</v>
      </c>
      <c r="F7" s="9">
        <f>F6/C3</f>
        <v>16.823510803776692</v>
      </c>
      <c r="G7" s="13">
        <f>F7/C2-1</f>
        <v>-0.11780226514018399</v>
      </c>
    </row>
    <row r="8" spans="1:18" x14ac:dyDescent="0.15">
      <c r="A8" s="10" t="s">
        <v>15</v>
      </c>
    </row>
    <row r="9" spans="1:18" x14ac:dyDescent="0.15">
      <c r="B9" s="1">
        <v>2014</v>
      </c>
      <c r="C9" s="1">
        <v>2015</v>
      </c>
      <c r="D9" s="1">
        <f t="shared" ref="D9:J9" si="0">C9+1</f>
        <v>2016</v>
      </c>
      <c r="E9" s="1">
        <f t="shared" si="0"/>
        <v>2017</v>
      </c>
      <c r="F9" s="1">
        <f t="shared" si="0"/>
        <v>2018</v>
      </c>
      <c r="G9" s="1">
        <f t="shared" si="0"/>
        <v>2019</v>
      </c>
      <c r="H9" s="1">
        <f t="shared" si="0"/>
        <v>2020</v>
      </c>
      <c r="I9" s="1">
        <f t="shared" si="0"/>
        <v>2021</v>
      </c>
      <c r="J9" s="1">
        <f t="shared" si="0"/>
        <v>2022</v>
      </c>
      <c r="K9" s="1">
        <f>J9+1</f>
        <v>2023</v>
      </c>
      <c r="L9" s="1">
        <f>K9+1</f>
        <v>2024</v>
      </c>
      <c r="M9" s="1">
        <f t="shared" ref="M9:V9" si="1">L9+1</f>
        <v>2025</v>
      </c>
      <c r="N9" s="1">
        <f t="shared" si="1"/>
        <v>2026</v>
      </c>
      <c r="O9" s="1">
        <f t="shared" si="1"/>
        <v>2027</v>
      </c>
      <c r="P9" s="1">
        <f t="shared" si="1"/>
        <v>2028</v>
      </c>
      <c r="Q9" s="1">
        <f t="shared" si="1"/>
        <v>2029</v>
      </c>
      <c r="R9" s="1">
        <f t="shared" si="1"/>
        <v>2030</v>
      </c>
    </row>
    <row r="10" spans="1:18" x14ac:dyDescent="0.15">
      <c r="A10" s="1" t="s">
        <v>10</v>
      </c>
      <c r="B10" s="5">
        <v>124.19199999999999</v>
      </c>
      <c r="C10" s="5">
        <v>216.44</v>
      </c>
      <c r="D10" s="5">
        <v>302.70400000000001</v>
      </c>
      <c r="E10" s="5">
        <v>398.60500000000002</v>
      </c>
      <c r="F10" s="5">
        <f>SUM(Reports!B3:E3)</f>
        <v>506.142</v>
      </c>
      <c r="G10" s="16">
        <f>SUM(Reports!F3:I3)</f>
        <v>608.38599999999997</v>
      </c>
      <c r="H10" s="16"/>
      <c r="I10" s="16"/>
      <c r="J10" s="16"/>
    </row>
    <row r="11" spans="1:18" x14ac:dyDescent="0.15">
      <c r="G11" s="14"/>
      <c r="H11" s="14"/>
      <c r="I11" s="14"/>
      <c r="J11" s="14"/>
    </row>
    <row r="12" spans="1:18" x14ac:dyDescent="0.15">
      <c r="A12" s="1" t="s">
        <v>48</v>
      </c>
      <c r="G12" s="14"/>
      <c r="H12" s="14"/>
      <c r="I12" s="14"/>
      <c r="J12" s="14"/>
    </row>
    <row r="13" spans="1:18" x14ac:dyDescent="0.15">
      <c r="A13" s="1" t="s">
        <v>49</v>
      </c>
      <c r="G13" s="14"/>
      <c r="H13" s="14"/>
      <c r="I13" s="14"/>
      <c r="J13" s="14"/>
    </row>
    <row r="14" spans="1:18" x14ac:dyDescent="0.15">
      <c r="G14" s="14"/>
      <c r="H14" s="14" t="s">
        <v>66</v>
      </c>
      <c r="I14" s="14"/>
      <c r="J14" s="14"/>
    </row>
    <row r="15" spans="1:18" s="2" customFormat="1" x14ac:dyDescent="0.15">
      <c r="A15" s="2" t="s">
        <v>11</v>
      </c>
      <c r="B15" s="7">
        <f>B10</f>
        <v>124.19199999999999</v>
      </c>
      <c r="C15" s="7">
        <f t="shared" ref="C15:E15" si="2">C10</f>
        <v>216.44</v>
      </c>
      <c r="D15" s="7">
        <f t="shared" si="2"/>
        <v>302.70400000000001</v>
      </c>
      <c r="E15" s="7">
        <f t="shared" si="2"/>
        <v>398.60500000000002</v>
      </c>
      <c r="F15" s="7">
        <f>F10</f>
        <v>506.142</v>
      </c>
      <c r="G15" s="7">
        <f>G10</f>
        <v>608.38599999999997</v>
      </c>
      <c r="H15" s="23">
        <f>G15*1.15</f>
        <v>699.64389999999992</v>
      </c>
      <c r="I15" s="23">
        <f t="shared" ref="I15:L15" si="3">H15*1.15</f>
        <v>804.59048499999983</v>
      </c>
      <c r="J15" s="23">
        <f t="shared" si="3"/>
        <v>925.27905774999977</v>
      </c>
      <c r="K15" s="23">
        <f t="shared" si="3"/>
        <v>1064.0709164124996</v>
      </c>
      <c r="L15" s="23">
        <f t="shared" si="3"/>
        <v>1223.6815538743745</v>
      </c>
      <c r="M15" s="11">
        <f>L15*1.05</f>
        <v>1284.8656315680932</v>
      </c>
      <c r="N15" s="11">
        <f t="shared" ref="N15:R15" si="4">M15*1.05</f>
        <v>1349.108913146498</v>
      </c>
      <c r="O15" s="11">
        <f t="shared" si="4"/>
        <v>1416.5643588038231</v>
      </c>
      <c r="P15" s="11">
        <f t="shared" si="4"/>
        <v>1487.3925767440144</v>
      </c>
      <c r="Q15" s="11">
        <f t="shared" si="4"/>
        <v>1561.7622055812151</v>
      </c>
      <c r="R15" s="11">
        <f t="shared" si="4"/>
        <v>1639.8503158602759</v>
      </c>
    </row>
    <row r="16" spans="1:18" x14ac:dyDescent="0.15">
      <c r="A16" s="1" t="s">
        <v>18</v>
      </c>
      <c r="F16" s="5">
        <f>SUM(Reports!B9:E9)</f>
        <v>135.24800000000002</v>
      </c>
      <c r="G16" s="16">
        <f>SUM(Reports!F9:I9)</f>
        <v>173.59399999999999</v>
      </c>
      <c r="H16" s="35">
        <f>H15-H17</f>
        <v>199.63310000000001</v>
      </c>
      <c r="I16" s="35">
        <f t="shared" ref="I16:L16" si="5">I15-I17</f>
        <v>229.57806499999992</v>
      </c>
      <c r="J16" s="35">
        <f t="shared" si="5"/>
        <v>264.0147747499999</v>
      </c>
      <c r="K16" s="35">
        <f t="shared" si="5"/>
        <v>303.61699096249981</v>
      </c>
      <c r="L16" s="35">
        <f t="shared" si="5"/>
        <v>349.15953960687477</v>
      </c>
      <c r="M16" s="35">
        <f t="shared" ref="M16" si="6">M15-M17</f>
        <v>366.61751658721846</v>
      </c>
      <c r="N16" s="35">
        <f t="shared" ref="N16" si="7">N15-N17</f>
        <v>384.94839241657951</v>
      </c>
      <c r="O16" s="35">
        <f t="shared" ref="O16" si="8">O15-O17</f>
        <v>404.19581203740847</v>
      </c>
      <c r="P16" s="35">
        <f t="shared" ref="P16" si="9">P15-P17</f>
        <v>424.40560263927887</v>
      </c>
      <c r="Q16" s="35">
        <f t="shared" ref="Q16" si="10">Q15-Q17</f>
        <v>445.62588277124291</v>
      </c>
      <c r="R16" s="35">
        <f t="shared" ref="R16" si="11">R15-R17</f>
        <v>467.907176909805</v>
      </c>
    </row>
    <row r="17" spans="1:48" x14ac:dyDescent="0.15">
      <c r="A17" s="1" t="s">
        <v>19</v>
      </c>
      <c r="F17" s="19">
        <f>F15-F16</f>
        <v>370.89400000000001</v>
      </c>
      <c r="G17" s="19">
        <f>G15-G16</f>
        <v>434.79199999999997</v>
      </c>
      <c r="H17" s="35">
        <f>H15*G30</f>
        <v>500.0107999999999</v>
      </c>
      <c r="I17" s="35">
        <f>I15*H30</f>
        <v>575.01241999999991</v>
      </c>
      <c r="J17" s="35">
        <f t="shared" ref="I17:L17" si="12">J15*I30</f>
        <v>661.26428299999986</v>
      </c>
      <c r="K17" s="35">
        <f t="shared" si="12"/>
        <v>760.45392544999982</v>
      </c>
      <c r="L17" s="35">
        <f t="shared" si="12"/>
        <v>874.52201426749969</v>
      </c>
      <c r="M17" s="35">
        <f t="shared" ref="M17:R17" si="13">M15*L30</f>
        <v>918.24811498087479</v>
      </c>
      <c r="N17" s="35">
        <f t="shared" si="13"/>
        <v>964.16052072991852</v>
      </c>
      <c r="O17" s="35">
        <f t="shared" si="13"/>
        <v>1012.3685467664146</v>
      </c>
      <c r="P17" s="35">
        <f t="shared" si="13"/>
        <v>1062.9869741047355</v>
      </c>
      <c r="Q17" s="35">
        <f t="shared" si="13"/>
        <v>1116.1363228099722</v>
      </c>
      <c r="R17" s="35">
        <f t="shared" si="13"/>
        <v>1171.9431389504709</v>
      </c>
    </row>
    <row r="18" spans="1:48" x14ac:dyDescent="0.15">
      <c r="A18" s="1" t="s">
        <v>20</v>
      </c>
      <c r="F18" s="5">
        <f>SUM(Reports!B11:E11)</f>
        <v>136.791</v>
      </c>
      <c r="G18" s="16">
        <f>SUM(Reports!F11:I11)</f>
        <v>163.75</v>
      </c>
      <c r="H18" s="35">
        <f>G18*1.1</f>
        <v>180.12500000000003</v>
      </c>
      <c r="I18" s="35">
        <f t="shared" ref="I18:L18" si="14">H18*1.1</f>
        <v>198.13750000000005</v>
      </c>
      <c r="J18" s="35">
        <f t="shared" si="14"/>
        <v>217.95125000000007</v>
      </c>
      <c r="K18" s="35">
        <f t="shared" si="14"/>
        <v>239.74637500000009</v>
      </c>
      <c r="L18" s="35">
        <f t="shared" si="14"/>
        <v>263.72101250000014</v>
      </c>
      <c r="M18" s="35">
        <f>L18*1.05</f>
        <v>276.90706312500015</v>
      </c>
      <c r="N18" s="35">
        <f t="shared" ref="N18:R18" si="15">M18*1.05</f>
        <v>290.75241628125019</v>
      </c>
      <c r="O18" s="35">
        <f t="shared" si="15"/>
        <v>305.2900370953127</v>
      </c>
      <c r="P18" s="35">
        <f t="shared" si="15"/>
        <v>320.55453895007832</v>
      </c>
      <c r="Q18" s="35">
        <f t="shared" si="15"/>
        <v>336.58226589758226</v>
      </c>
      <c r="R18" s="35">
        <f t="shared" si="15"/>
        <v>353.41137919246137</v>
      </c>
    </row>
    <row r="19" spans="1:48" x14ac:dyDescent="0.15">
      <c r="A19" s="1" t="s">
        <v>21</v>
      </c>
      <c r="F19" s="5">
        <f>SUM(Reports!B12:E12)</f>
        <v>303.31899999999996</v>
      </c>
      <c r="G19" s="16">
        <f>SUM(Reports!F12:I12)</f>
        <v>312.20999999999998</v>
      </c>
      <c r="H19" s="35">
        <f>G19*1.05</f>
        <v>327.82049999999998</v>
      </c>
      <c r="I19" s="35">
        <f t="shared" ref="I19:L19" si="16">H19*1.05</f>
        <v>344.21152499999999</v>
      </c>
      <c r="J19" s="35">
        <f t="shared" si="16"/>
        <v>361.42210125000003</v>
      </c>
      <c r="K19" s="35">
        <f t="shared" si="16"/>
        <v>379.49320631250004</v>
      </c>
      <c r="L19" s="35">
        <f t="shared" si="16"/>
        <v>398.46786662812508</v>
      </c>
      <c r="M19" s="35">
        <f>L19*0.98</f>
        <v>390.4985092955626</v>
      </c>
      <c r="N19" s="35">
        <f t="shared" ref="N19:R19" si="17">M19*0.98</f>
        <v>382.68853910965134</v>
      </c>
      <c r="O19" s="35">
        <f t="shared" si="17"/>
        <v>375.03476832745832</v>
      </c>
      <c r="P19" s="35">
        <f t="shared" si="17"/>
        <v>367.53407296090916</v>
      </c>
      <c r="Q19" s="35">
        <f t="shared" si="17"/>
        <v>360.18339150169095</v>
      </c>
      <c r="R19" s="35">
        <f t="shared" si="17"/>
        <v>352.9797236716571</v>
      </c>
    </row>
    <row r="20" spans="1:48" x14ac:dyDescent="0.15">
      <c r="A20" s="1" t="s">
        <v>22</v>
      </c>
      <c r="F20" s="5">
        <f>SUM(Reports!B13:E13)</f>
        <v>84.804999999999993</v>
      </c>
      <c r="G20" s="16">
        <f>SUM(Reports!F13:I13)</f>
        <v>93.069000000000003</v>
      </c>
      <c r="H20" s="35">
        <f t="shared" ref="H19:L20" si="18">G20*1.1</f>
        <v>102.37590000000002</v>
      </c>
      <c r="I20" s="35">
        <f t="shared" si="18"/>
        <v>112.61349000000003</v>
      </c>
      <c r="J20" s="35">
        <f t="shared" si="18"/>
        <v>123.87483900000004</v>
      </c>
      <c r="K20" s="35">
        <f t="shared" si="18"/>
        <v>136.26232290000004</v>
      </c>
      <c r="L20" s="35">
        <f t="shared" si="18"/>
        <v>149.88855519000006</v>
      </c>
      <c r="M20" s="35">
        <f>L20*0.98</f>
        <v>146.89078408620006</v>
      </c>
      <c r="N20" s="35">
        <f t="shared" ref="N20:R20" si="19">M20*0.98</f>
        <v>143.95296840447605</v>
      </c>
      <c r="O20" s="35">
        <f t="shared" si="19"/>
        <v>141.07390903638654</v>
      </c>
      <c r="P20" s="35">
        <f t="shared" si="19"/>
        <v>138.25243085565882</v>
      </c>
      <c r="Q20" s="35">
        <f t="shared" si="19"/>
        <v>135.48738223854565</v>
      </c>
      <c r="R20" s="35">
        <f t="shared" si="19"/>
        <v>132.77763459377474</v>
      </c>
    </row>
    <row r="21" spans="1:48" x14ac:dyDescent="0.15">
      <c r="A21" s="1" t="s">
        <v>23</v>
      </c>
      <c r="F21" s="19">
        <f>SUM(F18:F20)</f>
        <v>524.91499999999996</v>
      </c>
      <c r="G21" s="19">
        <f>SUM(G18:G20)</f>
        <v>569.029</v>
      </c>
      <c r="H21" s="35">
        <f>SUM(H18:H20)</f>
        <v>610.32140000000004</v>
      </c>
      <c r="I21" s="35">
        <f t="shared" ref="I21:L21" si="20">SUM(I18:I20)</f>
        <v>654.96251500000005</v>
      </c>
      <c r="J21" s="35">
        <f t="shared" si="20"/>
        <v>703.24819025000011</v>
      </c>
      <c r="K21" s="35">
        <f t="shared" si="20"/>
        <v>755.50190421250022</v>
      </c>
      <c r="L21" s="35">
        <f t="shared" si="20"/>
        <v>812.07743431812526</v>
      </c>
      <c r="M21" s="35">
        <f t="shared" ref="M21" si="21">SUM(M18:M20)</f>
        <v>814.29635650676278</v>
      </c>
      <c r="N21" s="35">
        <f t="shared" ref="N21" si="22">SUM(N18:N20)</f>
        <v>817.39392379537753</v>
      </c>
      <c r="O21" s="35">
        <f t="shared" ref="O21" si="23">SUM(O18:O20)</f>
        <v>821.39871445915765</v>
      </c>
      <c r="P21" s="35">
        <f t="shared" ref="P21" si="24">SUM(P18:P20)</f>
        <v>826.3410427666463</v>
      </c>
      <c r="Q21" s="35">
        <f t="shared" ref="Q21" si="25">SUM(Q18:Q20)</f>
        <v>832.2530396378188</v>
      </c>
      <c r="R21" s="35">
        <f t="shared" ref="R21" si="26">SUM(R18:R20)</f>
        <v>839.16873745789326</v>
      </c>
    </row>
    <row r="22" spans="1:48" x14ac:dyDescent="0.15">
      <c r="A22" s="1" t="s">
        <v>24</v>
      </c>
      <c r="F22" s="19">
        <f>F17-F21</f>
        <v>-154.02099999999996</v>
      </c>
      <c r="G22" s="19">
        <f>G17-G21</f>
        <v>-134.23700000000002</v>
      </c>
      <c r="H22" s="35">
        <f>H17-H21</f>
        <v>-110.31060000000014</v>
      </c>
      <c r="I22" s="35">
        <f t="shared" ref="I22:L22" si="27">I17-I21</f>
        <v>-79.950095000000147</v>
      </c>
      <c r="J22" s="35">
        <f t="shared" si="27"/>
        <v>-41.983907250000243</v>
      </c>
      <c r="K22" s="35">
        <f t="shared" si="27"/>
        <v>4.9520212374995936</v>
      </c>
      <c r="L22" s="35">
        <f t="shared" si="27"/>
        <v>62.444579949374429</v>
      </c>
      <c r="M22" s="35">
        <f t="shared" ref="M22" si="28">M17-M21</f>
        <v>103.95175847411201</v>
      </c>
      <c r="N22" s="35">
        <f t="shared" ref="N22" si="29">N17-N21</f>
        <v>146.76659693454098</v>
      </c>
      <c r="O22" s="35">
        <f t="shared" ref="O22" si="30">O17-O21</f>
        <v>190.96983230725698</v>
      </c>
      <c r="P22" s="35">
        <f t="shared" ref="P22" si="31">P17-P21</f>
        <v>236.64593133808921</v>
      </c>
      <c r="Q22" s="35">
        <f t="shared" ref="Q22" si="32">Q17-Q21</f>
        <v>283.88328317215337</v>
      </c>
      <c r="R22" s="35">
        <f t="shared" ref="R22" si="33">R17-R21</f>
        <v>332.77440149257768</v>
      </c>
    </row>
    <row r="23" spans="1:48" x14ac:dyDescent="0.15">
      <c r="A23" s="1" t="s">
        <v>25</v>
      </c>
      <c r="F23" s="5">
        <f>SUM(Reports!B16:E16)</f>
        <v>-0.22399999999999992</v>
      </c>
      <c r="G23" s="16">
        <f>SUM(Reports!F16:I16)</f>
        <v>1.0229999999999997</v>
      </c>
      <c r="H23" s="35">
        <f>G39*$F$3</f>
        <v>3.55036</v>
      </c>
      <c r="I23" s="35">
        <f t="shared" ref="I23:L23" si="34">H39*$F$3</f>
        <v>1.3927475228009041</v>
      </c>
      <c r="J23" s="35">
        <f t="shared" si="34"/>
        <v>-0.19488765947734663</v>
      </c>
      <c r="K23" s="35">
        <f t="shared" si="34"/>
        <v>-1.04731637423024</v>
      </c>
      <c r="L23" s="35">
        <f t="shared" si="34"/>
        <v>-0.96840272685767947</v>
      </c>
      <c r="M23" s="35">
        <f t="shared" ref="M23:R23" si="35">L39*$F$3</f>
        <v>7.6692285925105214E-2</v>
      </c>
      <c r="N23" s="35">
        <f t="shared" si="35"/>
        <v>1.8451759488457362</v>
      </c>
      <c r="O23" s="35">
        <f t="shared" si="35"/>
        <v>4.3715760878633105</v>
      </c>
      <c r="P23" s="35">
        <f t="shared" si="35"/>
        <v>7.6923800305803551</v>
      </c>
      <c r="Q23" s="35">
        <f t="shared" si="35"/>
        <v>11.846131323847738</v>
      </c>
      <c r="R23" s="35">
        <f t="shared" si="35"/>
        <v>16.873531370279757</v>
      </c>
    </row>
    <row r="24" spans="1:48" x14ac:dyDescent="0.15">
      <c r="A24" s="1" t="s">
        <v>26</v>
      </c>
      <c r="F24" s="19">
        <f>F22+F23</f>
        <v>-154.24499999999995</v>
      </c>
      <c r="G24" s="19">
        <f>G22+G23</f>
        <v>-133.21400000000003</v>
      </c>
      <c r="H24" s="35">
        <f>H22+H23</f>
        <v>-106.76024000000014</v>
      </c>
      <c r="I24" s="35">
        <f t="shared" ref="I24:L24" si="36">I22+I23</f>
        <v>-78.557347477199244</v>
      </c>
      <c r="J24" s="35">
        <f t="shared" si="36"/>
        <v>-42.178794909477588</v>
      </c>
      <c r="K24" s="35">
        <f t="shared" si="36"/>
        <v>3.9047048632693535</v>
      </c>
      <c r="L24" s="35">
        <f t="shared" si="36"/>
        <v>61.476177222516746</v>
      </c>
      <c r="M24" s="35">
        <f t="shared" ref="M24" si="37">M22+M23</f>
        <v>104.02845076003712</v>
      </c>
      <c r="N24" s="35">
        <f t="shared" ref="N24" si="38">N22+N23</f>
        <v>148.61177288338672</v>
      </c>
      <c r="O24" s="35">
        <f t="shared" ref="O24" si="39">O22+O23</f>
        <v>195.34140839512028</v>
      </c>
      <c r="P24" s="35">
        <f t="shared" ref="P24" si="40">P22+P23</f>
        <v>244.33831136866957</v>
      </c>
      <c r="Q24" s="35">
        <f t="shared" ref="Q24" si="41">Q22+Q23</f>
        <v>295.72941449600108</v>
      </c>
      <c r="R24" s="35">
        <f t="shared" ref="R24" si="42">R22+R23</f>
        <v>349.64793286285743</v>
      </c>
    </row>
    <row r="25" spans="1:48" x14ac:dyDescent="0.15">
      <c r="A25" s="1" t="s">
        <v>27</v>
      </c>
      <c r="F25" s="5">
        <f>SUM(Reports!B18:E18)</f>
        <v>0.71500000000000008</v>
      </c>
      <c r="G25" s="16">
        <f>SUM(Reports!F18:I18)</f>
        <v>1.3980000000000001</v>
      </c>
      <c r="H25" s="35">
        <f>H24*G32</f>
        <v>1.1203838599546607</v>
      </c>
      <c r="I25" s="35">
        <f t="shared" ref="I25:K25" si="43">I24*H32</f>
        <v>0.82441163671329243</v>
      </c>
      <c r="J25" s="35">
        <f t="shared" si="43"/>
        <v>0.442640828167082</v>
      </c>
      <c r="K25" s="35">
        <f t="shared" si="43"/>
        <v>-4.0977505358675184E-2</v>
      </c>
      <c r="L25" s="35">
        <f>L24*0.15</f>
        <v>9.2214265833775109</v>
      </c>
      <c r="M25" s="35">
        <f t="shared" ref="M25:R25" si="44">M24*0.15</f>
        <v>15.604267614005567</v>
      </c>
      <c r="N25" s="35">
        <f t="shared" si="44"/>
        <v>22.291765932508007</v>
      </c>
      <c r="O25" s="35">
        <f t="shared" si="44"/>
        <v>29.30121125926804</v>
      </c>
      <c r="P25" s="35">
        <f t="shared" si="44"/>
        <v>36.650746705300435</v>
      </c>
      <c r="Q25" s="35">
        <f t="shared" si="44"/>
        <v>44.359412174400163</v>
      </c>
      <c r="R25" s="35">
        <f t="shared" si="44"/>
        <v>52.44718992942861</v>
      </c>
    </row>
    <row r="26" spans="1:48" s="2" customFormat="1" x14ac:dyDescent="0.15">
      <c r="A26" s="2" t="s">
        <v>16</v>
      </c>
      <c r="B26" s="11">
        <v>-168.55699999999999</v>
      </c>
      <c r="C26" s="11">
        <v>-168.227</v>
      </c>
      <c r="D26" s="11">
        <v>-202.94800000000001</v>
      </c>
      <c r="E26" s="11">
        <v>-151.78700000000001</v>
      </c>
      <c r="F26" s="18">
        <f>F24-F25</f>
        <v>-154.95999999999995</v>
      </c>
      <c r="G26" s="18">
        <f>G24-G25</f>
        <v>-134.61200000000002</v>
      </c>
      <c r="H26" s="18">
        <f>H24-H25</f>
        <v>-107.8806238599548</v>
      </c>
      <c r="I26" s="18">
        <f t="shared" ref="I26:L26" si="45">I24-I25</f>
        <v>-79.381759113912537</v>
      </c>
      <c r="J26" s="18">
        <f t="shared" si="45"/>
        <v>-42.621435737644667</v>
      </c>
      <c r="K26" s="18">
        <f t="shared" si="45"/>
        <v>3.9456823686280287</v>
      </c>
      <c r="L26" s="18">
        <f>L24-L25</f>
        <v>52.254750639139232</v>
      </c>
      <c r="M26" s="18">
        <f t="shared" ref="M26" si="46">M24-M25</f>
        <v>88.424183146031552</v>
      </c>
      <c r="N26" s="18">
        <f t="shared" ref="N26" si="47">N24-N25</f>
        <v>126.32000695087871</v>
      </c>
      <c r="O26" s="18">
        <f>O24-O25</f>
        <v>166.04019713585225</v>
      </c>
      <c r="P26" s="18">
        <f t="shared" ref="P26" si="48">P24-P25</f>
        <v>207.68756466336913</v>
      </c>
      <c r="Q26" s="18">
        <f t="shared" ref="Q26" si="49">Q24-Q25</f>
        <v>251.37000232160091</v>
      </c>
      <c r="R26" s="18">
        <f t="shared" ref="R26" si="50">R24-R25</f>
        <v>297.20074293342884</v>
      </c>
      <c r="S26" s="11">
        <f>R26*($F$2+1)</f>
        <v>291.25672807476025</v>
      </c>
      <c r="T26" s="11">
        <f t="shared" ref="T26:AV26" si="51">S26*($F$2+1)</f>
        <v>285.43159351326506</v>
      </c>
      <c r="U26" s="11">
        <f t="shared" si="51"/>
        <v>279.72296164299973</v>
      </c>
      <c r="V26" s="11">
        <f t="shared" si="51"/>
        <v>274.12850241013973</v>
      </c>
      <c r="W26" s="11">
        <f t="shared" si="51"/>
        <v>268.64593236193696</v>
      </c>
      <c r="X26" s="11">
        <f t="shared" si="51"/>
        <v>263.27301371469821</v>
      </c>
      <c r="Y26" s="11">
        <f t="shared" si="51"/>
        <v>258.00755344040425</v>
      </c>
      <c r="Z26" s="11">
        <f t="shared" si="51"/>
        <v>252.84740237159616</v>
      </c>
      <c r="AA26" s="11">
        <f t="shared" si="51"/>
        <v>247.79045432416424</v>
      </c>
      <c r="AB26" s="11">
        <f t="shared" si="51"/>
        <v>242.83464523768095</v>
      </c>
      <c r="AC26" s="11">
        <f t="shared" si="51"/>
        <v>237.97795233292732</v>
      </c>
      <c r="AD26" s="11">
        <f t="shared" si="51"/>
        <v>233.21839328626876</v>
      </c>
      <c r="AE26" s="11">
        <f t="shared" si="51"/>
        <v>228.55402542054338</v>
      </c>
      <c r="AF26" s="11">
        <f t="shared" si="51"/>
        <v>223.98294491213252</v>
      </c>
      <c r="AG26" s="11">
        <f t="shared" si="51"/>
        <v>219.50328601388986</v>
      </c>
      <c r="AH26" s="11">
        <f t="shared" si="51"/>
        <v>215.11322029361207</v>
      </c>
      <c r="AI26" s="11">
        <f t="shared" si="51"/>
        <v>210.81095588773982</v>
      </c>
      <c r="AJ26" s="11">
        <f t="shared" si="51"/>
        <v>206.59473676998502</v>
      </c>
      <c r="AK26" s="11">
        <f t="shared" si="51"/>
        <v>202.46284203458532</v>
      </c>
      <c r="AL26" s="11">
        <f t="shared" si="51"/>
        <v>198.41358519389362</v>
      </c>
      <c r="AM26" s="11">
        <f t="shared" si="51"/>
        <v>194.44531349001574</v>
      </c>
      <c r="AN26" s="11">
        <f t="shared" si="51"/>
        <v>190.55640722021542</v>
      </c>
      <c r="AO26" s="11">
        <f t="shared" si="51"/>
        <v>186.74527907581111</v>
      </c>
      <c r="AP26" s="11">
        <f t="shared" si="51"/>
        <v>183.0103734942949</v>
      </c>
      <c r="AQ26" s="11">
        <f t="shared" si="51"/>
        <v>179.35016602440899</v>
      </c>
      <c r="AR26" s="11">
        <f t="shared" si="51"/>
        <v>175.76316270392081</v>
      </c>
      <c r="AS26" s="11">
        <f t="shared" si="51"/>
        <v>172.24789944984241</v>
      </c>
      <c r="AT26" s="11">
        <f t="shared" si="51"/>
        <v>168.80294146084555</v>
      </c>
      <c r="AU26" s="11">
        <f t="shared" si="51"/>
        <v>165.42688263162864</v>
      </c>
      <c r="AV26" s="11">
        <f t="shared" si="51"/>
        <v>162.11834497899608</v>
      </c>
    </row>
    <row r="27" spans="1:48" x14ac:dyDescent="0.15">
      <c r="A27" s="1" t="s">
        <v>28</v>
      </c>
      <c r="F27" s="20">
        <f>F26/F28</f>
        <v>-1.134689454183325</v>
      </c>
      <c r="G27" s="20">
        <f>G26/G28</f>
        <v>-0.93673757680772163</v>
      </c>
      <c r="H27" s="42">
        <f>H26/H28</f>
        <v>-0.75071935770272569</v>
      </c>
      <c r="I27" s="42">
        <f t="shared" ref="I27:L27" si="52">I26/I28</f>
        <v>-0.55240154425386068</v>
      </c>
      <c r="J27" s="42">
        <f t="shared" si="52"/>
        <v>-0.29659391757753606</v>
      </c>
      <c r="K27" s="42">
        <f t="shared" si="52"/>
        <v>2.7457202484485563E-2</v>
      </c>
      <c r="L27" s="42">
        <f t="shared" si="52"/>
        <v>0.36363020005942276</v>
      </c>
      <c r="M27" s="42">
        <f t="shared" ref="M27" si="53">M26/M28</f>
        <v>0.61532593714836537</v>
      </c>
      <c r="N27" s="42">
        <f t="shared" ref="N27" si="54">N26/N28</f>
        <v>0.87903528075877824</v>
      </c>
      <c r="O27" s="42">
        <f t="shared" ref="O27" si="55">O26/O28</f>
        <v>1.1554400195949441</v>
      </c>
      <c r="P27" s="42">
        <f t="shared" ref="P27" si="56">P26/P28</f>
        <v>1.4452555942699117</v>
      </c>
      <c r="Q27" s="42">
        <f t="shared" ref="Q27" si="57">Q26/Q28</f>
        <v>1.7492328087903586</v>
      </c>
      <c r="R27" s="42">
        <f t="shared" ref="R27" si="58">R26/R28</f>
        <v>2.0681596273802834</v>
      </c>
    </row>
    <row r="28" spans="1:48" x14ac:dyDescent="0.15">
      <c r="A28" s="5" t="s">
        <v>3</v>
      </c>
      <c r="F28" s="16">
        <f>Reports!E21</f>
        <v>136.566</v>
      </c>
      <c r="G28" s="16">
        <f>Reports!I21</f>
        <v>143.703</v>
      </c>
      <c r="H28" s="35">
        <f>G28</f>
        <v>143.703</v>
      </c>
      <c r="I28" s="35">
        <f t="shared" ref="I28:L28" si="59">H28</f>
        <v>143.703</v>
      </c>
      <c r="J28" s="35">
        <f t="shared" si="59"/>
        <v>143.703</v>
      </c>
      <c r="K28" s="35">
        <f t="shared" si="59"/>
        <v>143.703</v>
      </c>
      <c r="L28" s="35">
        <f t="shared" si="59"/>
        <v>143.703</v>
      </c>
      <c r="M28" s="35">
        <f t="shared" ref="M28:R28" si="60">L28</f>
        <v>143.703</v>
      </c>
      <c r="N28" s="35">
        <f t="shared" si="60"/>
        <v>143.703</v>
      </c>
      <c r="O28" s="35">
        <f t="shared" si="60"/>
        <v>143.703</v>
      </c>
      <c r="P28" s="35">
        <f t="shared" si="60"/>
        <v>143.703</v>
      </c>
      <c r="Q28" s="35">
        <f t="shared" si="60"/>
        <v>143.703</v>
      </c>
      <c r="R28" s="35">
        <f t="shared" si="60"/>
        <v>143.703</v>
      </c>
    </row>
    <row r="29" spans="1:48" x14ac:dyDescent="0.15">
      <c r="F29" s="14"/>
      <c r="G29" s="14"/>
      <c r="H29" s="43"/>
      <c r="I29" s="14"/>
      <c r="J29" s="14"/>
    </row>
    <row r="30" spans="1:48" x14ac:dyDescent="0.15">
      <c r="A30" s="1" t="s">
        <v>29</v>
      </c>
      <c r="F30" s="21">
        <f>F17/F15</f>
        <v>0.73278645123305319</v>
      </c>
      <c r="G30" s="21">
        <f>G17/G15</f>
        <v>0.71466470300105522</v>
      </c>
      <c r="H30" s="21">
        <f t="shared" ref="H30:R30" si="61">H17/H15</f>
        <v>0.71466470300105522</v>
      </c>
      <c r="I30" s="21">
        <f t="shared" si="61"/>
        <v>0.71466470300105533</v>
      </c>
      <c r="J30" s="21">
        <f t="shared" si="61"/>
        <v>0.71466470300105533</v>
      </c>
      <c r="K30" s="21">
        <f t="shared" si="61"/>
        <v>0.71466470300105533</v>
      </c>
      <c r="L30" s="21">
        <f t="shared" si="61"/>
        <v>0.71466470300105533</v>
      </c>
      <c r="M30" s="21">
        <f t="shared" si="61"/>
        <v>0.71466470300105533</v>
      </c>
      <c r="N30" s="21">
        <f t="shared" si="61"/>
        <v>0.71466470300105533</v>
      </c>
      <c r="O30" s="21">
        <f t="shared" si="61"/>
        <v>0.71466470300105533</v>
      </c>
      <c r="P30" s="21">
        <f t="shared" si="61"/>
        <v>0.71466470300105533</v>
      </c>
      <c r="Q30" s="21">
        <f t="shared" si="61"/>
        <v>0.71466470300105533</v>
      </c>
      <c r="R30" s="21">
        <f t="shared" si="61"/>
        <v>0.71466470300105533</v>
      </c>
    </row>
    <row r="31" spans="1:48" x14ac:dyDescent="0.15">
      <c r="A31" s="1" t="s">
        <v>30</v>
      </c>
      <c r="F31" s="21">
        <f>F22/F15</f>
        <v>-0.30430393051752269</v>
      </c>
      <c r="G31" s="21">
        <f>G22/G15</f>
        <v>-0.22064445927421084</v>
      </c>
      <c r="H31" s="21">
        <f t="shared" ref="H31:R31" si="62">H22/H15</f>
        <v>-0.15766677877131516</v>
      </c>
      <c r="I31" s="21">
        <f t="shared" si="62"/>
        <v>-9.9367437833918909E-2</v>
      </c>
      <c r="J31" s="21">
        <f t="shared" si="62"/>
        <v>-4.5374319129293246E-2</v>
      </c>
      <c r="K31" s="21">
        <f t="shared" si="62"/>
        <v>4.6538451160710835E-3</v>
      </c>
      <c r="L31" s="21">
        <f t="shared" si="62"/>
        <v>5.103009010119075E-2</v>
      </c>
      <c r="M31" s="21">
        <f t="shared" si="62"/>
        <v>8.090477005540711E-2</v>
      </c>
      <c r="N31" s="21">
        <f t="shared" si="62"/>
        <v>0.10878780467934229</v>
      </c>
      <c r="O31" s="21">
        <f t="shared" si="62"/>
        <v>0.13481197032834846</v>
      </c>
      <c r="P31" s="21">
        <f t="shared" si="62"/>
        <v>0.15910119160075439</v>
      </c>
      <c r="Q31" s="21">
        <f t="shared" si="62"/>
        <v>0.18177113145499973</v>
      </c>
      <c r="R31" s="21">
        <f t="shared" si="62"/>
        <v>0.2029297419856288</v>
      </c>
    </row>
    <row r="32" spans="1:48" x14ac:dyDescent="0.15">
      <c r="A32" s="1" t="s">
        <v>31</v>
      </c>
      <c r="F32" s="21">
        <f>F25/F24</f>
        <v>-4.6354825115887087E-3</v>
      </c>
      <c r="G32" s="21">
        <f>G25/G24</f>
        <v>-1.0494392481270737E-2</v>
      </c>
      <c r="H32" s="21">
        <f t="shared" ref="H32:R32" si="63">H25/H24</f>
        <v>-1.0494392481270737E-2</v>
      </c>
      <c r="I32" s="21">
        <f t="shared" si="63"/>
        <v>-1.0494392481270737E-2</v>
      </c>
      <c r="J32" s="21">
        <f t="shared" si="63"/>
        <v>-1.0494392481270737E-2</v>
      </c>
      <c r="K32" s="21">
        <f t="shared" si="63"/>
        <v>-1.0494392481270737E-2</v>
      </c>
      <c r="L32" s="21">
        <f t="shared" si="63"/>
        <v>0.15</v>
      </c>
      <c r="M32" s="21">
        <f t="shared" si="63"/>
        <v>0.15</v>
      </c>
      <c r="N32" s="21">
        <f t="shared" si="63"/>
        <v>0.15</v>
      </c>
      <c r="O32" s="21">
        <f t="shared" si="63"/>
        <v>0.15</v>
      </c>
      <c r="P32" s="21">
        <f t="shared" si="63"/>
        <v>0.15</v>
      </c>
      <c r="Q32" s="21">
        <f t="shared" si="63"/>
        <v>0.15</v>
      </c>
      <c r="R32" s="21">
        <f t="shared" si="63"/>
        <v>0.15</v>
      </c>
    </row>
    <row r="33" spans="1:18" x14ac:dyDescent="0.15">
      <c r="G33" s="14"/>
      <c r="H33" s="43"/>
      <c r="I33" s="14"/>
      <c r="J33" s="14"/>
    </row>
    <row r="34" spans="1:18" s="2" customFormat="1" x14ac:dyDescent="0.15">
      <c r="A34" s="2" t="s">
        <v>12</v>
      </c>
      <c r="C34" s="8">
        <f>C15/B15-1</f>
        <v>0.74278536459675348</v>
      </c>
      <c r="D34" s="8">
        <f t="shared" ref="D34:R34" si="64">D15/C15-1</f>
        <v>0.39855849196082049</v>
      </c>
      <c r="E34" s="8">
        <f t="shared" si="64"/>
        <v>0.31681444579523244</v>
      </c>
      <c r="F34" s="8">
        <f>F15/E15-1</f>
        <v>0.26978336950113513</v>
      </c>
      <c r="G34" s="22">
        <f t="shared" si="64"/>
        <v>0.20200655152111446</v>
      </c>
      <c r="H34" s="44">
        <f>H15/G15-1</f>
        <v>0.14999999999999991</v>
      </c>
      <c r="I34" s="22">
        <f t="shared" si="64"/>
        <v>0.14999999999999991</v>
      </c>
      <c r="J34" s="22">
        <f t="shared" si="64"/>
        <v>0.14999999999999991</v>
      </c>
      <c r="K34" s="22">
        <f t="shared" si="64"/>
        <v>0.14999999999999991</v>
      </c>
      <c r="L34" s="22">
        <f t="shared" si="64"/>
        <v>0.14999999999999991</v>
      </c>
      <c r="M34" s="22">
        <f t="shared" si="64"/>
        <v>5.0000000000000044E-2</v>
      </c>
      <c r="N34" s="22">
        <f t="shared" si="64"/>
        <v>5.0000000000000044E-2</v>
      </c>
      <c r="O34" s="22">
        <f t="shared" si="64"/>
        <v>5.0000000000000044E-2</v>
      </c>
      <c r="P34" s="22">
        <f t="shared" si="64"/>
        <v>5.0000000000000044E-2</v>
      </c>
      <c r="Q34" s="22">
        <f t="shared" si="64"/>
        <v>5.0000000000000044E-2</v>
      </c>
      <c r="R34" s="22">
        <f t="shared" si="64"/>
        <v>5.0000000000000044E-2</v>
      </c>
    </row>
    <row r="35" spans="1:18" x14ac:dyDescent="0.15">
      <c r="A35" s="1" t="s">
        <v>32</v>
      </c>
      <c r="G35" s="21">
        <f>G18/F18-1</f>
        <v>0.19708167935024967</v>
      </c>
      <c r="H35" s="21">
        <f t="shared" ref="H35:R35" si="65">H18/G18-1</f>
        <v>0.10000000000000009</v>
      </c>
      <c r="I35" s="21">
        <f t="shared" si="65"/>
        <v>0.10000000000000009</v>
      </c>
      <c r="J35" s="21">
        <f t="shared" si="65"/>
        <v>0.10000000000000009</v>
      </c>
      <c r="K35" s="21">
        <f t="shared" si="65"/>
        <v>0.10000000000000009</v>
      </c>
      <c r="L35" s="21">
        <f t="shared" si="65"/>
        <v>0.10000000000000031</v>
      </c>
      <c r="M35" s="21">
        <f t="shared" si="65"/>
        <v>5.0000000000000044E-2</v>
      </c>
      <c r="N35" s="21">
        <f t="shared" si="65"/>
        <v>5.0000000000000044E-2</v>
      </c>
      <c r="O35" s="21">
        <f t="shared" si="65"/>
        <v>5.0000000000000044E-2</v>
      </c>
      <c r="P35" s="21">
        <f t="shared" si="65"/>
        <v>5.0000000000000044E-2</v>
      </c>
      <c r="Q35" s="21">
        <f t="shared" si="65"/>
        <v>5.0000000000000044E-2</v>
      </c>
      <c r="R35" s="21">
        <f t="shared" si="65"/>
        <v>5.0000000000000044E-2</v>
      </c>
    </row>
    <row r="36" spans="1:18" x14ac:dyDescent="0.15">
      <c r="A36" s="1" t="s">
        <v>33</v>
      </c>
      <c r="G36" s="21">
        <f t="shared" ref="G36:R37" si="66">G19/F19-1</f>
        <v>2.9312374101193805E-2</v>
      </c>
      <c r="H36" s="21">
        <f t="shared" si="66"/>
        <v>5.0000000000000044E-2</v>
      </c>
      <c r="I36" s="21">
        <f t="shared" si="66"/>
        <v>5.0000000000000044E-2</v>
      </c>
      <c r="J36" s="21">
        <f t="shared" si="66"/>
        <v>5.0000000000000044E-2</v>
      </c>
      <c r="K36" s="21">
        <f t="shared" si="66"/>
        <v>5.0000000000000044E-2</v>
      </c>
      <c r="L36" s="21">
        <f t="shared" si="66"/>
        <v>5.0000000000000044E-2</v>
      </c>
      <c r="M36" s="21">
        <f t="shared" si="66"/>
        <v>-1.9999999999999907E-2</v>
      </c>
      <c r="N36" s="21">
        <f t="shared" si="66"/>
        <v>-2.0000000000000018E-2</v>
      </c>
      <c r="O36" s="21">
        <f t="shared" si="66"/>
        <v>-2.0000000000000018E-2</v>
      </c>
      <c r="P36" s="21">
        <f t="shared" si="66"/>
        <v>-2.0000000000000018E-2</v>
      </c>
      <c r="Q36" s="21">
        <f t="shared" si="66"/>
        <v>-2.0000000000000018E-2</v>
      </c>
      <c r="R36" s="21">
        <f t="shared" si="66"/>
        <v>-2.0000000000000129E-2</v>
      </c>
    </row>
    <row r="37" spans="1:18" x14ac:dyDescent="0.15">
      <c r="A37" s="1" t="s">
        <v>34</v>
      </c>
      <c r="G37" s="21">
        <f t="shared" si="66"/>
        <v>9.7447084487943147E-2</v>
      </c>
      <c r="H37" s="21">
        <f t="shared" si="66"/>
        <v>0.10000000000000009</v>
      </c>
      <c r="I37" s="21">
        <f t="shared" si="66"/>
        <v>0.10000000000000009</v>
      </c>
      <c r="J37" s="21">
        <f t="shared" si="66"/>
        <v>0.10000000000000009</v>
      </c>
      <c r="K37" s="21">
        <f t="shared" si="66"/>
        <v>0.10000000000000009</v>
      </c>
      <c r="L37" s="21">
        <f t="shared" si="66"/>
        <v>0.10000000000000009</v>
      </c>
      <c r="M37" s="21">
        <f t="shared" si="66"/>
        <v>-2.0000000000000018E-2</v>
      </c>
      <c r="N37" s="21">
        <f t="shared" si="66"/>
        <v>-2.0000000000000018E-2</v>
      </c>
      <c r="O37" s="21">
        <f t="shared" si="66"/>
        <v>-1.9999999999999907E-2</v>
      </c>
      <c r="P37" s="21">
        <f t="shared" si="66"/>
        <v>-1.9999999999999907E-2</v>
      </c>
      <c r="Q37" s="21">
        <f t="shared" si="66"/>
        <v>-1.9999999999999907E-2</v>
      </c>
      <c r="R37" s="21">
        <f t="shared" si="66"/>
        <v>-2.0000000000000018E-2</v>
      </c>
    </row>
    <row r="38" spans="1:18" x14ac:dyDescent="0.15">
      <c r="G38" s="14"/>
      <c r="H38" s="14"/>
      <c r="I38" s="14"/>
      <c r="J38" s="14"/>
    </row>
    <row r="39" spans="1:18" s="2" customFormat="1" x14ac:dyDescent="0.15">
      <c r="A39" s="2" t="s">
        <v>5</v>
      </c>
      <c r="G39" s="18">
        <f>G40-G41</f>
        <v>177.518</v>
      </c>
      <c r="H39" s="17">
        <f>G39+H26</f>
        <v>69.637376140045205</v>
      </c>
      <c r="I39" s="17">
        <f t="shared" ref="I39:R39" si="67">H39+I26</f>
        <v>-9.7443829738673315</v>
      </c>
      <c r="J39" s="17">
        <f t="shared" si="67"/>
        <v>-52.365818711511999</v>
      </c>
      <c r="K39" s="17">
        <f t="shared" si="67"/>
        <v>-48.420136342883971</v>
      </c>
      <c r="L39" s="17">
        <f t="shared" si="67"/>
        <v>3.8346142962552605</v>
      </c>
      <c r="M39" s="17">
        <f t="shared" si="67"/>
        <v>92.258797442286806</v>
      </c>
      <c r="N39" s="17">
        <f t="shared" si="67"/>
        <v>218.57880439316551</v>
      </c>
      <c r="O39" s="17">
        <f t="shared" si="67"/>
        <v>384.61900152901774</v>
      </c>
      <c r="P39" s="17">
        <f t="shared" si="67"/>
        <v>592.30656619238687</v>
      </c>
      <c r="Q39" s="17">
        <f t="shared" si="67"/>
        <v>843.67656851398783</v>
      </c>
      <c r="R39" s="17">
        <f t="shared" si="67"/>
        <v>1140.8773114474166</v>
      </c>
    </row>
    <row r="40" spans="1:18" x14ac:dyDescent="0.15">
      <c r="A40" s="1" t="s">
        <v>35</v>
      </c>
      <c r="G40" s="16">
        <f>Reports!I33</f>
        <v>217.518</v>
      </c>
      <c r="H40" s="14"/>
      <c r="I40" s="14"/>
      <c r="J40" s="14"/>
    </row>
    <row r="41" spans="1:18" x14ac:dyDescent="0.15">
      <c r="A41" s="1" t="s">
        <v>36</v>
      </c>
      <c r="G41" s="16">
        <f>Reports!I34</f>
        <v>40</v>
      </c>
      <c r="H41" s="14"/>
      <c r="I41" s="14"/>
      <c r="J41" s="14"/>
    </row>
    <row r="42" spans="1:18" x14ac:dyDescent="0.15">
      <c r="G42" s="14"/>
      <c r="H42" s="14"/>
      <c r="I42" s="14"/>
      <c r="J42" s="14"/>
    </row>
    <row r="43" spans="1:18" x14ac:dyDescent="0.15">
      <c r="A43" s="1" t="s">
        <v>37</v>
      </c>
      <c r="G43" s="16">
        <f>Reports!I36</f>
        <v>18.739999999999998</v>
      </c>
      <c r="H43" s="14"/>
      <c r="I43" s="14"/>
      <c r="J43" s="14"/>
    </row>
    <row r="44" spans="1:18" x14ac:dyDescent="0.15">
      <c r="A44" s="1" t="s">
        <v>38</v>
      </c>
      <c r="G44" s="16">
        <f>Reports!I37</f>
        <v>650.16099999999994</v>
      </c>
      <c r="H44" s="14"/>
      <c r="I44" s="14"/>
      <c r="J44" s="14"/>
    </row>
    <row r="45" spans="1:18" x14ac:dyDescent="0.15">
      <c r="A45" s="1" t="s">
        <v>39</v>
      </c>
      <c r="G45" s="16">
        <f>Reports!I38</f>
        <v>618.75599999999997</v>
      </c>
      <c r="H45" s="14"/>
      <c r="I45" s="14"/>
      <c r="J45" s="14"/>
    </row>
    <row r="46" spans="1:18" x14ac:dyDescent="0.15">
      <c r="G46" s="14"/>
      <c r="H46" s="14"/>
      <c r="I46" s="14"/>
      <c r="J46" s="14"/>
    </row>
    <row r="47" spans="1:18" x14ac:dyDescent="0.15">
      <c r="A47" s="1" t="s">
        <v>40</v>
      </c>
      <c r="G47" s="19">
        <f>G44-G43-G40</f>
        <v>413.90299999999991</v>
      </c>
      <c r="H47" s="14"/>
      <c r="I47" s="14"/>
      <c r="J47" s="14"/>
    </row>
    <row r="48" spans="1:18" x14ac:dyDescent="0.15">
      <c r="A48" s="1" t="s">
        <v>41</v>
      </c>
      <c r="G48" s="19">
        <f>G44-G45</f>
        <v>31.404999999999973</v>
      </c>
      <c r="H48" s="14"/>
      <c r="I48" s="14"/>
      <c r="J48" s="14"/>
    </row>
    <row r="49" spans="1:10" x14ac:dyDescent="0.15">
      <c r="G49" s="14"/>
      <c r="H49" s="14"/>
      <c r="I49" s="14"/>
      <c r="J49" s="14"/>
    </row>
    <row r="50" spans="1:10" x14ac:dyDescent="0.15">
      <c r="A50" s="12" t="s">
        <v>42</v>
      </c>
      <c r="G50" s="21">
        <f>G26/G48</f>
        <v>-4.2863238337844338</v>
      </c>
      <c r="H50" s="14"/>
      <c r="I50" s="14"/>
      <c r="J50" s="14"/>
    </row>
    <row r="51" spans="1:10" x14ac:dyDescent="0.15">
      <c r="A51" s="12" t="s">
        <v>43</v>
      </c>
      <c r="G51" s="21">
        <f>G26/G44</f>
        <v>-0.20704410138411874</v>
      </c>
      <c r="H51" s="14"/>
      <c r="I51" s="14"/>
      <c r="J51" s="14"/>
    </row>
    <row r="52" spans="1:10" x14ac:dyDescent="0.15">
      <c r="A52" s="12" t="s">
        <v>44</v>
      </c>
      <c r="G52" s="21">
        <f>G26/(G48-G43)</f>
        <v>-10.628661666008709</v>
      </c>
      <c r="H52" s="14"/>
      <c r="I52" s="14"/>
      <c r="J52" s="14"/>
    </row>
    <row r="53" spans="1:10" x14ac:dyDescent="0.15">
      <c r="A53" s="12" t="s">
        <v>45</v>
      </c>
      <c r="G53" s="21">
        <f>G26/G47</f>
        <v>-0.32522595873912502</v>
      </c>
      <c r="H53" s="14"/>
      <c r="I53" s="14"/>
      <c r="J53" s="14"/>
    </row>
    <row r="54" spans="1:10" x14ac:dyDescent="0.15">
      <c r="G54" s="14"/>
      <c r="H54" s="14"/>
      <c r="I54" s="14"/>
      <c r="J54" s="14"/>
    </row>
    <row r="55" spans="1:10" s="13" customFormat="1" x14ac:dyDescent="0.15">
      <c r="A55" s="13" t="s">
        <v>60</v>
      </c>
      <c r="G55" s="21">
        <f>G10/F10-1</f>
        <v>0.20200655152111446</v>
      </c>
      <c r="H55" s="21"/>
      <c r="I55" s="21"/>
      <c r="J55" s="21"/>
    </row>
    <row r="56" spans="1:10" x14ac:dyDescent="0.15">
      <c r="G56" s="14"/>
      <c r="H56" s="14"/>
      <c r="I56" s="14"/>
      <c r="J56" s="14"/>
    </row>
    <row r="57" spans="1:10" x14ac:dyDescent="0.15">
      <c r="A57" s="13" t="s">
        <v>46</v>
      </c>
      <c r="G57" s="14"/>
      <c r="H57" s="14"/>
      <c r="I57" s="14"/>
      <c r="J57" s="14"/>
    </row>
    <row r="58" spans="1:10" x14ac:dyDescent="0.15">
      <c r="A58" s="13" t="s">
        <v>47</v>
      </c>
      <c r="G58" s="14"/>
      <c r="H58" s="14"/>
      <c r="I58" s="14"/>
      <c r="J58" s="14"/>
    </row>
  </sheetData>
  <hyperlinks>
    <hyperlink ref="A1" r:id="rId1"/>
    <hyperlink ref="A4" r:id="rId2"/>
    <hyperlink ref="A7" r:id="rId3"/>
    <hyperlink ref="A8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8" sqref="D28"/>
    </sheetView>
  </sheetViews>
  <sheetFormatPr baseColWidth="10" defaultRowHeight="13" x14ac:dyDescent="0.15"/>
  <cols>
    <col min="1" max="1" width="17.5" style="1" bestFit="1" customWidth="1"/>
    <col min="2" max="5" width="10.83203125" style="14"/>
    <col min="6" max="6" width="10.83203125" style="24"/>
    <col min="7" max="9" width="10.83203125" style="14"/>
    <col min="10" max="10" width="10.83203125" style="34"/>
    <col min="11" max="16384" width="10.83203125" style="1"/>
  </cols>
  <sheetData>
    <row r="1" spans="1:13" x14ac:dyDescent="0.15">
      <c r="A1" s="10" t="s">
        <v>0</v>
      </c>
      <c r="B1" s="14" t="s">
        <v>51</v>
      </c>
      <c r="C1" s="14" t="s">
        <v>52</v>
      </c>
      <c r="D1" s="14" t="s">
        <v>53</v>
      </c>
      <c r="E1" s="14" t="s">
        <v>54</v>
      </c>
      <c r="F1" s="24" t="s">
        <v>55</v>
      </c>
      <c r="G1" s="14" t="s">
        <v>56</v>
      </c>
      <c r="H1" s="14" t="s">
        <v>13</v>
      </c>
      <c r="I1" s="14" t="s">
        <v>57</v>
      </c>
      <c r="J1" s="24" t="s">
        <v>61</v>
      </c>
      <c r="K1" s="14" t="s">
        <v>62</v>
      </c>
      <c r="L1" s="14" t="s">
        <v>63</v>
      </c>
      <c r="M1" s="14" t="s">
        <v>64</v>
      </c>
    </row>
    <row r="2" spans="1:13" x14ac:dyDescent="0.15">
      <c r="B2" s="14" t="s">
        <v>72</v>
      </c>
      <c r="C2" s="14" t="s">
        <v>70</v>
      </c>
      <c r="D2" s="14" t="s">
        <v>68</v>
      </c>
      <c r="E2" s="14" t="s">
        <v>58</v>
      </c>
      <c r="F2" s="24" t="s">
        <v>71</v>
      </c>
      <c r="G2" s="14" t="s">
        <v>69</v>
      </c>
      <c r="H2" s="14" t="s">
        <v>67</v>
      </c>
      <c r="I2" s="14" t="s">
        <v>59</v>
      </c>
      <c r="J2" s="24"/>
      <c r="K2" s="14"/>
      <c r="L2" s="14"/>
      <c r="M2" s="14"/>
    </row>
    <row r="3" spans="1:13" s="5" customFormat="1" x14ac:dyDescent="0.15">
      <c r="A3" s="5" t="s">
        <v>10</v>
      </c>
      <c r="B3" s="16">
        <v>117.22199999999999</v>
      </c>
      <c r="C3" s="16">
        <v>122.941</v>
      </c>
      <c r="D3" s="16">
        <v>129.304</v>
      </c>
      <c r="E3" s="16">
        <v>136.67500000000001</v>
      </c>
      <c r="F3" s="25">
        <v>140.50700000000001</v>
      </c>
      <c r="G3" s="16">
        <v>148.22200000000001</v>
      </c>
      <c r="H3" s="16">
        <v>155.94399999999999</v>
      </c>
      <c r="I3" s="16">
        <v>163.71299999999999</v>
      </c>
      <c r="J3" s="25"/>
      <c r="K3" s="16"/>
      <c r="L3" s="16"/>
      <c r="M3" s="16"/>
    </row>
    <row r="4" spans="1:13" x14ac:dyDescent="0.15">
      <c r="J4" s="24"/>
      <c r="K4" s="14"/>
      <c r="L4" s="14"/>
      <c r="M4" s="14"/>
    </row>
    <row r="5" spans="1:13" x14ac:dyDescent="0.15">
      <c r="A5" s="1" t="s">
        <v>48</v>
      </c>
      <c r="J5" s="24"/>
      <c r="K5" s="14"/>
      <c r="L5" s="14"/>
      <c r="M5" s="14"/>
    </row>
    <row r="6" spans="1:13" x14ac:dyDescent="0.15">
      <c r="A6" s="1" t="s">
        <v>49</v>
      </c>
      <c r="J6" s="24"/>
      <c r="K6" s="14"/>
      <c r="L6" s="14"/>
      <c r="M6" s="14"/>
    </row>
    <row r="7" spans="1:13" x14ac:dyDescent="0.15">
      <c r="J7" s="31" t="s">
        <v>65</v>
      </c>
      <c r="K7" s="14"/>
      <c r="L7" s="14"/>
      <c r="M7" s="14"/>
    </row>
    <row r="8" spans="1:13" s="2" customFormat="1" x14ac:dyDescent="0.15">
      <c r="A8" s="2" t="s">
        <v>11</v>
      </c>
      <c r="B8" s="18">
        <f>B3</f>
        <v>117.22199999999999</v>
      </c>
      <c r="C8" s="18">
        <f>C3</f>
        <v>122.941</v>
      </c>
      <c r="D8" s="18">
        <f>D3</f>
        <v>129.304</v>
      </c>
      <c r="E8" s="18">
        <f>E3</f>
        <v>136.67500000000001</v>
      </c>
      <c r="F8" s="26">
        <f>F3</f>
        <v>140.50700000000001</v>
      </c>
      <c r="G8" s="18">
        <f>G3</f>
        <v>148.22200000000001</v>
      </c>
      <c r="H8" s="18">
        <f>H3</f>
        <v>155.94399999999999</v>
      </c>
      <c r="I8" s="18">
        <f>I3</f>
        <v>163.71299999999999</v>
      </c>
      <c r="J8" s="32"/>
      <c r="K8" s="15"/>
      <c r="L8" s="15"/>
      <c r="M8" s="15"/>
    </row>
    <row r="9" spans="1:13" x14ac:dyDescent="0.15">
      <c r="A9" s="1" t="s">
        <v>18</v>
      </c>
      <c r="B9" s="16">
        <v>32.722999999999999</v>
      </c>
      <c r="C9" s="16">
        <v>32.777999999999999</v>
      </c>
      <c r="D9" s="16">
        <v>34.470999999999997</v>
      </c>
      <c r="E9" s="16">
        <v>35.276000000000003</v>
      </c>
      <c r="F9" s="25">
        <v>39.067999999999998</v>
      </c>
      <c r="G9" s="16">
        <v>42.604999999999997</v>
      </c>
      <c r="H9" s="16">
        <v>44.723999999999997</v>
      </c>
      <c r="I9" s="16">
        <v>47.197000000000003</v>
      </c>
      <c r="J9" s="24"/>
      <c r="K9" s="14"/>
      <c r="L9" s="14"/>
      <c r="M9" s="14"/>
    </row>
    <row r="10" spans="1:13" x14ac:dyDescent="0.15">
      <c r="A10" s="1" t="s">
        <v>19</v>
      </c>
      <c r="B10" s="19">
        <f>B8-B9</f>
        <v>84.498999999999995</v>
      </c>
      <c r="C10" s="19">
        <f>C8-C9</f>
        <v>90.163000000000011</v>
      </c>
      <c r="D10" s="19">
        <f>D8-D9</f>
        <v>94.832999999999998</v>
      </c>
      <c r="E10" s="19">
        <f>E8-E9</f>
        <v>101.399</v>
      </c>
      <c r="F10" s="27">
        <f>F8-F9</f>
        <v>101.43900000000001</v>
      </c>
      <c r="G10" s="19">
        <f>G8-G9</f>
        <v>105.61700000000002</v>
      </c>
      <c r="H10" s="19">
        <f>H8-H9</f>
        <v>111.22</v>
      </c>
      <c r="I10" s="19">
        <f>I8-I9</f>
        <v>116.51599999999999</v>
      </c>
      <c r="J10" s="24"/>
      <c r="K10" s="14"/>
      <c r="L10" s="14"/>
      <c r="M10" s="14"/>
    </row>
    <row r="11" spans="1:13" x14ac:dyDescent="0.15">
      <c r="A11" s="1" t="s">
        <v>20</v>
      </c>
      <c r="B11" s="16">
        <v>33.533999999999999</v>
      </c>
      <c r="C11" s="16">
        <v>34.042000000000002</v>
      </c>
      <c r="D11" s="16">
        <v>34.811999999999998</v>
      </c>
      <c r="E11" s="16">
        <v>34.402999999999999</v>
      </c>
      <c r="F11" s="25">
        <v>38.247999999999998</v>
      </c>
      <c r="G11" s="16">
        <v>41.83</v>
      </c>
      <c r="H11" s="16">
        <v>42.31</v>
      </c>
      <c r="I11" s="16">
        <v>41.362000000000002</v>
      </c>
      <c r="J11" s="24"/>
      <c r="K11" s="14"/>
      <c r="L11" s="14"/>
      <c r="M11" s="14"/>
    </row>
    <row r="12" spans="1:13" x14ac:dyDescent="0.15">
      <c r="A12" s="1" t="s">
        <v>21</v>
      </c>
      <c r="B12" s="16">
        <v>70.662999999999997</v>
      </c>
      <c r="C12" s="16">
        <v>73.271000000000001</v>
      </c>
      <c r="D12" s="16">
        <v>81.67</v>
      </c>
      <c r="E12" s="16">
        <v>77.715000000000003</v>
      </c>
      <c r="F12" s="25">
        <v>76.998000000000005</v>
      </c>
      <c r="G12" s="16">
        <v>76.983999999999995</v>
      </c>
      <c r="H12" s="16">
        <v>84.49</v>
      </c>
      <c r="I12" s="16">
        <v>73.738</v>
      </c>
      <c r="J12" s="24"/>
      <c r="K12" s="14"/>
      <c r="L12" s="14"/>
      <c r="M12" s="14"/>
    </row>
    <row r="13" spans="1:13" x14ac:dyDescent="0.15">
      <c r="A13" s="1" t="s">
        <v>22</v>
      </c>
      <c r="B13" s="16">
        <v>20.280999999999999</v>
      </c>
      <c r="C13" s="16">
        <v>21.846</v>
      </c>
      <c r="D13" s="16">
        <v>20.91</v>
      </c>
      <c r="E13" s="16">
        <v>21.768000000000001</v>
      </c>
      <c r="F13" s="25">
        <v>22.053000000000001</v>
      </c>
      <c r="G13" s="16">
        <v>24.021999999999998</v>
      </c>
      <c r="H13" s="16">
        <v>23.884</v>
      </c>
      <c r="I13" s="16">
        <v>23.11</v>
      </c>
      <c r="J13" s="24"/>
      <c r="K13" s="14"/>
      <c r="L13" s="14"/>
      <c r="M13" s="14"/>
    </row>
    <row r="14" spans="1:13" x14ac:dyDescent="0.15">
      <c r="A14" s="1" t="s">
        <v>23</v>
      </c>
      <c r="B14" s="19">
        <f>SUM(B11:B13)</f>
        <v>124.47800000000001</v>
      </c>
      <c r="C14" s="19">
        <f>SUM(C11:C13)</f>
        <v>129.15899999999999</v>
      </c>
      <c r="D14" s="19">
        <f>SUM(D11:D13)</f>
        <v>137.392</v>
      </c>
      <c r="E14" s="19">
        <f>SUM(E11:E13)</f>
        <v>133.886</v>
      </c>
      <c r="F14" s="27">
        <f>SUM(F11:F13)</f>
        <v>137.29900000000001</v>
      </c>
      <c r="G14" s="19">
        <f>SUM(G11:G13)</f>
        <v>142.83599999999998</v>
      </c>
      <c r="H14" s="19">
        <f>SUM(H11:H13)</f>
        <v>150.684</v>
      </c>
      <c r="I14" s="19">
        <f>SUM(I11:I13)</f>
        <v>138.20999999999998</v>
      </c>
      <c r="J14" s="24"/>
      <c r="K14" s="14"/>
      <c r="L14" s="14"/>
      <c r="M14" s="14"/>
    </row>
    <row r="15" spans="1:13" x14ac:dyDescent="0.15">
      <c r="A15" s="1" t="s">
        <v>24</v>
      </c>
      <c r="B15" s="19">
        <f>B10-B14</f>
        <v>-39.979000000000013</v>
      </c>
      <c r="C15" s="19">
        <f>C10-C14</f>
        <v>-38.995999999999981</v>
      </c>
      <c r="D15" s="19">
        <f>D10-D14</f>
        <v>-42.558999999999997</v>
      </c>
      <c r="E15" s="19">
        <f>E10-E14</f>
        <v>-32.486999999999995</v>
      </c>
      <c r="F15" s="27">
        <f>F10-F14</f>
        <v>-35.86</v>
      </c>
      <c r="G15" s="19">
        <f>G10-G14</f>
        <v>-37.218999999999966</v>
      </c>
      <c r="H15" s="19">
        <f>H10-H14</f>
        <v>-39.463999999999999</v>
      </c>
      <c r="I15" s="19">
        <f>I10-I14</f>
        <v>-21.693999999999988</v>
      </c>
      <c r="J15" s="24"/>
      <c r="K15" s="14"/>
      <c r="L15" s="14"/>
      <c r="M15" s="14"/>
    </row>
    <row r="16" spans="1:13" x14ac:dyDescent="0.15">
      <c r="A16" s="1" t="s">
        <v>25</v>
      </c>
      <c r="B16" s="16">
        <f>-0.279+0.016</f>
        <v>-0.26300000000000001</v>
      </c>
      <c r="C16" s="16">
        <f>-0.236+0.267</f>
        <v>3.1000000000000028E-2</v>
      </c>
      <c r="D16" s="16">
        <f>-0.287+0.277</f>
        <v>-9.9999999999999534E-3</v>
      </c>
      <c r="E16" s="16">
        <f>-0.211+0.229</f>
        <v>1.8000000000000016E-2</v>
      </c>
      <c r="F16" s="25">
        <f>-0.07-0.343</f>
        <v>-0.41300000000000003</v>
      </c>
      <c r="G16" s="16">
        <f>-0.091-0.579</f>
        <v>-0.66999999999999993</v>
      </c>
      <c r="H16" s="16">
        <f>-0.047-0.321</f>
        <v>-0.36799999999999999</v>
      </c>
      <c r="I16" s="16">
        <f>-0.108+2.582</f>
        <v>2.4739999999999998</v>
      </c>
      <c r="J16" s="24"/>
      <c r="K16" s="14"/>
      <c r="L16" s="14"/>
      <c r="M16" s="14"/>
    </row>
    <row r="17" spans="1:13" x14ac:dyDescent="0.15">
      <c r="A17" s="1" t="s">
        <v>26</v>
      </c>
      <c r="B17" s="19">
        <f>B15+B16</f>
        <v>-40.242000000000012</v>
      </c>
      <c r="C17" s="19">
        <f>C15+C16</f>
        <v>-38.964999999999982</v>
      </c>
      <c r="D17" s="19">
        <f>D15+D16</f>
        <v>-42.568999999999996</v>
      </c>
      <c r="E17" s="19">
        <f>E15+E16</f>
        <v>-32.468999999999994</v>
      </c>
      <c r="F17" s="27">
        <f>F15+F16</f>
        <v>-36.272999999999996</v>
      </c>
      <c r="G17" s="19">
        <f>G15+G16</f>
        <v>-37.888999999999967</v>
      </c>
      <c r="H17" s="19">
        <f>H15+H16</f>
        <v>-39.832000000000001</v>
      </c>
      <c r="I17" s="19">
        <f>I15+I16</f>
        <v>-19.219999999999988</v>
      </c>
      <c r="J17" s="24"/>
      <c r="K17" s="14"/>
      <c r="L17" s="14"/>
      <c r="M17" s="14"/>
    </row>
    <row r="18" spans="1:13" x14ac:dyDescent="0.15">
      <c r="A18" s="1" t="s">
        <v>27</v>
      </c>
      <c r="B18" s="16">
        <v>-0.156</v>
      </c>
      <c r="C18" s="16">
        <v>0.32</v>
      </c>
      <c r="D18" s="16">
        <v>0.35499999999999998</v>
      </c>
      <c r="E18" s="16">
        <v>0.19600000000000001</v>
      </c>
      <c r="F18" s="25">
        <v>0.36399999999999999</v>
      </c>
      <c r="G18" s="16">
        <v>0.19600000000000001</v>
      </c>
      <c r="H18" s="16">
        <v>0.36399999999999999</v>
      </c>
      <c r="I18" s="16">
        <v>0.47399999999999998</v>
      </c>
      <c r="J18" s="24"/>
      <c r="K18" s="14"/>
      <c r="L18" s="14"/>
      <c r="M18" s="14"/>
    </row>
    <row r="19" spans="1:13" s="2" customFormat="1" x14ac:dyDescent="0.15">
      <c r="A19" s="2" t="s">
        <v>16</v>
      </c>
      <c r="B19" s="18">
        <f>B17-B18</f>
        <v>-40.086000000000013</v>
      </c>
      <c r="C19" s="18">
        <f>C17-C18</f>
        <v>-39.284999999999982</v>
      </c>
      <c r="D19" s="18">
        <f>D17-D18</f>
        <v>-42.923999999999992</v>
      </c>
      <c r="E19" s="18">
        <f>E17-E18</f>
        <v>-32.664999999999992</v>
      </c>
      <c r="F19" s="26">
        <f>F17-F18</f>
        <v>-36.636999999999993</v>
      </c>
      <c r="G19" s="18">
        <f>G17-G18</f>
        <v>-38.084999999999965</v>
      </c>
      <c r="H19" s="18">
        <f>H17-H18</f>
        <v>-40.195999999999998</v>
      </c>
      <c r="I19" s="18">
        <f>I17-I18</f>
        <v>-19.693999999999988</v>
      </c>
      <c r="J19" s="32"/>
      <c r="K19" s="15"/>
      <c r="L19" s="15"/>
      <c r="M19" s="15"/>
    </row>
    <row r="20" spans="1:13" x14ac:dyDescent="0.15">
      <c r="A20" s="1" t="s">
        <v>28</v>
      </c>
      <c r="B20" s="20">
        <f>B19/B21</f>
        <v>-0.30490838144353433</v>
      </c>
      <c r="C20" s="20">
        <f>C19/C21</f>
        <v>-0.2954181424414013</v>
      </c>
      <c r="D20" s="20">
        <f>D19/D21</f>
        <v>-0.31881517573308771</v>
      </c>
      <c r="E20" s="20">
        <f>E19/E21</f>
        <v>-0.2391883777807067</v>
      </c>
      <c r="F20" s="28">
        <f>F19/F21</f>
        <v>-0.26448124512719812</v>
      </c>
      <c r="G20" s="20">
        <f>G19/G21</f>
        <v>-0.27064767833539399</v>
      </c>
      <c r="H20" s="20">
        <f>H19/H21</f>
        <v>-0.28234269418259972</v>
      </c>
      <c r="I20" s="20">
        <f>I19/I21</f>
        <v>-0.13704654739288663</v>
      </c>
      <c r="J20" s="24"/>
      <c r="K20" s="14"/>
      <c r="L20" s="14"/>
      <c r="M20" s="14"/>
    </row>
    <row r="21" spans="1:13" s="5" customFormat="1" x14ac:dyDescent="0.15">
      <c r="A21" s="5" t="s">
        <v>3</v>
      </c>
      <c r="B21" s="16">
        <v>131.46899999999999</v>
      </c>
      <c r="C21" s="16">
        <v>132.98099999999999</v>
      </c>
      <c r="D21" s="16">
        <v>134.636</v>
      </c>
      <c r="E21" s="16">
        <v>136.566</v>
      </c>
      <c r="F21" s="25">
        <v>138.524</v>
      </c>
      <c r="G21" s="16">
        <v>140.71799999999999</v>
      </c>
      <c r="H21" s="16">
        <v>142.36600000000001</v>
      </c>
      <c r="I21" s="16">
        <v>143.703</v>
      </c>
      <c r="J21" s="25"/>
      <c r="K21" s="16"/>
      <c r="L21" s="16"/>
      <c r="M21" s="16"/>
    </row>
    <row r="22" spans="1:13" x14ac:dyDescent="0.15">
      <c r="J22" s="25"/>
      <c r="K22" s="14"/>
      <c r="L22" s="14"/>
      <c r="M22" s="14"/>
    </row>
    <row r="23" spans="1:13" x14ac:dyDescent="0.15">
      <c r="A23" s="1" t="s">
        <v>29</v>
      </c>
      <c r="B23" s="21">
        <f>B10/B8</f>
        <v>0.72084591629557593</v>
      </c>
      <c r="C23" s="21">
        <f>C10/C8</f>
        <v>0.73338430629326268</v>
      </c>
      <c r="D23" s="21">
        <f>D10/D8</f>
        <v>0.73341118604219513</v>
      </c>
      <c r="E23" s="21">
        <f>E10/E8</f>
        <v>0.74189866471556609</v>
      </c>
      <c r="F23" s="29">
        <f>F10/F8</f>
        <v>0.7219497960955682</v>
      </c>
      <c r="G23" s="21">
        <f>G10/G8</f>
        <v>0.71255953906977376</v>
      </c>
      <c r="H23" s="21">
        <f>H10/H8</f>
        <v>0.71320474016313551</v>
      </c>
      <c r="I23" s="21">
        <f>I10/I8</f>
        <v>0.71170890521827834</v>
      </c>
      <c r="J23" s="24"/>
      <c r="K23" s="14"/>
      <c r="L23" s="14"/>
      <c r="M23" s="14"/>
    </row>
    <row r="24" spans="1:13" x14ac:dyDescent="0.15">
      <c r="A24" s="1" t="s">
        <v>30</v>
      </c>
      <c r="B24" s="21">
        <f>B15/B8</f>
        <v>-0.34105372711607052</v>
      </c>
      <c r="C24" s="21">
        <f>C15/C8</f>
        <v>-0.31719279979827708</v>
      </c>
      <c r="D24" s="21">
        <f>D15/D8</f>
        <v>-0.32913908309101031</v>
      </c>
      <c r="E24" s="21">
        <f>E15/E8</f>
        <v>-0.23769526248399481</v>
      </c>
      <c r="F24" s="29">
        <f>F15/F8</f>
        <v>-0.25521860120848072</v>
      </c>
      <c r="G24" s="21">
        <f>G15/G8</f>
        <v>-0.25110307511705388</v>
      </c>
      <c r="H24" s="21">
        <f>H15/H8</f>
        <v>-0.25306520289334633</v>
      </c>
      <c r="I24" s="21">
        <f>I15/I8</f>
        <v>-0.13251238447771399</v>
      </c>
      <c r="J24" s="24"/>
      <c r="K24" s="14"/>
      <c r="L24" s="14"/>
      <c r="M24" s="14"/>
    </row>
    <row r="25" spans="1:13" x14ac:dyDescent="0.15">
      <c r="A25" s="1" t="s">
        <v>31</v>
      </c>
      <c r="B25" s="21">
        <f>B18/B17</f>
        <v>3.8765468913075879E-3</v>
      </c>
      <c r="C25" s="21">
        <f>C18/C17</f>
        <v>-8.2124983959964114E-3</v>
      </c>
      <c r="D25" s="21">
        <f>D18/D17</f>
        <v>-8.3394019121896222E-3</v>
      </c>
      <c r="E25" s="21">
        <f>E18/E17</f>
        <v>-6.0365271489728678E-3</v>
      </c>
      <c r="F25" s="29">
        <f>F18/F17</f>
        <v>-1.0035012268078186E-2</v>
      </c>
      <c r="G25" s="21">
        <f>G18/G17</f>
        <v>-5.173005357755554E-3</v>
      </c>
      <c r="H25" s="21">
        <f>H18/H17</f>
        <v>-9.1383812010443852E-3</v>
      </c>
      <c r="I25" s="21">
        <f>I18/I17</f>
        <v>-2.4661810613943822E-2</v>
      </c>
      <c r="J25" s="24"/>
      <c r="K25" s="14"/>
      <c r="L25" s="14"/>
      <c r="M25" s="14"/>
    </row>
    <row r="26" spans="1:13" x14ac:dyDescent="0.15">
      <c r="J26" s="24"/>
      <c r="K26" s="14"/>
      <c r="L26" s="14"/>
      <c r="M26" s="14"/>
    </row>
    <row r="27" spans="1:13" s="2" customFormat="1" x14ac:dyDescent="0.15">
      <c r="A27" s="2" t="s">
        <v>12</v>
      </c>
      <c r="B27" s="15"/>
      <c r="C27" s="15"/>
      <c r="D27" s="15"/>
      <c r="E27" s="15"/>
      <c r="F27" s="30">
        <f>F8/B8-1</f>
        <v>0.19864018699561536</v>
      </c>
      <c r="G27" s="22">
        <f>G8/C8-1</f>
        <v>0.20563522339984219</v>
      </c>
      <c r="H27" s="22">
        <f>H8/D8-1</f>
        <v>0.20602610901441554</v>
      </c>
      <c r="I27" s="22">
        <f>I8/E8-1</f>
        <v>0.19782696177062364</v>
      </c>
      <c r="J27" s="32"/>
      <c r="K27" s="15"/>
      <c r="L27" s="15"/>
      <c r="M27" s="15"/>
    </row>
    <row r="28" spans="1:13" x14ac:dyDescent="0.15">
      <c r="A28" s="1" t="s">
        <v>32</v>
      </c>
      <c r="F28" s="29">
        <f>F11/B11-1</f>
        <v>0.14057374604878636</v>
      </c>
      <c r="G28" s="21">
        <f>G11/C11-1</f>
        <v>0.22877621761353617</v>
      </c>
      <c r="H28" s="21">
        <f>H11/D11-1</f>
        <v>0.21538549925313122</v>
      </c>
      <c r="I28" s="21">
        <f>I11/E11-1</f>
        <v>0.20227887102868936</v>
      </c>
      <c r="J28" s="24"/>
      <c r="K28" s="14"/>
      <c r="L28" s="14"/>
      <c r="M28" s="14"/>
    </row>
    <row r="29" spans="1:13" x14ac:dyDescent="0.15">
      <c r="A29" s="1" t="s">
        <v>33</v>
      </c>
      <c r="F29" s="29">
        <f t="shared" ref="F29:I30" si="0">F12/B12-1</f>
        <v>8.9650878111600329E-2</v>
      </c>
      <c r="G29" s="21">
        <f t="shared" si="0"/>
        <v>5.0674891839882052E-2</v>
      </c>
      <c r="H29" s="21">
        <f t="shared" si="0"/>
        <v>3.4529202889677979E-2</v>
      </c>
      <c r="I29" s="21">
        <f t="shared" si="0"/>
        <v>-5.1174162002187495E-2</v>
      </c>
      <c r="J29" s="24"/>
      <c r="K29" s="14"/>
      <c r="L29" s="14"/>
      <c r="M29" s="14"/>
    </row>
    <row r="30" spans="1:13" x14ac:dyDescent="0.15">
      <c r="A30" s="1" t="s">
        <v>34</v>
      </c>
      <c r="F30" s="29">
        <f t="shared" si="0"/>
        <v>8.7372417533652325E-2</v>
      </c>
      <c r="G30" s="21">
        <f t="shared" si="0"/>
        <v>9.9606335255882028E-2</v>
      </c>
      <c r="H30" s="21">
        <f t="shared" si="0"/>
        <v>0.1422285987565759</v>
      </c>
      <c r="I30" s="21">
        <f t="shared" si="0"/>
        <v>6.1650128629180401E-2</v>
      </c>
      <c r="J30" s="24"/>
      <c r="K30" s="14"/>
      <c r="L30" s="14"/>
      <c r="M30" s="14"/>
    </row>
    <row r="31" spans="1:13" x14ac:dyDescent="0.15">
      <c r="J31" s="24"/>
      <c r="K31" s="14"/>
      <c r="L31" s="14"/>
      <c r="M31" s="14"/>
    </row>
    <row r="32" spans="1:13" s="2" customFormat="1" x14ac:dyDescent="0.15">
      <c r="A32" s="2" t="s">
        <v>5</v>
      </c>
      <c r="B32" s="15"/>
      <c r="C32" s="21"/>
      <c r="D32" s="21"/>
      <c r="E32" s="18">
        <f>E33-E34</f>
        <v>168.07599999999999</v>
      </c>
      <c r="F32" s="26">
        <f>F33-F34</f>
        <v>163.726</v>
      </c>
      <c r="G32" s="18">
        <f>G33-G34</f>
        <v>163.726</v>
      </c>
      <c r="H32" s="18">
        <f>H33-H34</f>
        <v>160.10400000000001</v>
      </c>
      <c r="I32" s="18">
        <f>I33-I34</f>
        <v>177.518</v>
      </c>
      <c r="J32" s="32"/>
      <c r="K32" s="15"/>
      <c r="L32" s="15"/>
      <c r="M32" s="15"/>
    </row>
    <row r="33" spans="1:13" s="5" customFormat="1" x14ac:dyDescent="0.15">
      <c r="A33" s="5" t="s">
        <v>35</v>
      </c>
      <c r="B33" s="16"/>
      <c r="C33" s="21"/>
      <c r="D33" s="21"/>
      <c r="E33" s="16">
        <v>208.07599999999999</v>
      </c>
      <c r="F33" s="25">
        <v>203.726</v>
      </c>
      <c r="G33" s="16">
        <v>203.726</v>
      </c>
      <c r="H33" s="16">
        <v>200.10400000000001</v>
      </c>
      <c r="I33" s="16">
        <v>217.518</v>
      </c>
      <c r="J33" s="25"/>
      <c r="K33" s="16"/>
      <c r="L33" s="16"/>
      <c r="M33" s="16"/>
    </row>
    <row r="34" spans="1:13" s="5" customFormat="1" x14ac:dyDescent="0.15">
      <c r="A34" s="5" t="s">
        <v>36</v>
      </c>
      <c r="B34" s="16"/>
      <c r="C34" s="21"/>
      <c r="D34" s="21"/>
      <c r="E34" s="16">
        <v>40</v>
      </c>
      <c r="F34" s="25">
        <v>40</v>
      </c>
      <c r="G34" s="16">
        <v>40</v>
      </c>
      <c r="H34" s="16">
        <v>40</v>
      </c>
      <c r="I34" s="16">
        <v>40</v>
      </c>
      <c r="J34" s="25"/>
      <c r="K34" s="16"/>
      <c r="L34" s="16"/>
      <c r="M34" s="16"/>
    </row>
    <row r="35" spans="1:13" s="5" customFormat="1" x14ac:dyDescent="0.15">
      <c r="B35" s="16"/>
      <c r="C35" s="21"/>
      <c r="D35" s="21"/>
      <c r="E35" s="16"/>
      <c r="F35" s="25"/>
      <c r="G35" s="16"/>
      <c r="H35" s="16"/>
      <c r="I35" s="16"/>
      <c r="J35" s="25"/>
      <c r="K35" s="16"/>
      <c r="L35" s="16"/>
      <c r="M35" s="16"/>
    </row>
    <row r="36" spans="1:13" s="5" customFormat="1" x14ac:dyDescent="0.15">
      <c r="A36" s="5" t="s">
        <v>37</v>
      </c>
      <c r="B36" s="16"/>
      <c r="C36" s="21"/>
      <c r="D36" s="21"/>
      <c r="E36" s="16">
        <f>0.024+16.293</f>
        <v>16.317</v>
      </c>
      <c r="F36" s="25">
        <v>18.739999999999998</v>
      </c>
      <c r="G36" s="16">
        <v>18.739999999999998</v>
      </c>
      <c r="H36" s="16">
        <v>18.739999999999998</v>
      </c>
      <c r="I36" s="16">
        <v>18.739999999999998</v>
      </c>
      <c r="J36" s="25"/>
      <c r="K36" s="16"/>
      <c r="L36" s="16"/>
      <c r="M36" s="16"/>
    </row>
    <row r="37" spans="1:13" s="5" customFormat="1" x14ac:dyDescent="0.15">
      <c r="A37" s="5" t="s">
        <v>38</v>
      </c>
      <c r="B37" s="16"/>
      <c r="C37" s="21"/>
      <c r="D37" s="21"/>
      <c r="E37" s="16">
        <v>553.56600000000003</v>
      </c>
      <c r="F37" s="25">
        <v>545.42399999999998</v>
      </c>
      <c r="G37" s="16">
        <v>545.42399999999998</v>
      </c>
      <c r="H37" s="16">
        <v>546.88699999999994</v>
      </c>
      <c r="I37" s="16">
        <v>650.16099999999994</v>
      </c>
      <c r="J37" s="25"/>
      <c r="K37" s="16"/>
      <c r="L37" s="16"/>
      <c r="M37" s="16"/>
    </row>
    <row r="38" spans="1:13" s="5" customFormat="1" x14ac:dyDescent="0.15">
      <c r="A38" s="5" t="s">
        <v>39</v>
      </c>
      <c r="B38" s="16"/>
      <c r="C38" s="21"/>
      <c r="D38" s="21"/>
      <c r="E38" s="16">
        <v>538.59799999999996</v>
      </c>
      <c r="F38" s="25">
        <v>510.29700000000003</v>
      </c>
      <c r="G38" s="16">
        <v>510.29700000000003</v>
      </c>
      <c r="H38" s="16">
        <v>521.24099999999999</v>
      </c>
      <c r="I38" s="16">
        <v>618.75599999999997</v>
      </c>
      <c r="J38" s="25"/>
      <c r="K38" s="16"/>
      <c r="L38" s="16"/>
      <c r="M38" s="16"/>
    </row>
    <row r="39" spans="1:13" x14ac:dyDescent="0.15">
      <c r="C39" s="21"/>
      <c r="D39" s="21"/>
      <c r="J39" s="24"/>
      <c r="K39" s="14"/>
      <c r="L39" s="14"/>
      <c r="M39" s="14"/>
    </row>
    <row r="40" spans="1:13" x14ac:dyDescent="0.15">
      <c r="A40" s="1" t="s">
        <v>40</v>
      </c>
      <c r="C40" s="21"/>
      <c r="D40" s="21"/>
      <c r="E40" s="19">
        <f>E37-E36-E33</f>
        <v>329.173</v>
      </c>
      <c r="F40" s="27">
        <f>F37-F36-F33</f>
        <v>322.95799999999997</v>
      </c>
      <c r="G40" s="19">
        <f>G37-G36-G33</f>
        <v>322.95799999999997</v>
      </c>
      <c r="H40" s="19">
        <f>H37-H36-H33</f>
        <v>328.04299999999989</v>
      </c>
      <c r="I40" s="19">
        <f>I37-I36-I33</f>
        <v>413.90299999999991</v>
      </c>
      <c r="J40" s="24"/>
      <c r="K40" s="14"/>
      <c r="L40" s="14"/>
      <c r="M40" s="14"/>
    </row>
    <row r="41" spans="1:13" x14ac:dyDescent="0.15">
      <c r="A41" s="1" t="s">
        <v>41</v>
      </c>
      <c r="C41" s="21"/>
      <c r="D41" s="21"/>
      <c r="E41" s="19">
        <f>E37-E38</f>
        <v>14.968000000000075</v>
      </c>
      <c r="F41" s="27">
        <f>F37-F38</f>
        <v>35.126999999999953</v>
      </c>
      <c r="G41" s="19">
        <f>G37-G38</f>
        <v>35.126999999999953</v>
      </c>
      <c r="H41" s="19">
        <f>H37-H38</f>
        <v>25.645999999999958</v>
      </c>
      <c r="I41" s="19">
        <f>I37-I38</f>
        <v>31.404999999999973</v>
      </c>
      <c r="J41" s="24"/>
      <c r="K41" s="14"/>
      <c r="L41" s="14"/>
      <c r="M41" s="14"/>
    </row>
    <row r="42" spans="1:13" x14ac:dyDescent="0.15">
      <c r="C42" s="21"/>
      <c r="D42" s="21"/>
      <c r="J42" s="24"/>
      <c r="K42" s="14"/>
      <c r="L42" s="14"/>
      <c r="M42" s="14"/>
    </row>
    <row r="43" spans="1:13" s="11" customFormat="1" x14ac:dyDescent="0.15">
      <c r="A43" s="11" t="s">
        <v>50</v>
      </c>
      <c r="B43" s="17"/>
      <c r="C43" s="21"/>
      <c r="D43" s="21"/>
      <c r="E43" s="18">
        <f>SUM(B19:E19)</f>
        <v>-154.95999999999998</v>
      </c>
      <c r="F43" s="26">
        <f>SUM(C19:F19)</f>
        <v>-151.51099999999997</v>
      </c>
      <c r="G43" s="18">
        <f>SUM(D19:G19)</f>
        <v>-150.31099999999992</v>
      </c>
      <c r="H43" s="18">
        <f>SUM(E19:H19)</f>
        <v>-147.58299999999997</v>
      </c>
      <c r="I43" s="18">
        <f>SUM(F19:I19)</f>
        <v>-134.61199999999994</v>
      </c>
      <c r="J43" s="33"/>
      <c r="K43" s="17"/>
      <c r="L43" s="17"/>
      <c r="M43" s="17"/>
    </row>
    <row r="44" spans="1:13" x14ac:dyDescent="0.15">
      <c r="A44" s="12" t="s">
        <v>42</v>
      </c>
      <c r="C44" s="21"/>
      <c r="D44" s="21"/>
      <c r="E44" s="21">
        <f>E43/E41</f>
        <v>-10.352752538749279</v>
      </c>
      <c r="F44" s="29">
        <f>F43/F41</f>
        <v>-4.3132348336037856</v>
      </c>
      <c r="G44" s="21">
        <f>G43/G41</f>
        <v>-4.2790730776895298</v>
      </c>
      <c r="H44" s="21">
        <f>H43/H41</f>
        <v>-5.7546206036029091</v>
      </c>
      <c r="I44" s="21">
        <f>I43/I41</f>
        <v>-4.2863238337844312</v>
      </c>
      <c r="J44" s="24"/>
      <c r="K44" s="14"/>
      <c r="L44" s="14"/>
      <c r="M44" s="14"/>
    </row>
    <row r="45" spans="1:13" x14ac:dyDescent="0.15">
      <c r="A45" s="12" t="s">
        <v>43</v>
      </c>
      <c r="C45" s="21"/>
      <c r="D45" s="21"/>
      <c r="E45" s="21">
        <f>E43/E37</f>
        <v>-0.27993048706026014</v>
      </c>
      <c r="F45" s="29">
        <f>F43/F37</f>
        <v>-0.27778572266713597</v>
      </c>
      <c r="G45" s="21">
        <f>G43/G37</f>
        <v>-0.27558559946023631</v>
      </c>
      <c r="H45" s="21">
        <f>H43/H37</f>
        <v>-0.26986013564045219</v>
      </c>
      <c r="I45" s="21">
        <f>I43/I37</f>
        <v>-0.20704410138411863</v>
      </c>
      <c r="J45" s="24"/>
      <c r="K45" s="14"/>
      <c r="L45" s="14"/>
      <c r="M45" s="14"/>
    </row>
    <row r="46" spans="1:13" x14ac:dyDescent="0.15">
      <c r="A46" s="12" t="s">
        <v>44</v>
      </c>
      <c r="C46" s="21"/>
      <c r="D46" s="21"/>
      <c r="E46" s="21">
        <f>E43/(E41-E36)</f>
        <v>114.87027427724873</v>
      </c>
      <c r="F46" s="29">
        <f>F43/(F41-F36)</f>
        <v>-9.2458046012082988</v>
      </c>
      <c r="G46" s="21">
        <f>G43/(G41-G36)</f>
        <v>-9.1725758222981835</v>
      </c>
      <c r="H46" s="21">
        <f>H43/(H41-H36)</f>
        <v>-21.370257746886885</v>
      </c>
      <c r="I46" s="21">
        <f>I43/(I41-I36)</f>
        <v>-10.628661666008702</v>
      </c>
      <c r="J46" s="24"/>
      <c r="K46" s="14"/>
      <c r="L46" s="14"/>
      <c r="M46" s="14"/>
    </row>
    <row r="47" spans="1:13" x14ac:dyDescent="0.15">
      <c r="A47" s="12" t="s">
        <v>45</v>
      </c>
      <c r="C47" s="21"/>
      <c r="D47" s="21"/>
      <c r="E47" s="21">
        <f>E43/E40</f>
        <v>-0.47075549938785982</v>
      </c>
      <c r="F47" s="29">
        <f>F43/F40</f>
        <v>-0.46913530551960309</v>
      </c>
      <c r="G47" s="21">
        <f>G43/G40</f>
        <v>-0.46541965209098379</v>
      </c>
      <c r="H47" s="21">
        <f>H43/H40</f>
        <v>-0.4498891913560113</v>
      </c>
      <c r="I47" s="21">
        <f>I43/I40</f>
        <v>-0.3252259587391248</v>
      </c>
      <c r="J47" s="24"/>
      <c r="K47" s="14"/>
      <c r="L47" s="14"/>
      <c r="M47" s="14"/>
    </row>
    <row r="48" spans="1:13" x14ac:dyDescent="0.15">
      <c r="C48" s="21"/>
      <c r="D48" s="21"/>
      <c r="J48" s="24"/>
      <c r="K48" s="14"/>
      <c r="L48" s="14"/>
      <c r="M48" s="14"/>
    </row>
    <row r="49" spans="1:13" x14ac:dyDescent="0.15">
      <c r="A49" s="1" t="s">
        <v>60</v>
      </c>
      <c r="C49" s="21"/>
      <c r="D49" s="21"/>
      <c r="E49" s="21"/>
      <c r="F49" s="29">
        <f>F3/B3-1</f>
        <v>0.19864018699561536</v>
      </c>
      <c r="G49" s="21">
        <f>G3/C3-1</f>
        <v>0.20563522339984219</v>
      </c>
      <c r="H49" s="21">
        <f>H3/D3-1</f>
        <v>0.20602610901441554</v>
      </c>
      <c r="I49" s="21">
        <f>I3/E3-1</f>
        <v>0.19782696177062364</v>
      </c>
      <c r="J49" s="24"/>
      <c r="K49" s="14"/>
      <c r="L49" s="14"/>
      <c r="M49" s="14"/>
    </row>
    <row r="50" spans="1:13" x14ac:dyDescent="0.15">
      <c r="J50" s="24"/>
      <c r="K50" s="14"/>
      <c r="L50" s="14"/>
      <c r="M50" s="14"/>
    </row>
    <row r="51" spans="1:13" x14ac:dyDescent="0.15">
      <c r="A51" s="13" t="s">
        <v>46</v>
      </c>
      <c r="J51" s="24"/>
      <c r="K51" s="14"/>
      <c r="L51" s="14"/>
      <c r="M51" s="14"/>
    </row>
    <row r="52" spans="1:13" x14ac:dyDescent="0.15">
      <c r="A52" s="13" t="s">
        <v>47</v>
      </c>
      <c r="J52" s="24"/>
      <c r="K52" s="14"/>
      <c r="L52" s="14"/>
      <c r="M52" s="14"/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2019-01-08T22:51:35Z</dcterms:created>
  <dcterms:modified xsi:type="dcterms:W3CDTF">2019-03-23T01:59:30Z</dcterms:modified>
</cp:coreProperties>
</file>