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E8012AD3-E6E6-294B-9500-4B045DB532BE}" xr6:coauthVersionLast="45" xr6:coauthVersionMax="45" xr10:uidLastSave="{00000000-0000-0000-0000-000000000000}"/>
  <bookViews>
    <workbookView xWindow="14820" yWindow="460" windowWidth="21020" windowHeight="2032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1" i="1" l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61" i="1"/>
  <c r="I60" i="1"/>
  <c r="I59" i="1"/>
  <c r="I58" i="1"/>
  <c r="H61" i="1"/>
  <c r="H60" i="1"/>
  <c r="H59" i="1"/>
  <c r="H58" i="1"/>
  <c r="G61" i="1"/>
  <c r="G60" i="1"/>
  <c r="G59" i="1"/>
  <c r="G58" i="1"/>
  <c r="F61" i="1"/>
  <c r="F60" i="1"/>
  <c r="F59" i="1"/>
  <c r="F58" i="1"/>
  <c r="E61" i="1"/>
  <c r="E60" i="1"/>
  <c r="E59" i="1"/>
  <c r="E58" i="1"/>
  <c r="D61" i="1"/>
  <c r="D60" i="1"/>
  <c r="D59" i="1"/>
  <c r="D58" i="1"/>
  <c r="C61" i="1"/>
  <c r="C60" i="1"/>
  <c r="C59" i="1"/>
  <c r="C58" i="1"/>
  <c r="C3" i="2"/>
  <c r="W56" i="1"/>
  <c r="W50" i="1"/>
  <c r="W49" i="1"/>
  <c r="W41" i="1"/>
  <c r="W36" i="1"/>
  <c r="W33" i="1"/>
  <c r="W32" i="1" s="1"/>
  <c r="C5" i="2" s="1"/>
  <c r="W25" i="1"/>
  <c r="W24" i="1"/>
  <c r="W14" i="1"/>
  <c r="W12" i="1"/>
  <c r="W6" i="1"/>
  <c r="W8" i="1" s="1"/>
  <c r="W28" i="1" s="1"/>
  <c r="W40" i="1" l="1"/>
  <c r="W13" i="1"/>
  <c r="W15" i="1" l="1"/>
  <c r="W29" i="1"/>
  <c r="F4" i="2"/>
  <c r="W16" i="1" l="1"/>
  <c r="W18" i="1" s="1"/>
  <c r="W19" i="1" s="1"/>
  <c r="U9" i="2"/>
  <c r="T9" i="2"/>
  <c r="S9" i="2"/>
  <c r="R9" i="2"/>
  <c r="F44" i="2"/>
  <c r="F43" i="2"/>
  <c r="F42" i="2"/>
  <c r="F40" i="2"/>
  <c r="F39" i="2"/>
  <c r="F26" i="2"/>
  <c r="F23" i="2"/>
  <c r="F17" i="2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F16" i="2"/>
  <c r="F14" i="2"/>
  <c r="F11" i="2"/>
  <c r="G11" i="2" s="1"/>
  <c r="H11" i="2" s="1"/>
  <c r="I11" i="2" s="1"/>
  <c r="J11" i="2" s="1"/>
  <c r="K11" i="2" s="1"/>
  <c r="F10" i="2"/>
  <c r="G10" i="2" s="1"/>
  <c r="H10" i="2" s="1"/>
  <c r="I10" i="2" s="1"/>
  <c r="J10" i="2" s="1"/>
  <c r="K10" i="2" s="1"/>
  <c r="K54" i="2" s="1"/>
  <c r="V50" i="1"/>
  <c r="V49" i="1"/>
  <c r="V56" i="1"/>
  <c r="V41" i="1"/>
  <c r="V36" i="1"/>
  <c r="V40" i="1" s="1"/>
  <c r="V33" i="1"/>
  <c r="V32" i="1" s="1"/>
  <c r="V26" i="1"/>
  <c r="V25" i="1"/>
  <c r="V24" i="1"/>
  <c r="V14" i="1"/>
  <c r="V12" i="1"/>
  <c r="V6" i="1"/>
  <c r="V8" i="1" s="1"/>
  <c r="V28" i="1" s="1"/>
  <c r="U50" i="1"/>
  <c r="U49" i="1"/>
  <c r="U56" i="1"/>
  <c r="U41" i="1"/>
  <c r="U36" i="1"/>
  <c r="U33" i="1"/>
  <c r="U40" i="1" s="1"/>
  <c r="U26" i="1"/>
  <c r="U25" i="1"/>
  <c r="U24" i="1"/>
  <c r="U14" i="1"/>
  <c r="U12" i="1"/>
  <c r="U6" i="1"/>
  <c r="U8" i="1" s="1"/>
  <c r="U28" i="1" s="1"/>
  <c r="T50" i="1"/>
  <c r="T49" i="1"/>
  <c r="T56" i="1"/>
  <c r="T41" i="1"/>
  <c r="T36" i="1"/>
  <c r="T33" i="1"/>
  <c r="T32" i="1" s="1"/>
  <c r="T26" i="1"/>
  <c r="T25" i="1"/>
  <c r="T24" i="1"/>
  <c r="T14" i="1"/>
  <c r="T12" i="1"/>
  <c r="T6" i="1"/>
  <c r="T8" i="1" s="1"/>
  <c r="T28" i="1" s="1"/>
  <c r="S50" i="1"/>
  <c r="S49" i="1"/>
  <c r="S56" i="1"/>
  <c r="S41" i="1"/>
  <c r="S36" i="1"/>
  <c r="S40" i="1" s="1"/>
  <c r="S33" i="1"/>
  <c r="S32" i="1" s="1"/>
  <c r="S25" i="1"/>
  <c r="S24" i="1"/>
  <c r="S14" i="1"/>
  <c r="S11" i="1"/>
  <c r="W26" i="1" s="1"/>
  <c r="S6" i="1"/>
  <c r="W23" i="1" s="1"/>
  <c r="W30" i="1" l="1"/>
  <c r="S8" i="1"/>
  <c r="S28" i="1" s="1"/>
  <c r="T40" i="1"/>
  <c r="V13" i="1"/>
  <c r="S26" i="1"/>
  <c r="S12" i="1"/>
  <c r="S13" i="1" s="1"/>
  <c r="T13" i="1"/>
  <c r="U32" i="1"/>
  <c r="F18" i="2"/>
  <c r="G18" i="2" s="1"/>
  <c r="H18" i="2" s="1"/>
  <c r="I18" i="2" s="1"/>
  <c r="J18" i="2" s="1"/>
  <c r="K18" i="2" s="1"/>
  <c r="U13" i="1"/>
  <c r="U29" i="1" s="1"/>
  <c r="G16" i="2"/>
  <c r="H16" i="2" s="1"/>
  <c r="I16" i="2" s="1"/>
  <c r="J16" i="2" s="1"/>
  <c r="K16" i="2" s="1"/>
  <c r="F38" i="2"/>
  <c r="F46" i="2"/>
  <c r="K13" i="2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F47" i="2"/>
  <c r="F13" i="2"/>
  <c r="F15" i="2" s="1"/>
  <c r="F28" i="2" s="1"/>
  <c r="J13" i="2"/>
  <c r="H13" i="2"/>
  <c r="I13" i="2"/>
  <c r="R36" i="1"/>
  <c r="R40" i="1" s="1"/>
  <c r="R33" i="1"/>
  <c r="R14" i="1"/>
  <c r="F21" i="2" s="1"/>
  <c r="R50" i="1"/>
  <c r="R49" i="1"/>
  <c r="R56" i="1"/>
  <c r="R6" i="1"/>
  <c r="R8" i="1" s="1"/>
  <c r="R13" i="1" s="1"/>
  <c r="R12" i="1"/>
  <c r="R41" i="1"/>
  <c r="R32" i="1"/>
  <c r="R26" i="1"/>
  <c r="R25" i="1"/>
  <c r="R24" i="1"/>
  <c r="E44" i="2"/>
  <c r="E43" i="2"/>
  <c r="E11" i="2"/>
  <c r="E10" i="2"/>
  <c r="Q36" i="1"/>
  <c r="E42" i="2" s="1"/>
  <c r="Q34" i="1"/>
  <c r="E40" i="2" s="1"/>
  <c r="Q33" i="1"/>
  <c r="E39" i="2" s="1"/>
  <c r="Q56" i="1"/>
  <c r="Q41" i="1"/>
  <c r="Q14" i="1"/>
  <c r="Q12" i="1"/>
  <c r="Q6" i="1"/>
  <c r="E14" i="2"/>
  <c r="E16" i="2"/>
  <c r="F33" i="2" s="1"/>
  <c r="E17" i="2"/>
  <c r="E18" i="2"/>
  <c r="E23" i="2"/>
  <c r="C4" i="2"/>
  <c r="E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Q50" i="1"/>
  <c r="P50" i="1"/>
  <c r="O50" i="1"/>
  <c r="N50" i="1"/>
  <c r="M50" i="1"/>
  <c r="L50" i="1"/>
  <c r="K50" i="1"/>
  <c r="J50" i="1"/>
  <c r="I50" i="1"/>
  <c r="H50" i="1"/>
  <c r="G50" i="1"/>
  <c r="Q49" i="1"/>
  <c r="P49" i="1"/>
  <c r="O49" i="1"/>
  <c r="N49" i="1"/>
  <c r="M49" i="1"/>
  <c r="L49" i="1"/>
  <c r="K49" i="1"/>
  <c r="J49" i="1"/>
  <c r="I49" i="1"/>
  <c r="H49" i="1"/>
  <c r="G49" i="1"/>
  <c r="F50" i="1"/>
  <c r="F49" i="1"/>
  <c r="Q26" i="1"/>
  <c r="Q25" i="1"/>
  <c r="Q24" i="1"/>
  <c r="D10" i="2"/>
  <c r="D11" i="2"/>
  <c r="D16" i="2"/>
  <c r="D17" i="2"/>
  <c r="D18" i="2"/>
  <c r="D23" i="2"/>
  <c r="D43" i="2"/>
  <c r="D42" i="2"/>
  <c r="D44" i="2"/>
  <c r="C40" i="2"/>
  <c r="B40" i="2"/>
  <c r="D26" i="2"/>
  <c r="C26" i="2"/>
  <c r="B26" i="2"/>
  <c r="B10" i="2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V9" i="2" s="1"/>
  <c r="M56" i="1"/>
  <c r="M36" i="1"/>
  <c r="M34" i="1"/>
  <c r="D40" i="2" s="1"/>
  <c r="M33" i="1"/>
  <c r="D39" i="2" s="1"/>
  <c r="M14" i="1"/>
  <c r="M12" i="1"/>
  <c r="M6" i="1"/>
  <c r="M8" i="1" s="1"/>
  <c r="N36" i="1"/>
  <c r="N40" i="1" s="1"/>
  <c r="N34" i="1"/>
  <c r="N32" i="1" s="1"/>
  <c r="N33" i="1"/>
  <c r="J14" i="1"/>
  <c r="N14" i="1"/>
  <c r="N56" i="1"/>
  <c r="N6" i="1"/>
  <c r="N8" i="1" s="1"/>
  <c r="N12" i="1"/>
  <c r="N41" i="1"/>
  <c r="N26" i="1"/>
  <c r="N25" i="1"/>
  <c r="N24" i="1"/>
  <c r="J6" i="1"/>
  <c r="N23" i="1" s="1"/>
  <c r="J12" i="1"/>
  <c r="M41" i="1"/>
  <c r="O36" i="1"/>
  <c r="O40" i="1" s="1"/>
  <c r="O34" i="1"/>
  <c r="O33" i="1"/>
  <c r="O32" i="1" s="1"/>
  <c r="K14" i="1"/>
  <c r="O14" i="1"/>
  <c r="O56" i="1"/>
  <c r="O6" i="1"/>
  <c r="O12" i="1"/>
  <c r="O41" i="1"/>
  <c r="O26" i="1"/>
  <c r="O25" i="1"/>
  <c r="O24" i="1"/>
  <c r="K6" i="1"/>
  <c r="K8" i="1" s="1"/>
  <c r="P56" i="1"/>
  <c r="L56" i="1"/>
  <c r="K56" i="1"/>
  <c r="J56" i="1"/>
  <c r="I56" i="1"/>
  <c r="H56" i="1"/>
  <c r="G56" i="1"/>
  <c r="F56" i="1"/>
  <c r="E56" i="1"/>
  <c r="D56" i="1"/>
  <c r="C56" i="1"/>
  <c r="B56" i="1"/>
  <c r="L7" i="1"/>
  <c r="D14" i="2" s="1"/>
  <c r="L14" i="1"/>
  <c r="L6" i="1"/>
  <c r="L8" i="1" s="1"/>
  <c r="L12" i="1"/>
  <c r="P6" i="1"/>
  <c r="P8" i="1" s="1"/>
  <c r="P12" i="1"/>
  <c r="P14" i="1"/>
  <c r="P37" i="1"/>
  <c r="P41" i="1" s="1"/>
  <c r="P36" i="1"/>
  <c r="P33" i="1"/>
  <c r="P32" i="1" s="1"/>
  <c r="P40" i="1"/>
  <c r="P34" i="1"/>
  <c r="P26" i="1"/>
  <c r="P25" i="1"/>
  <c r="P24" i="1"/>
  <c r="B6" i="1"/>
  <c r="B8" i="1" s="1"/>
  <c r="B28" i="1" s="1"/>
  <c r="E6" i="1"/>
  <c r="E8" i="1" s="1"/>
  <c r="E28" i="1" s="1"/>
  <c r="E12" i="1"/>
  <c r="E14" i="1"/>
  <c r="I6" i="1"/>
  <c r="I8" i="1" s="1"/>
  <c r="I12" i="1"/>
  <c r="I14" i="1"/>
  <c r="K12" i="1"/>
  <c r="B11" i="1"/>
  <c r="F26" i="1" s="1"/>
  <c r="B14" i="1"/>
  <c r="B21" i="2" s="1"/>
  <c r="F6" i="1"/>
  <c r="F23" i="1" s="1"/>
  <c r="F12" i="1"/>
  <c r="F14" i="1"/>
  <c r="C6" i="1"/>
  <c r="C8" i="1" s="1"/>
  <c r="C12" i="1"/>
  <c r="C14" i="1"/>
  <c r="D6" i="1"/>
  <c r="D8" i="1" s="1"/>
  <c r="D12" i="1"/>
  <c r="D14" i="1"/>
  <c r="H6" i="1"/>
  <c r="H23" i="1" s="1"/>
  <c r="H7" i="1"/>
  <c r="C14" i="2" s="1"/>
  <c r="H12" i="1"/>
  <c r="H14" i="1"/>
  <c r="G6" i="1"/>
  <c r="G8" i="1" s="1"/>
  <c r="G12" i="1"/>
  <c r="G14" i="1"/>
  <c r="L33" i="1"/>
  <c r="L34" i="1"/>
  <c r="C16" i="2"/>
  <c r="C17" i="2"/>
  <c r="C18" i="2"/>
  <c r="B17" i="2"/>
  <c r="B16" i="2"/>
  <c r="J26" i="1"/>
  <c r="I24" i="1"/>
  <c r="J24" i="1"/>
  <c r="G26" i="1"/>
  <c r="H26" i="1"/>
  <c r="I26" i="1"/>
  <c r="K26" i="1"/>
  <c r="L26" i="1"/>
  <c r="M26" i="1"/>
  <c r="G25" i="1"/>
  <c r="H25" i="1"/>
  <c r="I25" i="1"/>
  <c r="J25" i="1"/>
  <c r="K25" i="1"/>
  <c r="L25" i="1"/>
  <c r="M25" i="1"/>
  <c r="F25" i="1"/>
  <c r="K24" i="1"/>
  <c r="L24" i="1"/>
  <c r="M24" i="1"/>
  <c r="G24" i="1"/>
  <c r="H24" i="1"/>
  <c r="F24" i="1"/>
  <c r="I33" i="1"/>
  <c r="C39" i="2" s="1"/>
  <c r="C10" i="2"/>
  <c r="C11" i="2"/>
  <c r="F33" i="1"/>
  <c r="F32" i="1" s="1"/>
  <c r="E33" i="1"/>
  <c r="E32" i="1" s="1"/>
  <c r="G33" i="1"/>
  <c r="H33" i="1"/>
  <c r="H32" i="1" s="1"/>
  <c r="J34" i="1"/>
  <c r="J33" i="1"/>
  <c r="J32" i="1" s="1"/>
  <c r="K34" i="1"/>
  <c r="K33" i="1"/>
  <c r="K32" i="1" s="1"/>
  <c r="C23" i="2"/>
  <c r="B11" i="2"/>
  <c r="B13" i="2" s="1"/>
  <c r="B14" i="2"/>
  <c r="B23" i="2"/>
  <c r="G32" i="1"/>
  <c r="P13" i="1" l="1"/>
  <c r="P28" i="1"/>
  <c r="Q32" i="1"/>
  <c r="Q40" i="1"/>
  <c r="J8" i="1"/>
  <c r="J28" i="1" s="1"/>
  <c r="E55" i="2"/>
  <c r="L32" i="1"/>
  <c r="F19" i="2"/>
  <c r="F36" i="2" s="1"/>
  <c r="C13" i="1"/>
  <c r="C28" i="1"/>
  <c r="N28" i="1"/>
  <c r="N13" i="1"/>
  <c r="N29" i="1" s="1"/>
  <c r="K28" i="1"/>
  <c r="K13" i="1"/>
  <c r="K29" i="1" s="1"/>
  <c r="H8" i="1"/>
  <c r="M32" i="1"/>
  <c r="O8" i="1"/>
  <c r="S23" i="1"/>
  <c r="R23" i="1"/>
  <c r="L23" i="1"/>
  <c r="E13" i="2"/>
  <c r="F32" i="2" s="1"/>
  <c r="I32" i="1"/>
  <c r="D21" i="2"/>
  <c r="V23" i="1"/>
  <c r="Q23" i="1"/>
  <c r="T29" i="1"/>
  <c r="T15" i="1"/>
  <c r="J23" i="1"/>
  <c r="C38" i="2"/>
  <c r="E13" i="1"/>
  <c r="G33" i="2"/>
  <c r="E21" i="2"/>
  <c r="P23" i="1"/>
  <c r="T23" i="1"/>
  <c r="S15" i="1"/>
  <c r="S29" i="1"/>
  <c r="V29" i="1"/>
  <c r="V15" i="1"/>
  <c r="C21" i="2"/>
  <c r="O23" i="1"/>
  <c r="Q8" i="1"/>
  <c r="Q13" i="1" s="1"/>
  <c r="U23" i="1"/>
  <c r="R32" i="2"/>
  <c r="U15" i="1"/>
  <c r="E38" i="2"/>
  <c r="F20" i="2"/>
  <c r="F22" i="2" s="1"/>
  <c r="F30" i="2" s="1"/>
  <c r="S32" i="2"/>
  <c r="D19" i="2"/>
  <c r="C54" i="2"/>
  <c r="E19" i="2"/>
  <c r="C34" i="2"/>
  <c r="D33" i="2"/>
  <c r="C55" i="2"/>
  <c r="E34" i="2"/>
  <c r="E33" i="2"/>
  <c r="D13" i="2"/>
  <c r="E47" i="2"/>
  <c r="B15" i="2"/>
  <c r="B28" i="2" s="1"/>
  <c r="D47" i="2"/>
  <c r="G54" i="2"/>
  <c r="C19" i="2"/>
  <c r="D34" i="2"/>
  <c r="C13" i="2"/>
  <c r="C15" i="2" s="1"/>
  <c r="E35" i="2"/>
  <c r="D35" i="2"/>
  <c r="C6" i="2"/>
  <c r="C7" i="2" s="1"/>
  <c r="F55" i="2"/>
  <c r="O13" i="1"/>
  <c r="O28" i="1"/>
  <c r="F35" i="2"/>
  <c r="M13" i="1"/>
  <c r="M28" i="1"/>
  <c r="L28" i="1"/>
  <c r="L13" i="1"/>
  <c r="I28" i="1"/>
  <c r="I13" i="1"/>
  <c r="G13" i="1"/>
  <c r="G28" i="1"/>
  <c r="P29" i="1"/>
  <c r="P15" i="1"/>
  <c r="G34" i="2"/>
  <c r="R15" i="1"/>
  <c r="R29" i="1"/>
  <c r="D13" i="1"/>
  <c r="D28" i="1"/>
  <c r="D38" i="2"/>
  <c r="D46" i="2"/>
  <c r="R28" i="1"/>
  <c r="B12" i="1"/>
  <c r="B13" i="1" s="1"/>
  <c r="N15" i="1"/>
  <c r="K15" i="1"/>
  <c r="B39" i="2"/>
  <c r="B38" i="2" s="1"/>
  <c r="D54" i="2"/>
  <c r="M23" i="1"/>
  <c r="I23" i="1"/>
  <c r="C33" i="2"/>
  <c r="D55" i="2"/>
  <c r="F34" i="2"/>
  <c r="M40" i="1"/>
  <c r="E54" i="2"/>
  <c r="E46" i="2"/>
  <c r="F54" i="2"/>
  <c r="G23" i="1"/>
  <c r="B18" i="2"/>
  <c r="B19" i="2" s="1"/>
  <c r="F8" i="1"/>
  <c r="J13" i="1"/>
  <c r="K23" i="1"/>
  <c r="Q28" i="1" l="1"/>
  <c r="E36" i="2"/>
  <c r="E32" i="2"/>
  <c r="S18" i="1"/>
  <c r="S30" i="1"/>
  <c r="E29" i="1"/>
  <c r="E15" i="1"/>
  <c r="E15" i="2"/>
  <c r="T30" i="1"/>
  <c r="T18" i="1"/>
  <c r="H13" i="1"/>
  <c r="H28" i="1"/>
  <c r="V18" i="1"/>
  <c r="V19" i="1" s="1"/>
  <c r="V30" i="1"/>
  <c r="U30" i="1"/>
  <c r="U18" i="1"/>
  <c r="U19" i="1" s="1"/>
  <c r="C29" i="1"/>
  <c r="C15" i="1"/>
  <c r="B20" i="2"/>
  <c r="B29" i="2" s="1"/>
  <c r="D15" i="2"/>
  <c r="D28" i="2" s="1"/>
  <c r="D36" i="2"/>
  <c r="T32" i="2"/>
  <c r="D32" i="2"/>
  <c r="C36" i="2"/>
  <c r="C32" i="2"/>
  <c r="C35" i="2"/>
  <c r="G13" i="2"/>
  <c r="G32" i="2" s="1"/>
  <c r="E28" i="2"/>
  <c r="E20" i="2"/>
  <c r="M29" i="1"/>
  <c r="M15" i="1"/>
  <c r="G35" i="2"/>
  <c r="H54" i="2"/>
  <c r="B15" i="1"/>
  <c r="B29" i="1"/>
  <c r="Q15" i="1"/>
  <c r="Q29" i="1"/>
  <c r="K30" i="1"/>
  <c r="K18" i="1"/>
  <c r="O15" i="1"/>
  <c r="O29" i="1"/>
  <c r="G19" i="2"/>
  <c r="G36" i="2" s="1"/>
  <c r="I29" i="1"/>
  <c r="I15" i="1"/>
  <c r="L29" i="1"/>
  <c r="L15" i="1"/>
  <c r="C20" i="2"/>
  <c r="C28" i="2"/>
  <c r="H34" i="2"/>
  <c r="D15" i="1"/>
  <c r="D29" i="1"/>
  <c r="P18" i="1"/>
  <c r="P30" i="1"/>
  <c r="J29" i="1"/>
  <c r="J15" i="1"/>
  <c r="F28" i="1"/>
  <c r="F13" i="1"/>
  <c r="G55" i="2"/>
  <c r="H33" i="2"/>
  <c r="H19" i="2"/>
  <c r="G15" i="1"/>
  <c r="G29" i="1"/>
  <c r="N30" i="1"/>
  <c r="N18" i="1"/>
  <c r="R18" i="1"/>
  <c r="R30" i="1"/>
  <c r="C30" i="1" l="1"/>
  <c r="C18" i="1"/>
  <c r="C19" i="1" s="1"/>
  <c r="H29" i="1"/>
  <c r="H15" i="1"/>
  <c r="E30" i="1"/>
  <c r="E18" i="1"/>
  <c r="E19" i="1" s="1"/>
  <c r="R19" i="1"/>
  <c r="U43" i="1"/>
  <c r="W43" i="1"/>
  <c r="T19" i="1"/>
  <c r="P19" i="1"/>
  <c r="S43" i="1"/>
  <c r="S19" i="1"/>
  <c r="V43" i="1"/>
  <c r="D20" i="2"/>
  <c r="D29" i="2" s="1"/>
  <c r="U32" i="2"/>
  <c r="H36" i="2"/>
  <c r="F15" i="1"/>
  <c r="F29" i="1"/>
  <c r="H55" i="2"/>
  <c r="H35" i="2"/>
  <c r="K19" i="1"/>
  <c r="Q30" i="1"/>
  <c r="Q18" i="1"/>
  <c r="E29" i="2"/>
  <c r="E22" i="2"/>
  <c r="L30" i="1"/>
  <c r="L18" i="1"/>
  <c r="I18" i="1"/>
  <c r="I19" i="1" s="1"/>
  <c r="I30" i="1"/>
  <c r="J18" i="1"/>
  <c r="J30" i="1"/>
  <c r="M18" i="1"/>
  <c r="M30" i="1"/>
  <c r="D30" i="1"/>
  <c r="D18" i="1"/>
  <c r="D19" i="1" s="1"/>
  <c r="B18" i="1"/>
  <c r="B19" i="1" s="1"/>
  <c r="B30" i="1"/>
  <c r="B22" i="2"/>
  <c r="I34" i="2"/>
  <c r="O18" i="1"/>
  <c r="O30" i="1"/>
  <c r="N19" i="1"/>
  <c r="G30" i="1"/>
  <c r="G18" i="1"/>
  <c r="G19" i="1" s="1"/>
  <c r="I54" i="2"/>
  <c r="I33" i="2"/>
  <c r="I19" i="2"/>
  <c r="I36" i="2" s="1"/>
  <c r="C22" i="2"/>
  <c r="C29" i="2"/>
  <c r="Q19" i="1" l="1"/>
  <c r="T43" i="1"/>
  <c r="U47" i="1"/>
  <c r="U44" i="1"/>
  <c r="U45" i="1"/>
  <c r="U46" i="1"/>
  <c r="D22" i="2"/>
  <c r="H30" i="1"/>
  <c r="H18" i="1"/>
  <c r="H19" i="1" s="1"/>
  <c r="V47" i="1"/>
  <c r="V44" i="1"/>
  <c r="V45" i="1"/>
  <c r="V46" i="1"/>
  <c r="S47" i="1"/>
  <c r="S46" i="1"/>
  <c r="S45" i="1"/>
  <c r="S44" i="1"/>
  <c r="W47" i="1"/>
  <c r="W45" i="1"/>
  <c r="W44" i="1"/>
  <c r="W46" i="1"/>
  <c r="E30" i="2"/>
  <c r="E24" i="2"/>
  <c r="D24" i="2"/>
  <c r="D30" i="2"/>
  <c r="J33" i="2"/>
  <c r="L19" i="1"/>
  <c r="O43" i="1"/>
  <c r="B24" i="2"/>
  <c r="B25" i="2" s="1"/>
  <c r="B30" i="2"/>
  <c r="I32" i="2"/>
  <c r="G15" i="2"/>
  <c r="J34" i="2"/>
  <c r="C30" i="2"/>
  <c r="C24" i="2"/>
  <c r="C25" i="2" s="1"/>
  <c r="N43" i="1"/>
  <c r="J54" i="2"/>
  <c r="P43" i="1"/>
  <c r="P46" i="1" s="1"/>
  <c r="M19" i="1"/>
  <c r="H32" i="2"/>
  <c r="M43" i="1"/>
  <c r="J19" i="1"/>
  <c r="R43" i="1"/>
  <c r="O19" i="1"/>
  <c r="J19" i="2"/>
  <c r="J36" i="2" s="1"/>
  <c r="I35" i="2"/>
  <c r="I55" i="2"/>
  <c r="Q43" i="1"/>
  <c r="F30" i="1"/>
  <c r="F18" i="1"/>
  <c r="F19" i="1" s="1"/>
  <c r="T47" i="1" l="1"/>
  <c r="T44" i="1"/>
  <c r="T46" i="1"/>
  <c r="T45" i="1"/>
  <c r="J55" i="2"/>
  <c r="K55" i="2"/>
  <c r="J32" i="2"/>
  <c r="G20" i="2"/>
  <c r="G28" i="2"/>
  <c r="H15" i="2" s="1"/>
  <c r="G14" i="2"/>
  <c r="K33" i="2"/>
  <c r="L16" i="2"/>
  <c r="R47" i="1"/>
  <c r="R46" i="1"/>
  <c r="R45" i="1"/>
  <c r="R44" i="1"/>
  <c r="M47" i="1"/>
  <c r="M46" i="1"/>
  <c r="M45" i="1"/>
  <c r="M44" i="1"/>
  <c r="O46" i="1"/>
  <c r="O45" i="1"/>
  <c r="O47" i="1"/>
  <c r="O44" i="1"/>
  <c r="Q47" i="1"/>
  <c r="Q46" i="1"/>
  <c r="Q45" i="1"/>
  <c r="Q44" i="1"/>
  <c r="J35" i="2"/>
  <c r="K34" i="2"/>
  <c r="E52" i="2"/>
  <c r="E51" i="2"/>
  <c r="E25" i="2"/>
  <c r="E50" i="2"/>
  <c r="E49" i="2"/>
  <c r="F29" i="2"/>
  <c r="P44" i="1"/>
  <c r="P47" i="1"/>
  <c r="P45" i="1"/>
  <c r="N47" i="1"/>
  <c r="N46" i="1"/>
  <c r="N45" i="1"/>
  <c r="N44" i="1"/>
  <c r="D51" i="2"/>
  <c r="D50" i="2"/>
  <c r="D52" i="2"/>
  <c r="D49" i="2"/>
  <c r="D25" i="2"/>
  <c r="K35" i="2" l="1"/>
  <c r="L18" i="2"/>
  <c r="K19" i="2"/>
  <c r="K36" i="2" s="1"/>
  <c r="M16" i="2"/>
  <c r="L19" i="2"/>
  <c r="L33" i="2"/>
  <c r="H28" i="2"/>
  <c r="I15" i="2" s="1"/>
  <c r="H20" i="2"/>
  <c r="H14" i="2"/>
  <c r="L34" i="2"/>
  <c r="G29" i="2"/>
  <c r="K32" i="2" l="1"/>
  <c r="L36" i="2"/>
  <c r="H29" i="2"/>
  <c r="M18" i="2"/>
  <c r="L35" i="2"/>
  <c r="L32" i="2"/>
  <c r="M34" i="2"/>
  <c r="I20" i="2"/>
  <c r="I28" i="2"/>
  <c r="J15" i="2" s="1"/>
  <c r="I14" i="2"/>
  <c r="N16" i="2"/>
  <c r="M19" i="2"/>
  <c r="M36" i="2" s="1"/>
  <c r="M33" i="2"/>
  <c r="F24" i="2"/>
  <c r="F25" i="2" l="1"/>
  <c r="F52" i="2"/>
  <c r="F51" i="2"/>
  <c r="F50" i="2"/>
  <c r="F49" i="2"/>
  <c r="N34" i="2"/>
  <c r="O16" i="2"/>
  <c r="N33" i="2"/>
  <c r="I29" i="2"/>
  <c r="M32" i="2"/>
  <c r="J20" i="2"/>
  <c r="J28" i="2"/>
  <c r="K15" i="2" s="1"/>
  <c r="J14" i="2"/>
  <c r="N18" i="2"/>
  <c r="M35" i="2"/>
  <c r="N35" i="2" l="1"/>
  <c r="O18" i="2"/>
  <c r="O19" i="2" s="1"/>
  <c r="K20" i="2"/>
  <c r="K28" i="2"/>
  <c r="L15" i="2" s="1"/>
  <c r="K14" i="2"/>
  <c r="N19" i="2"/>
  <c r="N36" i="2" s="1"/>
  <c r="N32" i="2"/>
  <c r="G21" i="2"/>
  <c r="G22" i="2" s="1"/>
  <c r="G23" i="2" s="1"/>
  <c r="P16" i="2"/>
  <c r="O33" i="2"/>
  <c r="J29" i="2"/>
  <c r="O34" i="2"/>
  <c r="O36" i="2" l="1"/>
  <c r="G30" i="2"/>
  <c r="L20" i="2"/>
  <c r="L28" i="2"/>
  <c r="M15" i="2" s="1"/>
  <c r="L14" i="2"/>
  <c r="P34" i="2"/>
  <c r="O35" i="2"/>
  <c r="P18" i="2"/>
  <c r="Q16" i="2"/>
  <c r="R16" i="2" s="1"/>
  <c r="P33" i="2"/>
  <c r="O32" i="2"/>
  <c r="K29" i="2"/>
  <c r="R33" i="2" l="1"/>
  <c r="S16" i="2"/>
  <c r="Q34" i="2"/>
  <c r="G24" i="2"/>
  <c r="G25" i="2" s="1"/>
  <c r="Q18" i="2"/>
  <c r="P35" i="2"/>
  <c r="P32" i="2"/>
  <c r="P19" i="2"/>
  <c r="P36" i="2" s="1"/>
  <c r="Q33" i="2"/>
  <c r="M20" i="2"/>
  <c r="M28" i="2"/>
  <c r="N15" i="2" s="1"/>
  <c r="M14" i="2"/>
  <c r="L29" i="2"/>
  <c r="Q35" i="2" l="1"/>
  <c r="R18" i="2"/>
  <c r="T16" i="2"/>
  <c r="S33" i="2"/>
  <c r="R34" i="2"/>
  <c r="R19" i="2"/>
  <c r="G38" i="2"/>
  <c r="H21" i="2" s="1"/>
  <c r="H22" i="2" s="1"/>
  <c r="Q19" i="2"/>
  <c r="Q36" i="2" s="1"/>
  <c r="N20" i="2"/>
  <c r="N28" i="2"/>
  <c r="O15" i="2" s="1"/>
  <c r="N14" i="2"/>
  <c r="Q32" i="2"/>
  <c r="M29" i="2"/>
  <c r="T33" i="2" l="1"/>
  <c r="U16" i="2"/>
  <c r="U33" i="2" s="1"/>
  <c r="R35" i="2"/>
  <c r="S18" i="2"/>
  <c r="R36" i="2"/>
  <c r="S34" i="2"/>
  <c r="S19" i="2"/>
  <c r="S36" i="2" s="1"/>
  <c r="O20" i="2"/>
  <c r="O28" i="2"/>
  <c r="P15" i="2" s="1"/>
  <c r="O14" i="2"/>
  <c r="H23" i="2"/>
  <c r="H30" i="2" s="1"/>
  <c r="N29" i="2"/>
  <c r="S35" i="2" l="1"/>
  <c r="T18" i="2"/>
  <c r="T34" i="2"/>
  <c r="T19" i="2"/>
  <c r="T36" i="2" s="1"/>
  <c r="H24" i="2"/>
  <c r="H25" i="2" s="1"/>
  <c r="P20" i="2"/>
  <c r="P28" i="2"/>
  <c r="Q15" i="2" s="1"/>
  <c r="P14" i="2"/>
  <c r="O29" i="2"/>
  <c r="U18" i="2" l="1"/>
  <c r="U35" i="2" s="1"/>
  <c r="T35" i="2"/>
  <c r="U34" i="2"/>
  <c r="H38" i="2"/>
  <c r="I21" i="2" s="1"/>
  <c r="I22" i="2" s="1"/>
  <c r="Q28" i="2"/>
  <c r="R15" i="2" s="1"/>
  <c r="Q20" i="2"/>
  <c r="Q14" i="2"/>
  <c r="P29" i="2"/>
  <c r="U19" i="2" l="1"/>
  <c r="U36" i="2" s="1"/>
  <c r="R20" i="2"/>
  <c r="R28" i="2"/>
  <c r="S15" i="2" s="1"/>
  <c r="R14" i="2"/>
  <c r="Q29" i="2"/>
  <c r="I23" i="2"/>
  <c r="I30" i="2" s="1"/>
  <c r="S14" i="2" l="1"/>
  <c r="S20" i="2"/>
  <c r="S28" i="2"/>
  <c r="T15" i="2" s="1"/>
  <c r="R29" i="2"/>
  <c r="I24" i="2"/>
  <c r="I25" i="2" s="1"/>
  <c r="S29" i="2" l="1"/>
  <c r="T28" i="2"/>
  <c r="U15" i="2" s="1"/>
  <c r="T20" i="2"/>
  <c r="T14" i="2"/>
  <c r="I38" i="2"/>
  <c r="J21" i="2" s="1"/>
  <c r="J22" i="2" s="1"/>
  <c r="T29" i="2" l="1"/>
  <c r="U28" i="2"/>
  <c r="U20" i="2"/>
  <c r="U14" i="2"/>
  <c r="J23" i="2"/>
  <c r="J30" i="2" s="1"/>
  <c r="U29" i="2" l="1"/>
  <c r="J24" i="2"/>
  <c r="J25" i="2" s="1"/>
  <c r="J38" i="2" l="1"/>
  <c r="K21" i="2" s="1"/>
  <c r="K22" i="2" s="1"/>
  <c r="K23" i="2" l="1"/>
  <c r="K30" i="2" s="1"/>
  <c r="K24" i="2" l="1"/>
  <c r="K25" i="2"/>
  <c r="K38" i="2"/>
  <c r="L21" i="2" l="1"/>
  <c r="L22" i="2" s="1"/>
  <c r="L23" i="2" l="1"/>
  <c r="L30" i="2" s="1"/>
  <c r="L24" i="2" l="1"/>
  <c r="L25" i="2"/>
  <c r="L38" i="2"/>
  <c r="M21" i="2" l="1"/>
  <c r="M22" i="2" s="1"/>
  <c r="M23" i="2" l="1"/>
  <c r="M30" i="2" s="1"/>
  <c r="M24" i="2" l="1"/>
  <c r="M25" i="2" s="1"/>
  <c r="M38" i="2"/>
  <c r="N21" i="2" l="1"/>
  <c r="N22" i="2" s="1"/>
  <c r="N23" i="2" l="1"/>
  <c r="N30" i="2" s="1"/>
  <c r="N24" i="2"/>
  <c r="N25" i="2" l="1"/>
  <c r="N38" i="2"/>
  <c r="O21" i="2" l="1"/>
  <c r="O22" i="2" s="1"/>
  <c r="O23" i="2" l="1"/>
  <c r="O30" i="2" s="1"/>
  <c r="O24" i="2"/>
  <c r="O25" i="2" l="1"/>
  <c r="O38" i="2"/>
  <c r="P21" i="2" l="1"/>
  <c r="P22" i="2" s="1"/>
  <c r="P23" i="2" l="1"/>
  <c r="P30" i="2" s="1"/>
  <c r="P24" i="2"/>
  <c r="P25" i="2" l="1"/>
  <c r="P38" i="2"/>
  <c r="Q21" i="2" l="1"/>
  <c r="Q22" i="2" s="1"/>
  <c r="Q23" i="2" l="1"/>
  <c r="Q30" i="2" s="1"/>
  <c r="Q24" i="2" l="1"/>
  <c r="Q25" i="2"/>
  <c r="Q38" i="2"/>
  <c r="R21" i="2" l="1"/>
  <c r="R22" i="2" s="1"/>
  <c r="R23" i="2" l="1"/>
  <c r="R30" i="2" s="1"/>
  <c r="R24" i="2"/>
  <c r="R25" i="2" l="1"/>
  <c r="R38" i="2"/>
  <c r="S21" i="2" l="1"/>
  <c r="S22" i="2" s="1"/>
  <c r="S23" i="2" l="1"/>
  <c r="S30" i="2" s="1"/>
  <c r="S24" i="2"/>
  <c r="S25" i="2" l="1"/>
  <c r="S38" i="2"/>
  <c r="T21" i="2" l="1"/>
  <c r="T22" i="2" s="1"/>
  <c r="T23" i="2" l="1"/>
  <c r="T30" i="2" s="1"/>
  <c r="T24" i="2"/>
  <c r="T25" i="2" l="1"/>
  <c r="T38" i="2"/>
  <c r="U21" i="2" l="1"/>
  <c r="U22" i="2" s="1"/>
  <c r="U23" i="2" l="1"/>
  <c r="U30" i="2" s="1"/>
  <c r="U24" i="2"/>
  <c r="V24" i="2" s="1"/>
  <c r="U25" i="2" l="1"/>
  <c r="W24" i="2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F5" i="2" s="1"/>
  <c r="F6" i="2" s="1"/>
  <c r="F7" i="2" s="1"/>
  <c r="G7" i="2" s="1"/>
  <c r="U38" i="2"/>
</calcChain>
</file>

<file path=xl/sharedStrings.xml><?xml version="1.0" encoding="utf-8"?>
<sst xmlns="http://schemas.openxmlformats.org/spreadsheetml/2006/main" count="197" uniqueCount="154">
  <si>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</si>
  <si>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</si>
  <si>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</si>
  <si>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</si>
  <si>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</si>
  <si>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</si>
  <si>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</si>
  <si>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</si>
  <si>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</si>
  <si>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</si>
  <si>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</si>
  <si>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</si>
  <si>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</si>
  <si>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</si>
  <si>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</si>
  <si>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</si>
  <si>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</si>
  <si>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</si>
  <si>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</si>
  <si>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</si>
  <si>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</si>
  <si>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</si>
  <si>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</si>
  <si>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</si>
  <si>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</si>
  <si>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</si>
  <si>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</si>
  <si>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</si>
  <si>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</si>
  <si>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</si>
  <si>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</si>
  <si>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</si>
  <si>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</si>
  <si>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</si>
  <si>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</si>
  <si>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</si>
  <si>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</si>
  <si>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</si>
  <si>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Subscription and support</t>
  </si>
  <si>
    <t>Services and other</t>
  </si>
  <si>
    <t>31/10/2017</t>
  </si>
  <si>
    <t>31/10/2016</t>
  </si>
  <si>
    <t>31/1/2017</t>
  </si>
  <si>
    <t>31/7/2017</t>
  </si>
  <si>
    <t>31/7/2016</t>
  </si>
  <si>
    <t>Sales cloud</t>
  </si>
  <si>
    <t>Service cloud</t>
  </si>
  <si>
    <t>Salesforce platform</t>
  </si>
  <si>
    <t>Marketing and commerce</t>
  </si>
  <si>
    <t>30/4/2016</t>
  </si>
  <si>
    <t>30/4/2017</t>
  </si>
  <si>
    <t>31/1/2016</t>
  </si>
  <si>
    <t>31/10/2015</t>
  </si>
  <si>
    <t>31/7/2015</t>
  </si>
  <si>
    <t>30/4/2015</t>
  </si>
  <si>
    <t>R&amp;D y/y</t>
  </si>
  <si>
    <t>S&amp;M y/y</t>
  </si>
  <si>
    <t>G&amp;A y/y</t>
  </si>
  <si>
    <t>Salesforce.com Inc (CRM)</t>
  </si>
  <si>
    <t>EDGAR</t>
  </si>
  <si>
    <t>Investor Relations</t>
  </si>
  <si>
    <t>CEO</t>
  </si>
  <si>
    <t>Founder</t>
  </si>
  <si>
    <t>Marc Benioff</t>
  </si>
  <si>
    <t>Price</t>
  </si>
  <si>
    <t>Market Cap</t>
  </si>
  <si>
    <t>EV</t>
  </si>
  <si>
    <t>per share</t>
  </si>
  <si>
    <t>Expected return on invested capital (innovation grade)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</si>
  <si>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</si>
  <si>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</si>
  <si>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</si>
  <si>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</si>
  <si>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</si>
  <si>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</si>
  <si>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</si>
  <si>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</si>
  <si>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</si>
  <si>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</si>
  <si>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30/4/2018</t>
  </si>
  <si>
    <t>31/7/2018</t>
  </si>
  <si>
    <t>31/10/2018</t>
  </si>
  <si>
    <t>Core business</t>
  </si>
  <si>
    <t>31/1/2018</t>
  </si>
  <si>
    <t>Q419</t>
  </si>
  <si>
    <t>Q319</t>
  </si>
  <si>
    <t>Q219</t>
  </si>
  <si>
    <t>Q119</t>
  </si>
  <si>
    <t>Subscription and support y/y</t>
  </si>
  <si>
    <t>Services and other y/y</t>
  </si>
  <si>
    <t>Parker Harris</t>
  </si>
  <si>
    <t>Heroku</t>
  </si>
  <si>
    <t>Analytics</t>
  </si>
  <si>
    <t>Trailhead</t>
  </si>
  <si>
    <t>Quip</t>
  </si>
  <si>
    <t>MuleSoft</t>
  </si>
  <si>
    <t>Datorama</t>
  </si>
  <si>
    <t>https://datorama.com/</t>
  </si>
  <si>
    <t>AI marketing services</t>
  </si>
  <si>
    <t>Integration services</t>
  </si>
  <si>
    <t>https://www.mulesoft.com/</t>
  </si>
  <si>
    <t>Collaborative productivity software</t>
  </si>
  <si>
    <t>https://www.salesforce.com/eu/products/einstein/overview/</t>
  </si>
  <si>
    <t>https://trailhead.salesforce.com/</t>
  </si>
  <si>
    <t>https://www.salesforce.com/products/salesforce-iot/overview/</t>
  </si>
  <si>
    <t>Business analytics</t>
  </si>
  <si>
    <t>https://www.heroku.com/platform</t>
  </si>
  <si>
    <t>AppExchange</t>
  </si>
  <si>
    <t>Enterprise cloud marketplace</t>
  </si>
  <si>
    <t>Salesforce Lightning</t>
  </si>
  <si>
    <t>Component-based app development</t>
  </si>
  <si>
    <t>Platform-as-a-service</t>
  </si>
  <si>
    <t>Einstein AI</t>
  </si>
  <si>
    <t>Gamified learning platform</t>
  </si>
  <si>
    <t>Embedded AI</t>
  </si>
  <si>
    <t>IoT</t>
  </si>
  <si>
    <t>Business analytics platform</t>
  </si>
  <si>
    <t>31/1/2019</t>
  </si>
  <si>
    <t>Q120</t>
  </si>
  <si>
    <t>Q220</t>
  </si>
  <si>
    <t>Q320</t>
  </si>
  <si>
    <t>Q420</t>
  </si>
  <si>
    <t>30/4/2019</t>
  </si>
  <si>
    <t>31/7/2019</t>
  </si>
  <si>
    <t>31/10/2019</t>
  </si>
  <si>
    <t>31/1/2020</t>
  </si>
  <si>
    <t>Revenue CC y/y</t>
  </si>
  <si>
    <t>PRODUCTS</t>
  </si>
  <si>
    <t>GOODWILL</t>
  </si>
  <si>
    <t>Tableau</t>
  </si>
  <si>
    <t>ClickSoftware</t>
  </si>
  <si>
    <t>Salesforce.org</t>
  </si>
  <si>
    <t>MapAnything</t>
  </si>
  <si>
    <t>Data analytics software</t>
  </si>
  <si>
    <t>Automated mobile workforce management</t>
  </si>
  <si>
    <t>Social impact center</t>
  </si>
  <si>
    <t>Location intelligence platform</t>
  </si>
  <si>
    <t>https://mapanything.com/</t>
  </si>
  <si>
    <t>https://www.salesforce.org/</t>
  </si>
  <si>
    <t>https://www.tableau.com/</t>
  </si>
  <si>
    <t>Q121</t>
  </si>
  <si>
    <t>Q221</t>
  </si>
  <si>
    <t>Q321</t>
  </si>
  <si>
    <t>Q421</t>
  </si>
  <si>
    <t>16-16 250</t>
  </si>
  <si>
    <t>Operating Expenses y/y</t>
  </si>
  <si>
    <t>Risk-free rate + market premium (opportunity cost)</t>
  </si>
  <si>
    <t>http://www.worldgovernmentbonds.com/country/united-states/</t>
  </si>
  <si>
    <t>Net present value on future net income (terminal value)</t>
  </si>
  <si>
    <t>Tax anomaly</t>
  </si>
  <si>
    <t>Sales cloud y/y</t>
  </si>
  <si>
    <t>Service cloud y/y</t>
  </si>
  <si>
    <t>Salesforce platform y/y</t>
  </si>
  <si>
    <t>Marketing and commerce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</si>
</sst>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Border="1"/>
    <xf numFmtId="10" fontId="5" fillId="0" borderId="0" xfId="0" applyNumberFormat="1" applyFont="1"/>
    <xf numFmtId="0" fontId="7" fillId="0" borderId="0" xfId="4" applyFont="1"/>
    <xf numFmtId="164" fontId="5" fillId="2" borderId="0" xfId="0" applyNumberFormat="1" applyFont="1" applyFill="1"/>
    <xf numFmtId="3" fontId="5" fillId="0" borderId="0" xfId="0" applyNumberFormat="1" applyFont="1"/>
    <xf numFmtId="0" fontId="6" fillId="0" borderId="0" xfId="0" applyFont="1" applyBorder="1"/>
    <xf numFmtId="3" fontId="5" fillId="0" borderId="0" xfId="0" applyNumberFormat="1" applyFont="1" applyBorder="1"/>
    <xf numFmtId="3" fontId="6" fillId="0" borderId="0" xfId="0" applyNumberFormat="1" applyFont="1" applyBorder="1"/>
    <xf numFmtId="3" fontId="5" fillId="2" borderId="0" xfId="0" applyNumberFormat="1" applyFont="1" applyFill="1" applyBorder="1"/>
    <xf numFmtId="2" fontId="5" fillId="0" borderId="0" xfId="0" applyNumberFormat="1" applyFont="1" applyBorder="1"/>
    <xf numFmtId="9" fontId="6" fillId="0" borderId="0" xfId="1" applyFont="1" applyBorder="1"/>
    <xf numFmtId="9" fontId="5" fillId="0" borderId="0" xfId="1" applyFont="1" applyBorder="1"/>
    <xf numFmtId="9" fontId="5" fillId="0" borderId="0" xfId="0" applyNumberFormat="1" applyFont="1" applyBorder="1"/>
    <xf numFmtId="0" fontId="8" fillId="0" borderId="0" xfId="0" applyFont="1"/>
    <xf numFmtId="4" fontId="5" fillId="0" borderId="0" xfId="0" applyNumberFormat="1" applyFont="1" applyBorder="1"/>
    <xf numFmtId="164" fontId="6" fillId="2" borderId="0" xfId="0" applyNumberFormat="1" applyFont="1" applyFill="1"/>
    <xf numFmtId="0" fontId="8" fillId="0" borderId="0" xfId="0" applyFont="1" applyBorder="1"/>
    <xf numFmtId="2" fontId="5" fillId="2" borderId="0" xfId="0" applyNumberFormat="1" applyFont="1" applyFill="1"/>
    <xf numFmtId="3" fontId="6" fillId="2" borderId="0" xfId="0" applyNumberFormat="1" applyFont="1" applyFill="1" applyBorder="1"/>
    <xf numFmtId="2" fontId="5" fillId="2" borderId="0" xfId="0" applyNumberFormat="1" applyFont="1" applyFill="1" applyBorder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1" xfId="0" applyFont="1" applyBorder="1"/>
    <xf numFmtId="9" fontId="5" fillId="0" borderId="0" xfId="0" applyNumberFormat="1" applyFont="1"/>
    <xf numFmtId="0" fontId="6" fillId="0" borderId="1" xfId="0" applyFont="1" applyBorder="1"/>
    <xf numFmtId="3" fontId="5" fillId="2" borderId="0" xfId="0" applyNumberFormat="1" applyFont="1" applyFill="1"/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3" fontId="6" fillId="0" borderId="0" xfId="0" applyNumberFormat="1" applyFont="1" applyFill="1" applyBorder="1"/>
    <xf numFmtId="4" fontId="5" fillId="2" borderId="0" xfId="0" applyNumberFormat="1" applyFont="1" applyFill="1" applyBorder="1"/>
    <xf numFmtId="0" fontId="9" fillId="0" borderId="0" xfId="4" applyFont="1"/>
    <xf numFmtId="0" fontId="8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0" borderId="0" xfId="1" applyFont="1" applyBorder="1" applyAlignment="1">
      <alignment horizontal="right"/>
    </xf>
    <xf numFmtId="9" fontId="5" fillId="0" borderId="1" xfId="1" applyFont="1" applyBorder="1" applyAlignment="1">
      <alignment horizontal="right"/>
    </xf>
    <xf numFmtId="9" fontId="5" fillId="0" borderId="0" xfId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9" fontId="8" fillId="0" borderId="0" xfId="0" applyNumberFormat="1" applyFont="1" applyBorder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3" fontId="5" fillId="0" borderId="1" xfId="0" applyNumberFormat="1" applyFont="1" applyBorder="1"/>
    <xf numFmtId="3" fontId="6" fillId="0" borderId="0" xfId="0" applyNumberFormat="1" applyFont="1"/>
    <xf numFmtId="4" fontId="5" fillId="0" borderId="0" xfId="0" applyNumberFormat="1" applyFont="1"/>
    <xf numFmtId="4" fontId="5" fillId="2" borderId="0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0" xfId="0" applyNumberFormat="1" applyFont="1" applyFill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9" fontId="8" fillId="0" borderId="0" xfId="0" applyNumberFormat="1" applyFont="1" applyAlignment="1">
      <alignment horizontal="right"/>
    </xf>
    <xf numFmtId="0" fontId="10" fillId="0" borderId="0" xfId="0" applyFont="1"/>
    <xf numFmtId="0" fontId="7" fillId="0" borderId="0" xfId="4"/>
    <xf numFmtId="9" fontId="8" fillId="0" borderId="1" xfId="0" applyNumberFormat="1" applyFont="1" applyBorder="1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14" fontId="5" fillId="0" borderId="1" xfId="0" applyNumberFormat="1" applyFont="1" applyBorder="1" applyAlignment="1">
      <alignment horizontal="right"/>
    </xf>
    <xf numFmtId="14" fontId="5" fillId="0" borderId="0" xfId="0" applyNumberFormat="1" applyFont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8" fillId="0" borderId="1" xfId="0" applyNumberFormat="1" applyFont="1" applyBorder="1"/>
    <xf numFmtId="0" fontId="7" fillId="0" borderId="0" xfId="4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8</xdr:row>
      <xdr:rowOff>0</xdr:rowOff>
    </xdr:from>
    <xdr:to>
      <xdr:col>6</xdr:col>
      <xdr:colOff>215900</xdr:colOff>
      <xdr:row>56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032500" y="1320800"/>
          <a:ext cx="0" cy="77724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227189</xdr:colOff>
      <xdr:row>0</xdr:row>
      <xdr:rowOff>139700</xdr:rowOff>
    </xdr:from>
    <xdr:to>
      <xdr:col>23</xdr:col>
      <xdr:colOff>227189</xdr:colOff>
      <xdr:row>62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178889" y="139700"/>
          <a:ext cx="0" cy="100965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c_Benioff" TargetMode="External"/><Relationship Id="rId2" Type="http://schemas.openxmlformats.org/officeDocument/2006/relationships/hyperlink" Target="https://en.wikipedia.org/wiki/Marc_Benioff" TargetMode="External"/><Relationship Id="rId1" Type="http://schemas.openxmlformats.org/officeDocument/2006/relationships/hyperlink" Target="https://investor.salesforce.com/about-us/investor/overview/default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worldgovernmentbonds.com/country/united-state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salesforce&amp;owner=exclude&amp;action=getcompan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lesforce.org/" TargetMode="External"/><Relationship Id="rId3" Type="http://schemas.openxmlformats.org/officeDocument/2006/relationships/hyperlink" Target="https://www.salesforce.com/eu/products/einstein/overview/" TargetMode="External"/><Relationship Id="rId7" Type="http://schemas.openxmlformats.org/officeDocument/2006/relationships/hyperlink" Target="https://mapanything.com/" TargetMode="External"/><Relationship Id="rId2" Type="http://schemas.openxmlformats.org/officeDocument/2006/relationships/hyperlink" Target="https://www.mulesoft.com/" TargetMode="External"/><Relationship Id="rId1" Type="http://schemas.openxmlformats.org/officeDocument/2006/relationships/hyperlink" Target="https://datorama.com/" TargetMode="External"/><Relationship Id="rId6" Type="http://schemas.openxmlformats.org/officeDocument/2006/relationships/hyperlink" Target="https://www.heroku.com/platform" TargetMode="External"/><Relationship Id="rId5" Type="http://schemas.openxmlformats.org/officeDocument/2006/relationships/hyperlink" Target="https://www.salesforce.com/products/salesforce-iot/overview/" TargetMode="External"/><Relationship Id="rId4" Type="http://schemas.openxmlformats.org/officeDocument/2006/relationships/hyperlink" Target="https://trailhead.salesforce.com/" TargetMode="External"/><Relationship Id="rId9" Type="http://schemas.openxmlformats.org/officeDocument/2006/relationships/hyperlink" Target="https://www.tablea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55"/>
  <sheetViews>
    <sheetView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41" sqref="H41"/>
    </sheetView>
  </sheetViews>
  <sheetFormatPr baseColWidth="10" defaultRowHeight="13" x14ac:dyDescent="0.15"/>
  <cols>
    <col min="1" max="1" width="23.5" style="1" bestFit="1" customWidth="1"/>
    <col min="2" max="16384" width="10.83203125" style="1"/>
  </cols>
  <sheetData>
    <row r="1" spans="1:22" x14ac:dyDescent="0.15">
      <c r="A1" s="5" t="s">
        <v>60</v>
      </c>
      <c r="B1" s="2" t="s">
        <v>58</v>
      </c>
      <c r="E1" s="3"/>
      <c r="F1" s="4"/>
    </row>
    <row r="2" spans="1:22" x14ac:dyDescent="0.15">
      <c r="B2" s="1" t="s">
        <v>64</v>
      </c>
      <c r="C2" s="17">
        <v>272.32</v>
      </c>
      <c r="D2" s="59">
        <v>44070</v>
      </c>
      <c r="E2" s="3" t="s">
        <v>29</v>
      </c>
      <c r="F2" s="4">
        <v>-5.0000000000000001E-3</v>
      </c>
      <c r="I2" s="7"/>
    </row>
    <row r="3" spans="1:22" x14ac:dyDescent="0.15">
      <c r="A3" s="2" t="s">
        <v>61</v>
      </c>
      <c r="B3" s="1" t="s">
        <v>17</v>
      </c>
      <c r="C3" s="9">
        <f>Reports!W20</f>
        <v>922</v>
      </c>
      <c r="D3" s="60" t="s">
        <v>141</v>
      </c>
      <c r="E3" s="3" t="s">
        <v>30</v>
      </c>
      <c r="F3" s="4">
        <v>0.02</v>
      </c>
      <c r="G3" s="16" t="s">
        <v>68</v>
      </c>
      <c r="I3" s="7"/>
    </row>
    <row r="4" spans="1:22" x14ac:dyDescent="0.15">
      <c r="A4" s="5" t="s">
        <v>63</v>
      </c>
      <c r="B4" s="1" t="s">
        <v>65</v>
      </c>
      <c r="C4" s="11">
        <f>C2*C3</f>
        <v>251079.04000000001</v>
      </c>
      <c r="D4" s="60"/>
      <c r="E4" s="3" t="s">
        <v>31</v>
      </c>
      <c r="F4" s="4">
        <f>6%</f>
        <v>0.06</v>
      </c>
      <c r="G4" s="16" t="s">
        <v>146</v>
      </c>
      <c r="I4" s="26"/>
      <c r="L4" s="71" t="s">
        <v>147</v>
      </c>
    </row>
    <row r="5" spans="1:22" x14ac:dyDescent="0.15">
      <c r="B5" s="1" t="s">
        <v>26</v>
      </c>
      <c r="C5" s="9">
        <f>Reports!W32</f>
        <v>9165</v>
      </c>
      <c r="D5" s="60" t="s">
        <v>141</v>
      </c>
      <c r="E5" s="3" t="s">
        <v>32</v>
      </c>
      <c r="F5" s="6">
        <f>NPV(F4,F24:DR24)</f>
        <v>325665.25469751714</v>
      </c>
      <c r="G5" s="16" t="s">
        <v>148</v>
      </c>
      <c r="I5" s="26"/>
    </row>
    <row r="6" spans="1:22" x14ac:dyDescent="0.15">
      <c r="A6" s="2" t="s">
        <v>62</v>
      </c>
      <c r="B6" s="1" t="s">
        <v>66</v>
      </c>
      <c r="C6" s="11">
        <f>C4-C5</f>
        <v>241914.04</v>
      </c>
      <c r="D6" s="60"/>
      <c r="E6" s="8" t="s">
        <v>33</v>
      </c>
      <c r="F6" s="18">
        <f>F5+C5</f>
        <v>334830.25469751714</v>
      </c>
      <c r="I6" s="26"/>
    </row>
    <row r="7" spans="1:22" x14ac:dyDescent="0.15">
      <c r="A7" s="5" t="s">
        <v>63</v>
      </c>
      <c r="B7" s="16" t="s">
        <v>67</v>
      </c>
      <c r="C7" s="32">
        <f>C6/C3</f>
        <v>262.37965292841648</v>
      </c>
      <c r="D7" s="60"/>
      <c r="E7" s="19" t="s">
        <v>67</v>
      </c>
      <c r="F7" s="20">
        <f>F6/C3</f>
        <v>363.15645845717694</v>
      </c>
      <c r="G7" s="26">
        <f>F7/C2-1</f>
        <v>0.33356513828281775</v>
      </c>
    </row>
    <row r="8" spans="1:22" x14ac:dyDescent="0.15">
      <c r="A8" s="1" t="s">
        <v>90</v>
      </c>
    </row>
    <row r="9" spans="1:22" x14ac:dyDescent="0.15">
      <c r="B9" s="1">
        <v>2016</v>
      </c>
      <c r="C9" s="1">
        <v>2017</v>
      </c>
      <c r="D9" s="1">
        <f>C9+1</f>
        <v>2018</v>
      </c>
      <c r="E9" s="1">
        <f t="shared" ref="E9" si="0">D9+1</f>
        <v>2019</v>
      </c>
      <c r="F9" s="1">
        <f t="shared" ref="F9" si="1">E9+1</f>
        <v>2020</v>
      </c>
      <c r="G9" s="1">
        <f t="shared" ref="G9" si="2">F9+1</f>
        <v>2021</v>
      </c>
      <c r="H9" s="1">
        <f t="shared" ref="H9" si="3">G9+1</f>
        <v>2022</v>
      </c>
      <c r="I9" s="1">
        <f t="shared" ref="I9" si="4">H9+1</f>
        <v>2023</v>
      </c>
      <c r="J9" s="1">
        <f t="shared" ref="J9" si="5">I9+1</f>
        <v>2024</v>
      </c>
      <c r="K9" s="1">
        <f t="shared" ref="K9" si="6">J9+1</f>
        <v>2025</v>
      </c>
      <c r="L9" s="1">
        <f t="shared" ref="L9" si="7">K9+1</f>
        <v>2026</v>
      </c>
      <c r="M9" s="1">
        <f t="shared" ref="M9" si="8">L9+1</f>
        <v>2027</v>
      </c>
      <c r="N9" s="1">
        <f t="shared" ref="N9" si="9">M9+1</f>
        <v>2028</v>
      </c>
      <c r="O9" s="1">
        <f t="shared" ref="O9" si="10">N9+1</f>
        <v>2029</v>
      </c>
      <c r="P9" s="1">
        <f t="shared" ref="P9" si="11">O9+1</f>
        <v>2030</v>
      </c>
      <c r="Q9" s="1">
        <f t="shared" ref="Q9:U9" si="12">P9+1</f>
        <v>2031</v>
      </c>
      <c r="R9" s="1">
        <f t="shared" si="12"/>
        <v>2032</v>
      </c>
      <c r="S9" s="1">
        <f t="shared" si="12"/>
        <v>2033</v>
      </c>
      <c r="T9" s="1">
        <f t="shared" si="12"/>
        <v>2034</v>
      </c>
      <c r="U9" s="1">
        <f t="shared" si="12"/>
        <v>2035</v>
      </c>
      <c r="V9" s="1">
        <f t="shared" ref="V9" si="13">U9+1</f>
        <v>2036</v>
      </c>
    </row>
    <row r="10" spans="1:22" x14ac:dyDescent="0.15">
      <c r="A10" s="1" t="s">
        <v>38</v>
      </c>
      <c r="B10" s="9">
        <f>SUM(Reports!B3:E3)</f>
        <v>6205.4</v>
      </c>
      <c r="C10" s="9">
        <f>SUM(Reports!F3:I3)</f>
        <v>7755.9</v>
      </c>
      <c r="D10" s="7">
        <f>SUM(Reports!J3:M3)</f>
        <v>9753</v>
      </c>
      <c r="E10" s="7">
        <f>SUM(Reports!N3:Q3)</f>
        <v>12413</v>
      </c>
      <c r="F10" s="7">
        <f>SUM(Reports!R3:U3)</f>
        <v>16043</v>
      </c>
      <c r="G10" s="7">
        <f>F10*1.22</f>
        <v>19572.46</v>
      </c>
      <c r="H10" s="7">
        <f t="shared" ref="H10:K10" si="14">G10*1.22</f>
        <v>23878.401199999997</v>
      </c>
      <c r="I10" s="7">
        <f t="shared" si="14"/>
        <v>29131.649463999995</v>
      </c>
      <c r="J10" s="7">
        <f t="shared" si="14"/>
        <v>35540.612346079994</v>
      </c>
      <c r="K10" s="7">
        <f t="shared" si="14"/>
        <v>43359.547062217593</v>
      </c>
    </row>
    <row r="11" spans="1:22" x14ac:dyDescent="0.15">
      <c r="A11" s="1" t="s">
        <v>39</v>
      </c>
      <c r="B11" s="9">
        <f>SUM(Reports!B4:E4)</f>
        <v>461.4</v>
      </c>
      <c r="C11" s="9">
        <f>SUM(Reports!F4:I4)</f>
        <v>635.6</v>
      </c>
      <c r="D11" s="7">
        <f>SUM(Reports!J4:M4)</f>
        <v>773</v>
      </c>
      <c r="E11" s="7">
        <f>SUM(Reports!N4:Q4)</f>
        <v>869</v>
      </c>
      <c r="F11" s="7">
        <f>SUM(Reports!R4:U4)</f>
        <v>1055</v>
      </c>
      <c r="G11" s="7">
        <f>F11*1.1</f>
        <v>1160.5</v>
      </c>
      <c r="H11" s="7">
        <f t="shared" ref="H11:K11" si="15">G11*1.1</f>
        <v>1276.5500000000002</v>
      </c>
      <c r="I11" s="7">
        <f t="shared" si="15"/>
        <v>1404.2050000000004</v>
      </c>
      <c r="J11" s="7">
        <f t="shared" si="15"/>
        <v>1544.6255000000006</v>
      </c>
      <c r="K11" s="7">
        <f t="shared" si="15"/>
        <v>1699.0880500000007</v>
      </c>
    </row>
    <row r="12" spans="1:22" s="16" customFormat="1" x14ac:dyDescent="0.15">
      <c r="E12" s="34"/>
      <c r="F12" s="34" t="s">
        <v>144</v>
      </c>
      <c r="G12" s="74">
        <v>20800</v>
      </c>
    </row>
    <row r="13" spans="1:22" x14ac:dyDescent="0.15">
      <c r="A13" s="2" t="s">
        <v>4</v>
      </c>
      <c r="B13" s="21">
        <f>SUM(B10:B11)</f>
        <v>6666.7999999999993</v>
      </c>
      <c r="C13" s="21">
        <f>SUM(C10:C11)</f>
        <v>8391.5</v>
      </c>
      <c r="D13" s="21">
        <f>SUM(D10:D11)</f>
        <v>10526</v>
      </c>
      <c r="E13" s="21">
        <f>SUM(E10:E11)</f>
        <v>13282</v>
      </c>
      <c r="F13" s="21">
        <f>SUM(F10:F11)</f>
        <v>17098</v>
      </c>
      <c r="G13" s="31">
        <f t="shared" ref="G13:K13" si="16">SUM(G10:G11)</f>
        <v>20732.96</v>
      </c>
      <c r="H13" s="31">
        <f t="shared" si="16"/>
        <v>25154.951199999996</v>
      </c>
      <c r="I13" s="31">
        <f t="shared" si="16"/>
        <v>30535.854463999996</v>
      </c>
      <c r="J13" s="31">
        <f t="shared" si="16"/>
        <v>37085.237846079996</v>
      </c>
      <c r="K13" s="31">
        <f t="shared" si="16"/>
        <v>45058.635112217591</v>
      </c>
      <c r="L13" s="10">
        <f>K13*1.1</f>
        <v>49564.498623439351</v>
      </c>
      <c r="M13" s="10">
        <f t="shared" ref="M13:U13" si="17">L13*1.1</f>
        <v>54520.948485783294</v>
      </c>
      <c r="N13" s="10">
        <f t="shared" si="17"/>
        <v>59973.043334361631</v>
      </c>
      <c r="O13" s="10">
        <f t="shared" si="17"/>
        <v>65970.347667797803</v>
      </c>
      <c r="P13" s="10">
        <f t="shared" si="17"/>
        <v>72567.382434577594</v>
      </c>
      <c r="Q13" s="10">
        <f t="shared" si="17"/>
        <v>79824.120678035353</v>
      </c>
      <c r="R13" s="10">
        <f t="shared" si="17"/>
        <v>87806.532745838893</v>
      </c>
      <c r="S13" s="10">
        <f t="shared" si="17"/>
        <v>96587.186020422785</v>
      </c>
      <c r="T13" s="10">
        <f t="shared" si="17"/>
        <v>106245.90462246507</v>
      </c>
      <c r="U13" s="10">
        <f t="shared" si="17"/>
        <v>116870.49508471158</v>
      </c>
      <c r="V13" s="10"/>
    </row>
    <row r="14" spans="1:22" x14ac:dyDescent="0.15">
      <c r="A14" s="1" t="s">
        <v>5</v>
      </c>
      <c r="B14" s="9">
        <f>SUM(Reports!B7:E7)</f>
        <v>1654.3000000000002</v>
      </c>
      <c r="C14" s="9">
        <f>SUM(Reports!F7:I7)</f>
        <v>2233.6999999999998</v>
      </c>
      <c r="D14" s="7">
        <f>SUM(Reports!J7:M7)</f>
        <v>2772.9</v>
      </c>
      <c r="E14" s="7">
        <f>SUM(Reports!N7:Q7)</f>
        <v>3451</v>
      </c>
      <c r="F14" s="9">
        <f>SUM(Reports!R7:U7)</f>
        <v>4235</v>
      </c>
      <c r="G14" s="9">
        <f t="shared" ref="G14" si="18">G13-G15</f>
        <v>5135.3424728038372</v>
      </c>
      <c r="H14" s="9">
        <f t="shared" ref="H14" si="19">H13-H15</f>
        <v>6230.6245369049029</v>
      </c>
      <c r="I14" s="9">
        <f t="shared" ref="I14:L14" si="20">I13-I15</f>
        <v>7563.4193271166259</v>
      </c>
      <c r="J14" s="9">
        <f t="shared" si="20"/>
        <v>9185.6347103841908</v>
      </c>
      <c r="K14" s="9">
        <f t="shared" si="20"/>
        <v>11160.563791100809</v>
      </c>
      <c r="L14" s="9">
        <f t="shared" si="20"/>
        <v>12276.620170210888</v>
      </c>
      <c r="M14" s="9">
        <f t="shared" ref="M14" si="21">M13-M15</f>
        <v>13504.282187231984</v>
      </c>
      <c r="N14" s="9">
        <f t="shared" ref="N14:Q14" si="22">N13-N15</f>
        <v>14854.710405955186</v>
      </c>
      <c r="O14" s="9">
        <f t="shared" si="22"/>
        <v>16340.181446550705</v>
      </c>
      <c r="P14" s="9">
        <f t="shared" si="22"/>
        <v>17974.199591205783</v>
      </c>
      <c r="Q14" s="9">
        <f t="shared" si="22"/>
        <v>19771.619550326359</v>
      </c>
      <c r="R14" s="9">
        <f t="shared" ref="R14:U14" si="23">R13-R15</f>
        <v>21748.781505359002</v>
      </c>
      <c r="S14" s="9">
        <f t="shared" si="23"/>
        <v>23923.65965589491</v>
      </c>
      <c r="T14" s="9">
        <f t="shared" si="23"/>
        <v>26316.025621484398</v>
      </c>
      <c r="U14" s="9">
        <f t="shared" si="23"/>
        <v>28947.628183632842</v>
      </c>
      <c r="V14" s="9"/>
    </row>
    <row r="15" spans="1:22" x14ac:dyDescent="0.15">
      <c r="A15" s="1" t="s">
        <v>6</v>
      </c>
      <c r="B15" s="11">
        <f>B13-B14</f>
        <v>5012.4999999999991</v>
      </c>
      <c r="C15" s="11">
        <f>C13-C14</f>
        <v>6157.8</v>
      </c>
      <c r="D15" s="11">
        <f>D13-D14</f>
        <v>7753.1</v>
      </c>
      <c r="E15" s="11">
        <f>E13-E14</f>
        <v>9831</v>
      </c>
      <c r="F15" s="11">
        <f>F13-F14</f>
        <v>12863</v>
      </c>
      <c r="G15" s="9">
        <f t="shared" ref="G15:U15" si="24">G13*F28</f>
        <v>15597.617527196162</v>
      </c>
      <c r="H15" s="9">
        <f t="shared" si="24"/>
        <v>18924.326663095093</v>
      </c>
      <c r="I15" s="9">
        <f t="shared" si="24"/>
        <v>22972.43513688337</v>
      </c>
      <c r="J15" s="9">
        <f t="shared" si="24"/>
        <v>27899.603135695805</v>
      </c>
      <c r="K15" s="9">
        <f t="shared" si="24"/>
        <v>33898.071321116782</v>
      </c>
      <c r="L15" s="9">
        <f t="shared" si="24"/>
        <v>37287.878453228463</v>
      </c>
      <c r="M15" s="9">
        <f t="shared" si="24"/>
        <v>41016.66629855131</v>
      </c>
      <c r="N15" s="9">
        <f t="shared" si="24"/>
        <v>45118.332928406446</v>
      </c>
      <c r="O15" s="9">
        <f t="shared" si="24"/>
        <v>49630.166221247098</v>
      </c>
      <c r="P15" s="9">
        <f t="shared" si="24"/>
        <v>54593.182843371811</v>
      </c>
      <c r="Q15" s="9">
        <f t="shared" si="24"/>
        <v>60052.501127708994</v>
      </c>
      <c r="R15" s="9">
        <f t="shared" si="24"/>
        <v>66057.751240479891</v>
      </c>
      <c r="S15" s="9">
        <f t="shared" si="24"/>
        <v>72663.526364527876</v>
      </c>
      <c r="T15" s="9">
        <f t="shared" si="24"/>
        <v>79929.879000980669</v>
      </c>
      <c r="U15" s="9">
        <f t="shared" si="24"/>
        <v>87922.866901078742</v>
      </c>
      <c r="V15" s="9"/>
    </row>
    <row r="16" spans="1:22" x14ac:dyDescent="0.15">
      <c r="A16" s="1" t="s">
        <v>7</v>
      </c>
      <c r="B16" s="9">
        <f>SUM(Reports!B9:E9)</f>
        <v>946.2</v>
      </c>
      <c r="C16" s="9">
        <f>SUM(Reports!F9:I9)</f>
        <v>1207.9000000000001</v>
      </c>
      <c r="D16" s="7">
        <f>SUM(Reports!J9:M9)</f>
        <v>1554</v>
      </c>
      <c r="E16" s="7">
        <f>SUM(Reports!N9:Q9)</f>
        <v>1886</v>
      </c>
      <c r="F16" s="9">
        <f>SUM(Reports!R9:U9)</f>
        <v>2766</v>
      </c>
      <c r="G16" s="9">
        <f>F16*1.2</f>
        <v>3319.2</v>
      </c>
      <c r="H16" s="9">
        <f t="shared" ref="H16:K16" si="25">G16*1.2</f>
        <v>3983.0399999999995</v>
      </c>
      <c r="I16" s="9">
        <f t="shared" si="25"/>
        <v>4779.6479999999992</v>
      </c>
      <c r="J16" s="9">
        <f t="shared" si="25"/>
        <v>5735.5775999999987</v>
      </c>
      <c r="K16" s="9">
        <f t="shared" si="25"/>
        <v>6882.6931199999981</v>
      </c>
      <c r="L16" s="9">
        <f t="shared" ref="L16:U17" si="26">K16*1.05</f>
        <v>7226.8277759999983</v>
      </c>
      <c r="M16" s="9">
        <f t="shared" si="26"/>
        <v>7588.1691647999987</v>
      </c>
      <c r="N16" s="9">
        <f t="shared" si="26"/>
        <v>7967.5776230399988</v>
      </c>
      <c r="O16" s="9">
        <f t="shared" si="26"/>
        <v>8365.9565041919996</v>
      </c>
      <c r="P16" s="9">
        <f t="shared" si="26"/>
        <v>8784.2543294015995</v>
      </c>
      <c r="Q16" s="9">
        <f t="shared" si="26"/>
        <v>9223.4670458716791</v>
      </c>
      <c r="R16" s="9">
        <f t="shared" si="26"/>
        <v>9684.6403981652638</v>
      </c>
      <c r="S16" s="9">
        <f t="shared" si="26"/>
        <v>10168.872418073528</v>
      </c>
      <c r="T16" s="9">
        <f t="shared" si="26"/>
        <v>10677.316038977206</v>
      </c>
      <c r="U16" s="9">
        <f t="shared" si="26"/>
        <v>11211.181840926067</v>
      </c>
      <c r="V16" s="9"/>
    </row>
    <row r="17" spans="1:122" x14ac:dyDescent="0.15">
      <c r="A17" s="1" t="s">
        <v>8</v>
      </c>
      <c r="B17" s="9">
        <f>SUM(Reports!B10:E10)</f>
        <v>3239.6000000000004</v>
      </c>
      <c r="C17" s="9">
        <f>SUM(Reports!F10:I10)</f>
        <v>3917.8</v>
      </c>
      <c r="D17" s="7">
        <f>SUM(Reports!J10:M10)</f>
        <v>4790</v>
      </c>
      <c r="E17" s="7">
        <f>SUM(Reports!N10:Q10)</f>
        <v>6064</v>
      </c>
      <c r="F17" s="9">
        <f>SUM(Reports!R10:U10)</f>
        <v>7930</v>
      </c>
      <c r="G17" s="9">
        <f>F17*1.2</f>
        <v>9516</v>
      </c>
      <c r="H17" s="9">
        <f t="shared" ref="H17:K17" si="27">G17*1.2</f>
        <v>11419.199999999999</v>
      </c>
      <c r="I17" s="9">
        <f t="shared" si="27"/>
        <v>13703.039999999999</v>
      </c>
      <c r="J17" s="9">
        <f t="shared" si="27"/>
        <v>16443.647999999997</v>
      </c>
      <c r="K17" s="9">
        <f t="shared" si="27"/>
        <v>19732.377599999996</v>
      </c>
      <c r="L17" s="9">
        <f>K17*1.05</f>
        <v>20718.996479999998</v>
      </c>
      <c r="M17" s="9">
        <f t="shared" si="26"/>
        <v>21754.946303999997</v>
      </c>
      <c r="N17" s="9">
        <f t="shared" si="26"/>
        <v>22842.693619199999</v>
      </c>
      <c r="O17" s="9">
        <f t="shared" si="26"/>
        <v>23984.828300159999</v>
      </c>
      <c r="P17" s="9">
        <f t="shared" si="26"/>
        <v>25184.069715168</v>
      </c>
      <c r="Q17" s="9">
        <f t="shared" si="26"/>
        <v>26443.2732009264</v>
      </c>
      <c r="R17" s="9">
        <f t="shared" si="26"/>
        <v>27765.436860972721</v>
      </c>
      <c r="S17" s="9">
        <f t="shared" si="26"/>
        <v>29153.708704021359</v>
      </c>
      <c r="T17" s="9">
        <f t="shared" si="26"/>
        <v>30611.39413922243</v>
      </c>
      <c r="U17" s="9">
        <f t="shared" si="26"/>
        <v>32141.963846183553</v>
      </c>
      <c r="V17" s="9"/>
    </row>
    <row r="18" spans="1:122" x14ac:dyDescent="0.15">
      <c r="A18" s="1" t="s">
        <v>9</v>
      </c>
      <c r="B18" s="9">
        <f>SUM(Reports!B11:E11)</f>
        <v>711.5</v>
      </c>
      <c r="C18" s="9">
        <f>SUM(Reports!F11:I11)</f>
        <v>967.4</v>
      </c>
      <c r="D18" s="7">
        <f>SUM(Reports!J11:M11)</f>
        <v>1087.8000000000002</v>
      </c>
      <c r="E18" s="7">
        <f>SUM(Reports!N11:Q11)</f>
        <v>1346</v>
      </c>
      <c r="F18" s="9">
        <f>SUM(Reports!R11:U11)</f>
        <v>1870</v>
      </c>
      <c r="G18" s="9">
        <f>F18*1.15</f>
        <v>2150.5</v>
      </c>
      <c r="H18" s="9">
        <f t="shared" ref="H18:K18" si="28">G18*1.15</f>
        <v>2473.0749999999998</v>
      </c>
      <c r="I18" s="9">
        <f t="shared" si="28"/>
        <v>2844.0362499999997</v>
      </c>
      <c r="J18" s="9">
        <f t="shared" si="28"/>
        <v>3270.6416874999995</v>
      </c>
      <c r="K18" s="9">
        <f t="shared" si="28"/>
        <v>3761.2379406249993</v>
      </c>
      <c r="L18" s="9">
        <f t="shared" ref="L18:U18" si="29">K18*0.98</f>
        <v>3686.0131818124992</v>
      </c>
      <c r="M18" s="9">
        <f t="shared" si="29"/>
        <v>3612.2929181762493</v>
      </c>
      <c r="N18" s="9">
        <f t="shared" si="29"/>
        <v>3540.047059812724</v>
      </c>
      <c r="O18" s="9">
        <f t="shared" si="29"/>
        <v>3469.2461186164696</v>
      </c>
      <c r="P18" s="9">
        <f t="shared" si="29"/>
        <v>3399.86119624414</v>
      </c>
      <c r="Q18" s="9">
        <f t="shared" si="29"/>
        <v>3331.8639723192573</v>
      </c>
      <c r="R18" s="9">
        <f t="shared" si="29"/>
        <v>3265.2266928728723</v>
      </c>
      <c r="S18" s="9">
        <f t="shared" si="29"/>
        <v>3199.9221590154148</v>
      </c>
      <c r="T18" s="9">
        <f t="shared" si="29"/>
        <v>3135.9237158351066</v>
      </c>
      <c r="U18" s="9">
        <f t="shared" si="29"/>
        <v>3073.2052415184044</v>
      </c>
      <c r="V18" s="9"/>
    </row>
    <row r="19" spans="1:122" x14ac:dyDescent="0.15">
      <c r="A19" s="1" t="s">
        <v>10</v>
      </c>
      <c r="B19" s="11">
        <f>SUM(B16:B18)</f>
        <v>4897.3</v>
      </c>
      <c r="C19" s="11">
        <f>SUM(C16:C18)</f>
        <v>6093.1</v>
      </c>
      <c r="D19" s="11">
        <f>SUM(D16:D18)</f>
        <v>7431.8</v>
      </c>
      <c r="E19" s="11">
        <f>SUM(E16:E18)</f>
        <v>9296</v>
      </c>
      <c r="F19" s="11">
        <f>SUM(F16:F18)</f>
        <v>12566</v>
      </c>
      <c r="G19" s="9">
        <f t="shared" ref="G19" si="30">SUM(G16:G18)</f>
        <v>14985.7</v>
      </c>
      <c r="H19" s="9">
        <f t="shared" ref="H19" si="31">SUM(H16:H18)</f>
        <v>17875.314999999999</v>
      </c>
      <c r="I19" s="9">
        <f t="shared" ref="I19:L19" si="32">SUM(I16:I18)</f>
        <v>21326.724249999999</v>
      </c>
      <c r="J19" s="9">
        <f t="shared" si="32"/>
        <v>25449.867287499997</v>
      </c>
      <c r="K19" s="9">
        <f t="shared" si="32"/>
        <v>30376.308660624996</v>
      </c>
      <c r="L19" s="9">
        <f t="shared" si="32"/>
        <v>31631.837437812494</v>
      </c>
      <c r="M19" s="9">
        <f t="shared" ref="M19" si="33">SUM(M16:M18)</f>
        <v>32955.408386976247</v>
      </c>
      <c r="N19" s="9">
        <f t="shared" ref="N19:Q19" si="34">SUM(N16:N18)</f>
        <v>34350.318302052721</v>
      </c>
      <c r="O19" s="9">
        <f t="shared" si="34"/>
        <v>35820.030922968472</v>
      </c>
      <c r="P19" s="9">
        <f t="shared" si="34"/>
        <v>37368.185240813742</v>
      </c>
      <c r="Q19" s="9">
        <f t="shared" si="34"/>
        <v>38998.604219117333</v>
      </c>
      <c r="R19" s="9">
        <f t="shared" ref="R19:U19" si="35">SUM(R16:R18)</f>
        <v>40715.303952010858</v>
      </c>
      <c r="S19" s="9">
        <f t="shared" si="35"/>
        <v>42522.503281110301</v>
      </c>
      <c r="T19" s="9">
        <f t="shared" si="35"/>
        <v>44424.633894034741</v>
      </c>
      <c r="U19" s="9">
        <f t="shared" si="35"/>
        <v>46426.350928628017</v>
      </c>
      <c r="V19" s="9"/>
    </row>
    <row r="20" spans="1:122" x14ac:dyDescent="0.15">
      <c r="A20" s="1" t="s">
        <v>11</v>
      </c>
      <c r="B20" s="11">
        <f>B15-B19</f>
        <v>115.19999999999891</v>
      </c>
      <c r="C20" s="11">
        <f>C15-C19</f>
        <v>64.699999999999818</v>
      </c>
      <c r="D20" s="11">
        <f>D15-D19</f>
        <v>321.30000000000018</v>
      </c>
      <c r="E20" s="11">
        <f>E15-E19</f>
        <v>535</v>
      </c>
      <c r="F20" s="11">
        <f>F15-F19</f>
        <v>297</v>
      </c>
      <c r="G20" s="9">
        <f t="shared" ref="G20" si="36">G15-G19</f>
        <v>611.91752719616125</v>
      </c>
      <c r="H20" s="9">
        <f t="shared" ref="H20" si="37">H15-H19</f>
        <v>1049.0116630950943</v>
      </c>
      <c r="I20" s="9">
        <f t="shared" ref="I20:L20" si="38">I15-I19</f>
        <v>1645.7108868833711</v>
      </c>
      <c r="J20" s="9">
        <f t="shared" si="38"/>
        <v>2449.7358481958072</v>
      </c>
      <c r="K20" s="9">
        <f t="shared" si="38"/>
        <v>3521.7626604917859</v>
      </c>
      <c r="L20" s="9">
        <f t="shared" si="38"/>
        <v>5656.041015415969</v>
      </c>
      <c r="M20" s="9">
        <f t="shared" ref="M20" si="39">M15-M19</f>
        <v>8061.2579115750632</v>
      </c>
      <c r="N20" s="9">
        <f t="shared" ref="N20:Q20" si="40">N15-N19</f>
        <v>10768.014626353724</v>
      </c>
      <c r="O20" s="9">
        <f t="shared" si="40"/>
        <v>13810.135298278627</v>
      </c>
      <c r="P20" s="9">
        <f t="shared" si="40"/>
        <v>17224.997602558069</v>
      </c>
      <c r="Q20" s="9">
        <f t="shared" si="40"/>
        <v>21053.896908591661</v>
      </c>
      <c r="R20" s="9">
        <f t="shared" ref="R20:U20" si="41">R15-R19</f>
        <v>25342.447288469033</v>
      </c>
      <c r="S20" s="9">
        <f t="shared" si="41"/>
        <v>30141.023083417575</v>
      </c>
      <c r="T20" s="9">
        <f t="shared" si="41"/>
        <v>35505.245106945928</v>
      </c>
      <c r="U20" s="9">
        <f t="shared" si="41"/>
        <v>41496.515972450725</v>
      </c>
      <c r="V20" s="9"/>
    </row>
    <row r="21" spans="1:122" x14ac:dyDescent="0.15">
      <c r="A21" s="1" t="s">
        <v>12</v>
      </c>
      <c r="B21" s="9">
        <f>SUM(Reports!B14:E14)</f>
        <v>-50.599999999999994</v>
      </c>
      <c r="C21" s="9">
        <f>SUM(Reports!F14:I14)</f>
        <v>-39.100000000000009</v>
      </c>
      <c r="D21" s="7">
        <f>SUM(Reports!J14:M14)</f>
        <v>-34</v>
      </c>
      <c r="E21" s="7">
        <f>SUM(Reports!N14:Q14)</f>
        <v>448</v>
      </c>
      <c r="F21" s="9">
        <f>SUM(Reports!R14:U14)</f>
        <v>409</v>
      </c>
      <c r="G21" s="9">
        <f t="shared" ref="G21:U21" si="42">F38*$F$3</f>
        <v>144.74</v>
      </c>
      <c r="H21" s="9">
        <f t="shared" si="42"/>
        <v>157.60317796233474</v>
      </c>
      <c r="I21" s="9">
        <f t="shared" si="42"/>
        <v>178.11563026031104</v>
      </c>
      <c r="J21" s="9">
        <f t="shared" si="42"/>
        <v>209.12068105175365</v>
      </c>
      <c r="K21" s="9">
        <f t="shared" si="42"/>
        <v>254.32124204896218</v>
      </c>
      <c r="L21" s="9">
        <f t="shared" si="42"/>
        <v>318.51466839215487</v>
      </c>
      <c r="M21" s="9">
        <f t="shared" si="42"/>
        <v>420.08211501689294</v>
      </c>
      <c r="N21" s="9">
        <f t="shared" si="42"/>
        <v>564.26489546895618</v>
      </c>
      <c r="O21" s="9">
        <f t="shared" si="42"/>
        <v>756.9136473399418</v>
      </c>
      <c r="P21" s="9">
        <f t="shared" si="42"/>
        <v>1004.5534794154574</v>
      </c>
      <c r="Q21" s="9">
        <f t="shared" si="42"/>
        <v>1314.4558478090073</v>
      </c>
      <c r="R21" s="9">
        <f t="shared" si="42"/>
        <v>1694.717844667819</v>
      </c>
      <c r="S21" s="9">
        <f t="shared" si="42"/>
        <v>2154.3496519311452</v>
      </c>
      <c r="T21" s="9">
        <f t="shared" si="42"/>
        <v>2703.3709884320738</v>
      </c>
      <c r="U21" s="9">
        <f t="shared" si="42"/>
        <v>3352.9174620534991</v>
      </c>
      <c r="V21" s="9"/>
    </row>
    <row r="22" spans="1:122" x14ac:dyDescent="0.15">
      <c r="A22" s="1" t="s">
        <v>13</v>
      </c>
      <c r="B22" s="11">
        <f>SUM(Reports!B15:E15)</f>
        <v>64.599999999999596</v>
      </c>
      <c r="C22" s="11">
        <f>C20+C21</f>
        <v>25.59999999999981</v>
      </c>
      <c r="D22" s="11">
        <f>D20+D21</f>
        <v>287.30000000000018</v>
      </c>
      <c r="E22" s="11">
        <f>E20+E21</f>
        <v>983</v>
      </c>
      <c r="F22" s="11">
        <f>F20+F21</f>
        <v>706</v>
      </c>
      <c r="G22" s="9">
        <f t="shared" ref="G22" si="43">G20+G21</f>
        <v>756.65752719616125</v>
      </c>
      <c r="H22" s="9">
        <f t="shared" ref="H22" si="44">H20+H21</f>
        <v>1206.614841057429</v>
      </c>
      <c r="I22" s="9">
        <f t="shared" ref="I22:L22" si="45">I20+I21</f>
        <v>1823.8265171436822</v>
      </c>
      <c r="J22" s="9">
        <f t="shared" si="45"/>
        <v>2658.856529247561</v>
      </c>
      <c r="K22" s="9">
        <f t="shared" si="45"/>
        <v>3776.0839025407481</v>
      </c>
      <c r="L22" s="9">
        <f t="shared" si="45"/>
        <v>5974.5556838081238</v>
      </c>
      <c r="M22" s="9">
        <f t="shared" ref="M22" si="46">M20+M21</f>
        <v>8481.3400265919554</v>
      </c>
      <c r="N22" s="9">
        <f t="shared" ref="N22:P22" si="47">N20+N21</f>
        <v>11332.27952182268</v>
      </c>
      <c r="O22" s="9">
        <f t="shared" si="47"/>
        <v>14567.048945618568</v>
      </c>
      <c r="P22" s="9">
        <f t="shared" si="47"/>
        <v>18229.551081973528</v>
      </c>
      <c r="Q22" s="9">
        <f>Q20+Q21</f>
        <v>22368.352756400669</v>
      </c>
      <c r="R22" s="9">
        <f>R20+R21</f>
        <v>27037.165133136852</v>
      </c>
      <c r="S22" s="9">
        <f>S20+S21</f>
        <v>32295.372735348719</v>
      </c>
      <c r="T22" s="9">
        <f>T20+T21</f>
        <v>38208.616095377998</v>
      </c>
      <c r="U22" s="9">
        <f>U20+U21</f>
        <v>44849.433434504223</v>
      </c>
      <c r="V22" s="9"/>
    </row>
    <row r="23" spans="1:122" x14ac:dyDescent="0.15">
      <c r="A23" s="1" t="s">
        <v>14</v>
      </c>
      <c r="B23" s="9">
        <f>SUM(Reports!B16:E16)</f>
        <v>111.5</v>
      </c>
      <c r="C23" s="9">
        <f>SUM(Reports!F16:I16)</f>
        <v>-154.30000000000001</v>
      </c>
      <c r="D23" s="7">
        <f>SUM(Reports!J16:M16)</f>
        <v>66</v>
      </c>
      <c r="E23" s="7">
        <f>SUM(Reports!N16:Q16)</f>
        <v>-127</v>
      </c>
      <c r="F23" s="9">
        <f>SUM(Reports!R16:U16)</f>
        <v>580</v>
      </c>
      <c r="G23" s="9">
        <f>G22*0.15</f>
        <v>113.49862907942419</v>
      </c>
      <c r="H23" s="9">
        <f t="shared" ref="H23:Q23" si="48">H22*0.15</f>
        <v>180.99222615861433</v>
      </c>
      <c r="I23" s="9">
        <f t="shared" si="48"/>
        <v>273.57397757155229</v>
      </c>
      <c r="J23" s="9">
        <f t="shared" si="48"/>
        <v>398.82847938713411</v>
      </c>
      <c r="K23" s="9">
        <f t="shared" si="48"/>
        <v>566.41258538111219</v>
      </c>
      <c r="L23" s="9">
        <f t="shared" si="48"/>
        <v>896.18335257121851</v>
      </c>
      <c r="M23" s="9">
        <f t="shared" si="48"/>
        <v>1272.2010039887932</v>
      </c>
      <c r="N23" s="9">
        <f t="shared" si="48"/>
        <v>1699.8419282734019</v>
      </c>
      <c r="O23" s="9">
        <f t="shared" si="48"/>
        <v>2185.0573418427853</v>
      </c>
      <c r="P23" s="9">
        <f t="shared" si="48"/>
        <v>2734.4326622960293</v>
      </c>
      <c r="Q23" s="9">
        <f t="shared" si="48"/>
        <v>3355.2529134601004</v>
      </c>
      <c r="R23" s="9">
        <f t="shared" ref="R23:U23" si="49">R22*0.15</f>
        <v>4055.5747699705275</v>
      </c>
      <c r="S23" s="9">
        <f t="shared" si="49"/>
        <v>4844.3059103023079</v>
      </c>
      <c r="T23" s="9">
        <f t="shared" si="49"/>
        <v>5731.2924143066994</v>
      </c>
      <c r="U23" s="9">
        <f t="shared" si="49"/>
        <v>6727.415015175633</v>
      </c>
      <c r="V23" s="9"/>
    </row>
    <row r="24" spans="1:122" s="2" customFormat="1" x14ac:dyDescent="0.15">
      <c r="A24" s="2" t="s">
        <v>15</v>
      </c>
      <c r="B24" s="21">
        <f>B22-B23</f>
        <v>-46.900000000000404</v>
      </c>
      <c r="C24" s="21">
        <f>C22-C23</f>
        <v>179.89999999999981</v>
      </c>
      <c r="D24" s="21">
        <f>D22-D23</f>
        <v>221.30000000000018</v>
      </c>
      <c r="E24" s="21">
        <f>E22-E23</f>
        <v>1110</v>
      </c>
      <c r="F24" s="21">
        <f>F22-F23</f>
        <v>126</v>
      </c>
      <c r="G24" s="21">
        <f t="shared" ref="G24" si="50">G22-G23</f>
        <v>643.15889811673708</v>
      </c>
      <c r="H24" s="21">
        <f t="shared" ref="H24" si="51">H22-H23</f>
        <v>1025.6226148988146</v>
      </c>
      <c r="I24" s="21">
        <f t="shared" ref="I24:L24" si="52">I22-I23</f>
        <v>1550.25253957213</v>
      </c>
      <c r="J24" s="21">
        <f t="shared" si="52"/>
        <v>2260.028049860427</v>
      </c>
      <c r="K24" s="21">
        <f t="shared" si="52"/>
        <v>3209.6713171596357</v>
      </c>
      <c r="L24" s="21">
        <f t="shared" si="52"/>
        <v>5078.3723312369057</v>
      </c>
      <c r="M24" s="21">
        <f t="shared" ref="M24" si="53">M22-M23</f>
        <v>7209.1390226031617</v>
      </c>
      <c r="N24" s="21">
        <f t="shared" ref="N24:Q24" si="54">N22-N23</f>
        <v>9632.437593549279</v>
      </c>
      <c r="O24" s="21">
        <f t="shared" si="54"/>
        <v>12381.991603775783</v>
      </c>
      <c r="P24" s="21">
        <f t="shared" si="54"/>
        <v>15495.118419677499</v>
      </c>
      <c r="Q24" s="21">
        <f t="shared" si="54"/>
        <v>19013.09984294057</v>
      </c>
      <c r="R24" s="21">
        <f t="shared" ref="R24:U24" si="55">R22-R23</f>
        <v>22981.590363166324</v>
      </c>
      <c r="S24" s="21">
        <f t="shared" si="55"/>
        <v>27451.066825046411</v>
      </c>
      <c r="T24" s="21">
        <f t="shared" si="55"/>
        <v>32477.323681071299</v>
      </c>
      <c r="U24" s="21">
        <f t="shared" si="55"/>
        <v>38122.01841932859</v>
      </c>
      <c r="V24" s="21">
        <f>U24*($F$2+1)</f>
        <v>37931.408327231948</v>
      </c>
      <c r="W24" s="21">
        <f t="shared" ref="W24:CD24" si="56">V24*($F$2+1)</f>
        <v>37741.75128559579</v>
      </c>
      <c r="X24" s="21">
        <f t="shared" si="56"/>
        <v>37553.042529167811</v>
      </c>
      <c r="Y24" s="21">
        <f t="shared" si="56"/>
        <v>37365.27731652197</v>
      </c>
      <c r="Z24" s="21">
        <f t="shared" si="56"/>
        <v>37178.450929939361</v>
      </c>
      <c r="AA24" s="21">
        <f t="shared" si="56"/>
        <v>36992.558675289663</v>
      </c>
      <c r="AB24" s="21">
        <f t="shared" si="56"/>
        <v>36807.595881913214</v>
      </c>
      <c r="AC24" s="21">
        <f t="shared" si="56"/>
        <v>36623.55790250365</v>
      </c>
      <c r="AD24" s="21">
        <f t="shared" si="56"/>
        <v>36440.440112991128</v>
      </c>
      <c r="AE24" s="21">
        <f t="shared" si="56"/>
        <v>36258.237912426172</v>
      </c>
      <c r="AF24" s="21">
        <f t="shared" si="56"/>
        <v>36076.946722864042</v>
      </c>
      <c r="AG24" s="21">
        <f t="shared" si="56"/>
        <v>35896.56198924972</v>
      </c>
      <c r="AH24" s="21">
        <f t="shared" si="56"/>
        <v>35717.079179303473</v>
      </c>
      <c r="AI24" s="21">
        <f t="shared" si="56"/>
        <v>35538.493783406957</v>
      </c>
      <c r="AJ24" s="21">
        <f t="shared" si="56"/>
        <v>35360.801314489923</v>
      </c>
      <c r="AK24" s="21">
        <f t="shared" si="56"/>
        <v>35183.997307917474</v>
      </c>
      <c r="AL24" s="21">
        <f t="shared" si="56"/>
        <v>35008.077321377888</v>
      </c>
      <c r="AM24" s="21">
        <f t="shared" si="56"/>
        <v>34833.036934771</v>
      </c>
      <c r="AN24" s="21">
        <f t="shared" si="56"/>
        <v>34658.871750097147</v>
      </c>
      <c r="AO24" s="21">
        <f t="shared" si="56"/>
        <v>34485.577391346662</v>
      </c>
      <c r="AP24" s="21">
        <f t="shared" si="56"/>
        <v>34313.149504389927</v>
      </c>
      <c r="AQ24" s="21">
        <f t="shared" si="56"/>
        <v>34141.583756867978</v>
      </c>
      <c r="AR24" s="21">
        <f t="shared" si="56"/>
        <v>33970.875838083637</v>
      </c>
      <c r="AS24" s="21">
        <f t="shared" si="56"/>
        <v>33801.021458893221</v>
      </c>
      <c r="AT24" s="21">
        <f t="shared" si="56"/>
        <v>33632.016351598751</v>
      </c>
      <c r="AU24" s="21">
        <f t="shared" si="56"/>
        <v>33463.856269840755</v>
      </c>
      <c r="AV24" s="21">
        <f t="shared" si="56"/>
        <v>33296.536988491549</v>
      </c>
      <c r="AW24" s="21">
        <f t="shared" si="56"/>
        <v>33130.054303549092</v>
      </c>
      <c r="AX24" s="21">
        <f t="shared" si="56"/>
        <v>32964.404032031343</v>
      </c>
      <c r="AY24" s="21">
        <f t="shared" si="56"/>
        <v>32799.582011871185</v>
      </c>
      <c r="AZ24" s="21">
        <f t="shared" si="56"/>
        <v>32635.58410181183</v>
      </c>
      <c r="BA24" s="21">
        <f t="shared" si="56"/>
        <v>32472.406181302769</v>
      </c>
      <c r="BB24" s="21">
        <f t="shared" si="56"/>
        <v>32310.044150396254</v>
      </c>
      <c r="BC24" s="21">
        <f t="shared" si="56"/>
        <v>32148.493929644272</v>
      </c>
      <c r="BD24" s="21">
        <f t="shared" si="56"/>
        <v>31987.751459996049</v>
      </c>
      <c r="BE24" s="21">
        <f t="shared" si="56"/>
        <v>31827.812702696068</v>
      </c>
      <c r="BF24" s="21">
        <f t="shared" si="56"/>
        <v>31668.673639182587</v>
      </c>
      <c r="BG24" s="21">
        <f t="shared" si="56"/>
        <v>31510.330270986673</v>
      </c>
      <c r="BH24" s="21">
        <f t="shared" si="56"/>
        <v>31352.778619631739</v>
      </c>
      <c r="BI24" s="21">
        <f t="shared" si="56"/>
        <v>31196.01472653358</v>
      </c>
      <c r="BJ24" s="21">
        <f t="shared" si="56"/>
        <v>31040.034652900911</v>
      </c>
      <c r="BK24" s="21">
        <f t="shared" si="56"/>
        <v>30884.834479636407</v>
      </c>
      <c r="BL24" s="21">
        <f t="shared" si="56"/>
        <v>30730.410307238224</v>
      </c>
      <c r="BM24" s="21">
        <f t="shared" si="56"/>
        <v>30576.758255702032</v>
      </c>
      <c r="BN24" s="21">
        <f t="shared" si="56"/>
        <v>30423.874464423523</v>
      </c>
      <c r="BO24" s="21">
        <f t="shared" si="56"/>
        <v>30271.755092101404</v>
      </c>
      <c r="BP24" s="21">
        <f t="shared" si="56"/>
        <v>30120.396316640898</v>
      </c>
      <c r="BQ24" s="21">
        <f t="shared" si="56"/>
        <v>29969.794335057693</v>
      </c>
      <c r="BR24" s="21">
        <f t="shared" si="56"/>
        <v>29819.945363382405</v>
      </c>
      <c r="BS24" s="21">
        <f t="shared" si="56"/>
        <v>29670.845636565493</v>
      </c>
      <c r="BT24" s="21">
        <f t="shared" si="56"/>
        <v>29522.491408382666</v>
      </c>
      <c r="BU24" s="21">
        <f t="shared" si="56"/>
        <v>29374.878951340754</v>
      </c>
      <c r="BV24" s="21">
        <f t="shared" si="56"/>
        <v>29228.004556584048</v>
      </c>
      <c r="BW24" s="21">
        <f t="shared" si="56"/>
        <v>29081.864533801127</v>
      </c>
      <c r="BX24" s="21">
        <f t="shared" si="56"/>
        <v>28936.455211132121</v>
      </c>
      <c r="BY24" s="21">
        <f t="shared" si="56"/>
        <v>28791.77293507646</v>
      </c>
      <c r="BZ24" s="21">
        <f t="shared" si="56"/>
        <v>28647.814070401077</v>
      </c>
      <c r="CA24" s="21">
        <f t="shared" si="56"/>
        <v>28504.57500004907</v>
      </c>
      <c r="CB24" s="21">
        <f t="shared" si="56"/>
        <v>28362.052125048824</v>
      </c>
      <c r="CC24" s="21">
        <f t="shared" si="56"/>
        <v>28220.24186442358</v>
      </c>
      <c r="CD24" s="21">
        <f t="shared" si="56"/>
        <v>28079.140655101462</v>
      </c>
      <c r="CE24" s="21">
        <f t="shared" ref="CE24:DR24" si="57">CD24*($F$2+1)</f>
        <v>27938.744951825956</v>
      </c>
      <c r="CF24" s="21">
        <f t="shared" si="57"/>
        <v>27799.051227066826</v>
      </c>
      <c r="CG24" s="21">
        <f t="shared" si="57"/>
        <v>27660.055970931491</v>
      </c>
      <c r="CH24" s="21">
        <f t="shared" si="57"/>
        <v>27521.755691076833</v>
      </c>
      <c r="CI24" s="21">
        <f t="shared" si="57"/>
        <v>27384.146912621447</v>
      </c>
      <c r="CJ24" s="21">
        <f t="shared" si="57"/>
        <v>27247.226178058339</v>
      </c>
      <c r="CK24" s="21">
        <f t="shared" si="57"/>
        <v>27110.990047168048</v>
      </c>
      <c r="CL24" s="21">
        <f t="shared" si="57"/>
        <v>26975.435096932208</v>
      </c>
      <c r="CM24" s="21">
        <f t="shared" si="57"/>
        <v>26840.557921447547</v>
      </c>
      <c r="CN24" s="21">
        <f t="shared" si="57"/>
        <v>26706.355131840308</v>
      </c>
      <c r="CO24" s="21">
        <f t="shared" si="57"/>
        <v>26572.823356181107</v>
      </c>
      <c r="CP24" s="21">
        <f t="shared" si="57"/>
        <v>26439.959239400199</v>
      </c>
      <c r="CQ24" s="21">
        <f t="shared" si="57"/>
        <v>26307.759443203198</v>
      </c>
      <c r="CR24" s="21">
        <f t="shared" si="57"/>
        <v>26176.220645987181</v>
      </c>
      <c r="CS24" s="21">
        <f t="shared" si="57"/>
        <v>26045.339542757247</v>
      </c>
      <c r="CT24" s="21">
        <f t="shared" si="57"/>
        <v>25915.112845043459</v>
      </c>
      <c r="CU24" s="21">
        <f t="shared" si="57"/>
        <v>25785.53728081824</v>
      </c>
      <c r="CV24" s="21">
        <f t="shared" si="57"/>
        <v>25656.609594414149</v>
      </c>
      <c r="CW24" s="21">
        <f t="shared" si="57"/>
        <v>25528.326546442077</v>
      </c>
      <c r="CX24" s="21">
        <f t="shared" si="57"/>
        <v>25400.684913709865</v>
      </c>
      <c r="CY24" s="21">
        <f t="shared" si="57"/>
        <v>25273.681489141316</v>
      </c>
      <c r="CZ24" s="21">
        <f t="shared" si="57"/>
        <v>25147.313081695611</v>
      </c>
      <c r="DA24" s="21">
        <f t="shared" si="57"/>
        <v>25021.576516287132</v>
      </c>
      <c r="DB24" s="21">
        <f t="shared" si="57"/>
        <v>24896.468633705696</v>
      </c>
      <c r="DC24" s="21">
        <f t="shared" si="57"/>
        <v>24771.986290537166</v>
      </c>
      <c r="DD24" s="21">
        <f t="shared" si="57"/>
        <v>24648.126359084479</v>
      </c>
      <c r="DE24" s="21">
        <f t="shared" si="57"/>
        <v>24524.885727289056</v>
      </c>
      <c r="DF24" s="21">
        <f t="shared" si="57"/>
        <v>24402.261298652611</v>
      </c>
      <c r="DG24" s="21">
        <f t="shared" si="57"/>
        <v>24280.249992159348</v>
      </c>
      <c r="DH24" s="21">
        <f t="shared" si="57"/>
        <v>24158.848742198552</v>
      </c>
      <c r="DI24" s="21">
        <f t="shared" si="57"/>
        <v>24038.05449848756</v>
      </c>
      <c r="DJ24" s="21">
        <f t="shared" si="57"/>
        <v>23917.864225995123</v>
      </c>
      <c r="DK24" s="21">
        <f t="shared" si="57"/>
        <v>23798.274904865146</v>
      </c>
      <c r="DL24" s="21">
        <f t="shared" si="57"/>
        <v>23679.283530340821</v>
      </c>
      <c r="DM24" s="21">
        <f t="shared" si="57"/>
        <v>23560.887112689117</v>
      </c>
      <c r="DN24" s="21">
        <f t="shared" si="57"/>
        <v>23443.082677125672</v>
      </c>
      <c r="DO24" s="21">
        <f t="shared" si="57"/>
        <v>23325.867263740045</v>
      </c>
      <c r="DP24" s="21">
        <f t="shared" si="57"/>
        <v>23209.237927421345</v>
      </c>
      <c r="DQ24" s="21">
        <f t="shared" si="57"/>
        <v>23093.19173778424</v>
      </c>
      <c r="DR24" s="21">
        <f t="shared" si="57"/>
        <v>22977.725779095319</v>
      </c>
    </row>
    <row r="25" spans="1:122" x14ac:dyDescent="0.15">
      <c r="A25" s="1" t="s">
        <v>16</v>
      </c>
      <c r="B25" s="22">
        <f>B24/B26</f>
        <v>-7.0104633781764431E-2</v>
      </c>
      <c r="C25" s="22">
        <f>C24/C26</f>
        <v>0.2566699957197886</v>
      </c>
      <c r="D25" s="22">
        <f>D24/D26</f>
        <v>0.2954606141522032</v>
      </c>
      <c r="E25" s="22">
        <f>E24/E26</f>
        <v>1.4122137404580153</v>
      </c>
      <c r="F25" s="22">
        <f>F24/F26</f>
        <v>0.1501787842669845</v>
      </c>
      <c r="G25" s="12">
        <f t="shared" ref="G25" si="58">G24/G26</f>
        <v>0.76657794769575338</v>
      </c>
      <c r="H25" s="12">
        <f t="shared" ref="H25" si="59">H24/H26</f>
        <v>1.2224345827161081</v>
      </c>
      <c r="I25" s="12">
        <f t="shared" ref="I25:L25" si="60">I24/I26</f>
        <v>1.8477384261884744</v>
      </c>
      <c r="J25" s="12">
        <f t="shared" si="60"/>
        <v>2.6937163883914508</v>
      </c>
      <c r="K25" s="12">
        <f t="shared" si="60"/>
        <v>3.825591557997182</v>
      </c>
      <c r="L25" s="12">
        <f t="shared" si="60"/>
        <v>6.0528871647638924</v>
      </c>
      <c r="M25" s="12">
        <f t="shared" ref="M25" si="61">M24/M26</f>
        <v>8.5925375716366652</v>
      </c>
      <c r="N25" s="12">
        <f t="shared" ref="N25:Q25" si="62">N24/N26</f>
        <v>11.480855296244671</v>
      </c>
      <c r="O25" s="12">
        <f t="shared" si="62"/>
        <v>14.758035284595689</v>
      </c>
      <c r="P25" s="12">
        <f t="shared" si="62"/>
        <v>18.468555923334325</v>
      </c>
      <c r="Q25" s="12">
        <f t="shared" si="62"/>
        <v>22.661620790155627</v>
      </c>
      <c r="R25" s="12">
        <f t="shared" ref="R25:U25" si="63">R24/R26</f>
        <v>27.391645248112425</v>
      </c>
      <c r="S25" s="12">
        <f t="shared" si="63"/>
        <v>32.718792401723974</v>
      </c>
      <c r="T25" s="12">
        <f t="shared" si="63"/>
        <v>38.709563386258999</v>
      </c>
      <c r="U25" s="12">
        <f t="shared" si="63"/>
        <v>45.437447460463154</v>
      </c>
      <c r="V25" s="12"/>
    </row>
    <row r="26" spans="1:122" x14ac:dyDescent="0.15">
      <c r="A26" s="1" t="s">
        <v>17</v>
      </c>
      <c r="B26" s="9">
        <f>Reports!E20</f>
        <v>669</v>
      </c>
      <c r="C26" s="9">
        <f>Reports!I20</f>
        <v>700.9</v>
      </c>
      <c r="D26" s="9">
        <f>Reports!M20</f>
        <v>749</v>
      </c>
      <c r="E26" s="9">
        <f>Reports!Q20</f>
        <v>786</v>
      </c>
      <c r="F26" s="9">
        <f>AVERAGE(Reports!R20:U20)</f>
        <v>839</v>
      </c>
      <c r="G26" s="9">
        <f t="shared" ref="G26" si="64">F26</f>
        <v>839</v>
      </c>
      <c r="H26" s="9">
        <f t="shared" ref="H26" si="65">G26</f>
        <v>839</v>
      </c>
      <c r="I26" s="9">
        <f t="shared" ref="I26" si="66">H26</f>
        <v>839</v>
      </c>
      <c r="J26" s="9">
        <f t="shared" ref="J26" si="67">I26</f>
        <v>839</v>
      </c>
      <c r="K26" s="9">
        <f t="shared" ref="K26" si="68">J26</f>
        <v>839</v>
      </c>
      <c r="L26" s="9">
        <f t="shared" ref="L26" si="69">K26</f>
        <v>839</v>
      </c>
      <c r="M26" s="9">
        <f t="shared" ref="M26" si="70">L26</f>
        <v>839</v>
      </c>
      <c r="N26" s="9">
        <f t="shared" ref="N26" si="71">M26</f>
        <v>839</v>
      </c>
      <c r="O26" s="9">
        <f t="shared" ref="O26" si="72">N26</f>
        <v>839</v>
      </c>
      <c r="P26" s="9">
        <f t="shared" ref="P26" si="73">O26</f>
        <v>839</v>
      </c>
      <c r="Q26" s="9">
        <f t="shared" ref="Q26:U26" si="74">P26</f>
        <v>839</v>
      </c>
      <c r="R26" s="9">
        <f t="shared" si="74"/>
        <v>839</v>
      </c>
      <c r="S26" s="9">
        <f t="shared" si="74"/>
        <v>839</v>
      </c>
      <c r="T26" s="9">
        <f t="shared" si="74"/>
        <v>839</v>
      </c>
      <c r="U26" s="9">
        <f t="shared" si="74"/>
        <v>839</v>
      </c>
      <c r="V26" s="9"/>
    </row>
    <row r="27" spans="1:122" x14ac:dyDescent="0.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122" x14ac:dyDescent="0.15">
      <c r="A28" s="1" t="s">
        <v>19</v>
      </c>
      <c r="B28" s="15">
        <f t="shared" ref="B28:Q28" si="75">IFERROR(B15/B13,0)</f>
        <v>0.75185996280074396</v>
      </c>
      <c r="C28" s="15">
        <f t="shared" si="75"/>
        <v>0.73381397843055474</v>
      </c>
      <c r="D28" s="15">
        <f t="shared" si="75"/>
        <v>0.73656659699790994</v>
      </c>
      <c r="E28" s="15">
        <f t="shared" si="75"/>
        <v>0.74017467248908297</v>
      </c>
      <c r="F28" s="15">
        <f>IFERROR(F15/F13,0)</f>
        <v>0.75231021172066903</v>
      </c>
      <c r="G28" s="15">
        <f t="shared" si="75"/>
        <v>0.75231021172066903</v>
      </c>
      <c r="H28" s="15">
        <f t="shared" si="75"/>
        <v>0.75231021172066892</v>
      </c>
      <c r="I28" s="15">
        <f t="shared" si="75"/>
        <v>0.75231021172066892</v>
      </c>
      <c r="J28" s="15">
        <f t="shared" si="75"/>
        <v>0.75231021172066892</v>
      </c>
      <c r="K28" s="15">
        <f t="shared" si="75"/>
        <v>0.75231021172066892</v>
      </c>
      <c r="L28" s="15">
        <f t="shared" si="75"/>
        <v>0.75231021172066892</v>
      </c>
      <c r="M28" s="15">
        <f t="shared" si="75"/>
        <v>0.75231021172066881</v>
      </c>
      <c r="N28" s="15">
        <f t="shared" si="75"/>
        <v>0.75231021172066881</v>
      </c>
      <c r="O28" s="15">
        <f t="shared" si="75"/>
        <v>0.75231021172066881</v>
      </c>
      <c r="P28" s="15">
        <f t="shared" si="75"/>
        <v>0.75231021172066881</v>
      </c>
      <c r="Q28" s="15">
        <f t="shared" si="75"/>
        <v>0.75231021172066881</v>
      </c>
      <c r="R28" s="15">
        <f t="shared" ref="R28:U28" si="76">IFERROR(R15/R13,0)</f>
        <v>0.7523102117206687</v>
      </c>
      <c r="S28" s="15">
        <f t="shared" si="76"/>
        <v>0.7523102117206687</v>
      </c>
      <c r="T28" s="15">
        <f t="shared" si="76"/>
        <v>0.7523102117206687</v>
      </c>
      <c r="U28" s="15">
        <f t="shared" si="76"/>
        <v>0.7523102117206687</v>
      </c>
      <c r="V28" s="15"/>
    </row>
    <row r="29" spans="1:122" x14ac:dyDescent="0.15">
      <c r="A29" s="1" t="s">
        <v>20</v>
      </c>
      <c r="B29" s="14">
        <f t="shared" ref="B29:Q29" si="77">IFERROR(B20/B13,0)</f>
        <v>1.7279654406911701E-2</v>
      </c>
      <c r="C29" s="14">
        <f t="shared" si="77"/>
        <v>7.7101829231960694E-3</v>
      </c>
      <c r="D29" s="14">
        <f t="shared" si="77"/>
        <v>3.0524415732471992E-2</v>
      </c>
      <c r="E29" s="14">
        <f t="shared" si="77"/>
        <v>4.0280078301460624E-2</v>
      </c>
      <c r="F29" s="14">
        <f t="shared" si="77"/>
        <v>1.7370452684524505E-2</v>
      </c>
      <c r="G29" s="14">
        <f t="shared" si="77"/>
        <v>2.9514238545589308E-2</v>
      </c>
      <c r="H29" s="14">
        <f t="shared" si="77"/>
        <v>4.1701995553666368E-2</v>
      </c>
      <c r="I29" s="14">
        <f t="shared" si="77"/>
        <v>5.3894378126001646E-2</v>
      </c>
      <c r="J29" s="14">
        <f t="shared" si="77"/>
        <v>6.6056900008658048E-2</v>
      </c>
      <c r="K29" s="14">
        <f t="shared" si="77"/>
        <v>7.8159550366337316E-2</v>
      </c>
      <c r="L29" s="14">
        <f t="shared" si="77"/>
        <v>0.11411476303608149</v>
      </c>
      <c r="M29" s="14">
        <f t="shared" si="77"/>
        <v>0.14785615686192785</v>
      </c>
      <c r="N29" s="14">
        <f t="shared" si="77"/>
        <v>0.17954757717262909</v>
      </c>
      <c r="O29" s="14">
        <f t="shared" si="77"/>
        <v>0.2093385253602322</v>
      </c>
      <c r="P29" s="14">
        <f t="shared" si="77"/>
        <v>0.23736556321412164</v>
      </c>
      <c r="Q29" s="14">
        <f t="shared" si="77"/>
        <v>0.26375357134857752</v>
      </c>
      <c r="R29" s="14">
        <f t="shared" ref="R29:U29" si="78">IFERROR(R20/R13,0)</f>
        <v>0.28861687730939356</v>
      </c>
      <c r="S29" s="14">
        <f t="shared" si="78"/>
        <v>0.31206026725992858</v>
      </c>
      <c r="T29" s="14">
        <f t="shared" si="78"/>
        <v>0.33417989364494105</v>
      </c>
      <c r="U29" s="14">
        <f t="shared" si="78"/>
        <v>0.35506408989174454</v>
      </c>
      <c r="V29" s="14"/>
    </row>
    <row r="30" spans="1:122" x14ac:dyDescent="0.15">
      <c r="A30" s="1" t="s">
        <v>21</v>
      </c>
      <c r="B30" s="14">
        <f t="shared" ref="B30:Q30" si="79">IFERROR(B23/B22,0)</f>
        <v>1.7260061919504752</v>
      </c>
      <c r="C30" s="14">
        <f t="shared" si="79"/>
        <v>-6.0273437500000453</v>
      </c>
      <c r="D30" s="14">
        <f t="shared" si="79"/>
        <v>0.22972502610511647</v>
      </c>
      <c r="E30" s="14">
        <f t="shared" si="79"/>
        <v>-0.12919633774160733</v>
      </c>
      <c r="F30" s="14">
        <f>IFERROR(F23/F22,0)</f>
        <v>0.82152974504249288</v>
      </c>
      <c r="G30" s="14">
        <f t="shared" si="79"/>
        <v>0.15</v>
      </c>
      <c r="H30" s="14">
        <f t="shared" si="79"/>
        <v>0.15</v>
      </c>
      <c r="I30" s="14">
        <f t="shared" si="79"/>
        <v>0.15</v>
      </c>
      <c r="J30" s="14">
        <f t="shared" si="79"/>
        <v>0.15</v>
      </c>
      <c r="K30" s="14">
        <f t="shared" si="79"/>
        <v>0.15</v>
      </c>
      <c r="L30" s="14">
        <f t="shared" si="79"/>
        <v>0.15</v>
      </c>
      <c r="M30" s="14">
        <f t="shared" si="79"/>
        <v>0.15</v>
      </c>
      <c r="N30" s="14">
        <f t="shared" si="79"/>
        <v>0.15</v>
      </c>
      <c r="O30" s="14">
        <f t="shared" si="79"/>
        <v>0.15</v>
      </c>
      <c r="P30" s="14">
        <f t="shared" si="79"/>
        <v>0.15</v>
      </c>
      <c r="Q30" s="14">
        <f t="shared" si="79"/>
        <v>0.15</v>
      </c>
      <c r="R30" s="14">
        <f t="shared" ref="R30:U30" si="80">IFERROR(R23/R22,0)</f>
        <v>0.15</v>
      </c>
      <c r="S30" s="14">
        <f t="shared" si="80"/>
        <v>0.15</v>
      </c>
      <c r="T30" s="14">
        <f t="shared" si="80"/>
        <v>0.15</v>
      </c>
      <c r="U30" s="14">
        <f t="shared" si="80"/>
        <v>0.15</v>
      </c>
      <c r="V30" s="14"/>
    </row>
    <row r="31" spans="1:122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122" x14ac:dyDescent="0.15">
      <c r="A32" s="2" t="s">
        <v>18</v>
      </c>
      <c r="B32" s="8"/>
      <c r="C32" s="13">
        <f>C13/B13-1</f>
        <v>0.25869982600348007</v>
      </c>
      <c r="D32" s="13">
        <f>D13/C13-1</f>
        <v>0.25436453554191751</v>
      </c>
      <c r="E32" s="13">
        <f t="shared" ref="E32:U32" si="81">E13/D13-1</f>
        <v>0.26182785483564497</v>
      </c>
      <c r="F32" s="13">
        <f>F13/E13-1</f>
        <v>0.28730612859509108</v>
      </c>
      <c r="G32" s="13">
        <f t="shared" si="81"/>
        <v>0.21259562521932374</v>
      </c>
      <c r="H32" s="13">
        <f t="shared" si="81"/>
        <v>0.21328315879642834</v>
      </c>
      <c r="I32" s="13">
        <f t="shared" si="81"/>
        <v>0.21391030422670831</v>
      </c>
      <c r="J32" s="13">
        <f t="shared" si="81"/>
        <v>0.21448174603403825</v>
      </c>
      <c r="K32" s="13">
        <f t="shared" si="81"/>
        <v>0.21500191799310264</v>
      </c>
      <c r="L32" s="13">
        <f t="shared" si="81"/>
        <v>0.10000000000000009</v>
      </c>
      <c r="M32" s="13">
        <f t="shared" si="81"/>
        <v>0.10000000000000009</v>
      </c>
      <c r="N32" s="13">
        <f t="shared" si="81"/>
        <v>0.10000000000000009</v>
      </c>
      <c r="O32" s="13">
        <f t="shared" si="81"/>
        <v>0.10000000000000009</v>
      </c>
      <c r="P32" s="13">
        <f t="shared" si="81"/>
        <v>0.10000000000000009</v>
      </c>
      <c r="Q32" s="13">
        <f t="shared" si="81"/>
        <v>0.10000000000000009</v>
      </c>
      <c r="R32" s="13">
        <f t="shared" si="81"/>
        <v>0.10000000000000009</v>
      </c>
      <c r="S32" s="13">
        <f t="shared" si="81"/>
        <v>0.10000000000000009</v>
      </c>
      <c r="T32" s="13">
        <f t="shared" si="81"/>
        <v>0.10000000000000009</v>
      </c>
      <c r="U32" s="13">
        <f t="shared" si="81"/>
        <v>0.10000000000000009</v>
      </c>
      <c r="V32" s="13"/>
    </row>
    <row r="33" spans="1:22" x14ac:dyDescent="0.15">
      <c r="A33" s="1" t="s">
        <v>55</v>
      </c>
      <c r="B33" s="8"/>
      <c r="C33" s="14">
        <f t="shared" ref="C33:D35" si="82">C16/B16-1</f>
        <v>0.276580004227436</v>
      </c>
      <c r="D33" s="14">
        <f t="shared" si="82"/>
        <v>0.28653034191572146</v>
      </c>
      <c r="E33" s="14">
        <f t="shared" ref="E33:U33" si="83">E16/D16-1</f>
        <v>0.21364221364221359</v>
      </c>
      <c r="F33" s="14">
        <f>F16/E16-1</f>
        <v>0.46659597030752908</v>
      </c>
      <c r="G33" s="14">
        <f t="shared" si="83"/>
        <v>0.19999999999999996</v>
      </c>
      <c r="H33" s="14">
        <f t="shared" si="83"/>
        <v>0.19999999999999996</v>
      </c>
      <c r="I33" s="14">
        <f t="shared" si="83"/>
        <v>0.19999999999999996</v>
      </c>
      <c r="J33" s="14">
        <f t="shared" si="83"/>
        <v>0.19999999999999996</v>
      </c>
      <c r="K33" s="14">
        <f t="shared" si="83"/>
        <v>0.19999999999999996</v>
      </c>
      <c r="L33" s="14">
        <f t="shared" si="83"/>
        <v>5.0000000000000044E-2</v>
      </c>
      <c r="M33" s="14">
        <f t="shared" si="83"/>
        <v>5.0000000000000044E-2</v>
      </c>
      <c r="N33" s="14">
        <f t="shared" si="83"/>
        <v>5.0000000000000044E-2</v>
      </c>
      <c r="O33" s="14">
        <f t="shared" si="83"/>
        <v>5.0000000000000044E-2</v>
      </c>
      <c r="P33" s="14">
        <f t="shared" si="83"/>
        <v>5.0000000000000044E-2</v>
      </c>
      <c r="Q33" s="14">
        <f t="shared" si="83"/>
        <v>5.0000000000000044E-2</v>
      </c>
      <c r="R33" s="14">
        <f t="shared" si="83"/>
        <v>5.0000000000000044E-2</v>
      </c>
      <c r="S33" s="14">
        <f t="shared" si="83"/>
        <v>5.0000000000000044E-2</v>
      </c>
      <c r="T33" s="14">
        <f t="shared" si="83"/>
        <v>5.0000000000000044E-2</v>
      </c>
      <c r="U33" s="14">
        <f t="shared" si="83"/>
        <v>5.0000000000000044E-2</v>
      </c>
      <c r="V33" s="14"/>
    </row>
    <row r="34" spans="1:22" x14ac:dyDescent="0.15">
      <c r="A34" s="1" t="s">
        <v>56</v>
      </c>
      <c r="B34" s="8"/>
      <c r="C34" s="14">
        <f t="shared" si="82"/>
        <v>0.20934683294233847</v>
      </c>
      <c r="D34" s="14">
        <f t="shared" si="82"/>
        <v>0.22262494256980947</v>
      </c>
      <c r="E34" s="14">
        <f t="shared" ref="E34:U34" si="84">E17/D17-1</f>
        <v>0.26597077244258882</v>
      </c>
      <c r="F34" s="14">
        <f t="shared" si="84"/>
        <v>0.30771767810026396</v>
      </c>
      <c r="G34" s="14">
        <f t="shared" si="84"/>
        <v>0.19999999999999996</v>
      </c>
      <c r="H34" s="14">
        <f t="shared" si="84"/>
        <v>0.19999999999999996</v>
      </c>
      <c r="I34" s="14">
        <f t="shared" si="84"/>
        <v>0.19999999999999996</v>
      </c>
      <c r="J34" s="14">
        <f t="shared" si="84"/>
        <v>0.19999999999999996</v>
      </c>
      <c r="K34" s="14">
        <f t="shared" si="84"/>
        <v>0.19999999999999996</v>
      </c>
      <c r="L34" s="14">
        <f t="shared" si="84"/>
        <v>5.0000000000000044E-2</v>
      </c>
      <c r="M34" s="14">
        <f t="shared" si="84"/>
        <v>5.0000000000000044E-2</v>
      </c>
      <c r="N34" s="14">
        <f t="shared" si="84"/>
        <v>5.0000000000000044E-2</v>
      </c>
      <c r="O34" s="14">
        <f t="shared" si="84"/>
        <v>5.0000000000000044E-2</v>
      </c>
      <c r="P34" s="14">
        <f t="shared" si="84"/>
        <v>5.0000000000000044E-2</v>
      </c>
      <c r="Q34" s="14">
        <f t="shared" si="84"/>
        <v>5.0000000000000044E-2</v>
      </c>
      <c r="R34" s="14">
        <f t="shared" si="84"/>
        <v>5.0000000000000044E-2</v>
      </c>
      <c r="S34" s="14">
        <f t="shared" si="84"/>
        <v>5.0000000000000044E-2</v>
      </c>
      <c r="T34" s="14">
        <f t="shared" si="84"/>
        <v>5.0000000000000044E-2</v>
      </c>
      <c r="U34" s="14">
        <f t="shared" si="84"/>
        <v>5.0000000000000044E-2</v>
      </c>
      <c r="V34" s="14"/>
    </row>
    <row r="35" spans="1:22" x14ac:dyDescent="0.15">
      <c r="A35" s="1" t="s">
        <v>57</v>
      </c>
      <c r="B35" s="8"/>
      <c r="C35" s="14">
        <f t="shared" si="82"/>
        <v>0.35966268446943084</v>
      </c>
      <c r="D35" s="14">
        <f t="shared" si="82"/>
        <v>0.12445730824891488</v>
      </c>
      <c r="E35" s="14">
        <f t="shared" ref="E35:U35" si="85">E18/D18-1</f>
        <v>0.23735980878837992</v>
      </c>
      <c r="F35" s="14">
        <f t="shared" si="85"/>
        <v>0.38930163447251109</v>
      </c>
      <c r="G35" s="14">
        <f t="shared" si="85"/>
        <v>0.14999999999999991</v>
      </c>
      <c r="H35" s="14">
        <f t="shared" si="85"/>
        <v>0.14999999999999991</v>
      </c>
      <c r="I35" s="14">
        <f t="shared" si="85"/>
        <v>0.14999999999999991</v>
      </c>
      <c r="J35" s="14">
        <f t="shared" si="85"/>
        <v>0.14999999999999991</v>
      </c>
      <c r="K35" s="14">
        <f t="shared" si="85"/>
        <v>0.14999999999999991</v>
      </c>
      <c r="L35" s="14">
        <f t="shared" si="85"/>
        <v>-2.0000000000000018E-2</v>
      </c>
      <c r="M35" s="14">
        <f t="shared" si="85"/>
        <v>-2.0000000000000018E-2</v>
      </c>
      <c r="N35" s="14">
        <f t="shared" si="85"/>
        <v>-2.0000000000000129E-2</v>
      </c>
      <c r="O35" s="14">
        <f t="shared" si="85"/>
        <v>-2.0000000000000018E-2</v>
      </c>
      <c r="P35" s="14">
        <f t="shared" si="85"/>
        <v>-2.0000000000000018E-2</v>
      </c>
      <c r="Q35" s="14">
        <f t="shared" si="85"/>
        <v>-2.0000000000000018E-2</v>
      </c>
      <c r="R35" s="14">
        <f t="shared" si="85"/>
        <v>-2.0000000000000018E-2</v>
      </c>
      <c r="S35" s="14">
        <f t="shared" si="85"/>
        <v>-2.0000000000000018E-2</v>
      </c>
      <c r="T35" s="14">
        <f t="shared" si="85"/>
        <v>-2.0000000000000018E-2</v>
      </c>
      <c r="U35" s="14">
        <f t="shared" si="85"/>
        <v>-2.0000000000000018E-2</v>
      </c>
      <c r="V35" s="14"/>
    </row>
    <row r="36" spans="1:22" s="16" customFormat="1" x14ac:dyDescent="0.15">
      <c r="A36" s="16" t="s">
        <v>145</v>
      </c>
      <c r="B36" s="19"/>
      <c r="C36" s="58">
        <f>C19/B19-1</f>
        <v>0.24417536193412692</v>
      </c>
      <c r="D36" s="58">
        <f>D19/C19-1</f>
        <v>0.21970753803482634</v>
      </c>
      <c r="E36" s="58">
        <f>E19/D19-1</f>
        <v>0.25084098065071725</v>
      </c>
      <c r="F36" s="58">
        <f t="shared" ref="F36:U36" si="86">F19/E19-1</f>
        <v>0.35176419965576589</v>
      </c>
      <c r="G36" s="58">
        <f t="shared" si="86"/>
        <v>0.19255928696482583</v>
      </c>
      <c r="H36" s="58">
        <f t="shared" si="86"/>
        <v>0.19282482633443876</v>
      </c>
      <c r="I36" s="58">
        <f t="shared" si="86"/>
        <v>0.19308242959634558</v>
      </c>
      <c r="J36" s="58">
        <f t="shared" si="86"/>
        <v>0.19333222435695907</v>
      </c>
      <c r="K36" s="58">
        <f t="shared" si="86"/>
        <v>0.19357434431670617</v>
      </c>
      <c r="L36" s="58">
        <f t="shared" si="86"/>
        <v>4.1332499982625004E-2</v>
      </c>
      <c r="M36" s="58">
        <f t="shared" si="86"/>
        <v>4.1842999217666765E-2</v>
      </c>
      <c r="N36" s="58">
        <f t="shared" si="86"/>
        <v>4.2327192511069978E-2</v>
      </c>
      <c r="O36" s="58">
        <f t="shared" si="86"/>
        <v>4.2785997148326871E-2</v>
      </c>
      <c r="P36" s="58">
        <f t="shared" si="86"/>
        <v>4.3220351237959642E-2</v>
      </c>
      <c r="Q36" s="58">
        <f t="shared" si="86"/>
        <v>4.3631205738159373E-2</v>
      </c>
      <c r="R36" s="58">
        <f t="shared" si="86"/>
        <v>4.4019517294723753E-2</v>
      </c>
      <c r="S36" s="58">
        <f t="shared" si="86"/>
        <v>4.4386241871840149E-2</v>
      </c>
      <c r="T36" s="58">
        <f t="shared" si="86"/>
        <v>4.4732329146986549E-2</v>
      </c>
      <c r="U36" s="58">
        <f t="shared" si="86"/>
        <v>4.5058717633282841E-2</v>
      </c>
      <c r="V36" s="19"/>
    </row>
    <row r="37" spans="1:22" x14ac:dyDescent="0.15">
      <c r="B37" s="3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3"/>
    </row>
    <row r="38" spans="1:22" x14ac:dyDescent="0.15">
      <c r="A38" s="2" t="s">
        <v>26</v>
      </c>
      <c r="B38" s="21">
        <f>B39-B40</f>
        <v>1637.1999999999998</v>
      </c>
      <c r="C38" s="21">
        <f>C39-C40</f>
        <v>1092.5000000000002</v>
      </c>
      <c r="D38" s="21">
        <f t="shared" ref="D38:F38" si="87">D39-D40</f>
        <v>3478</v>
      </c>
      <c r="E38" s="21">
        <f t="shared" si="87"/>
        <v>2468</v>
      </c>
      <c r="F38" s="21">
        <f t="shared" si="87"/>
        <v>7237</v>
      </c>
      <c r="G38" s="10">
        <f t="shared" ref="G38:U38" si="88">F38+G24</f>
        <v>7880.158898116737</v>
      </c>
      <c r="H38" s="10">
        <f t="shared" si="88"/>
        <v>8905.7815130155523</v>
      </c>
      <c r="I38" s="10">
        <f t="shared" si="88"/>
        <v>10456.034052587682</v>
      </c>
      <c r="J38" s="10">
        <f t="shared" si="88"/>
        <v>12716.062102448108</v>
      </c>
      <c r="K38" s="10">
        <f t="shared" si="88"/>
        <v>15925.733419607743</v>
      </c>
      <c r="L38" s="10">
        <f t="shared" si="88"/>
        <v>21004.105750844647</v>
      </c>
      <c r="M38" s="10">
        <f t="shared" si="88"/>
        <v>28213.244773447808</v>
      </c>
      <c r="N38" s="10">
        <f t="shared" si="88"/>
        <v>37845.682366997091</v>
      </c>
      <c r="O38" s="10">
        <f t="shared" si="88"/>
        <v>50227.67397077287</v>
      </c>
      <c r="P38" s="10">
        <f t="shared" si="88"/>
        <v>65722.79239045037</v>
      </c>
      <c r="Q38" s="10">
        <f t="shared" si="88"/>
        <v>84735.892233390943</v>
      </c>
      <c r="R38" s="10">
        <f t="shared" si="88"/>
        <v>107717.48259655727</v>
      </c>
      <c r="S38" s="10">
        <f t="shared" si="88"/>
        <v>135168.54942160368</v>
      </c>
      <c r="T38" s="10">
        <f t="shared" si="88"/>
        <v>167645.87310267496</v>
      </c>
      <c r="U38" s="10">
        <f t="shared" si="88"/>
        <v>205767.89152200354</v>
      </c>
      <c r="V38" s="10"/>
    </row>
    <row r="39" spans="1:22" x14ac:dyDescent="0.15">
      <c r="A39" s="1" t="s">
        <v>27</v>
      </c>
      <c r="B39" s="7">
        <f>Reports!E33</f>
        <v>2725.2</v>
      </c>
      <c r="C39" s="7">
        <f>Reports!I33</f>
        <v>2208.8000000000002</v>
      </c>
      <c r="D39" s="7">
        <f>Reports!M33</f>
        <v>5198</v>
      </c>
      <c r="E39" s="7">
        <f>Reports!Q33</f>
        <v>5644</v>
      </c>
      <c r="F39" s="7">
        <f>Reports!U33</f>
        <v>9910</v>
      </c>
    </row>
    <row r="40" spans="1:22" x14ac:dyDescent="0.15">
      <c r="A40" s="1" t="s">
        <v>28</v>
      </c>
      <c r="B40" s="7">
        <f>Reports!E34</f>
        <v>1088</v>
      </c>
      <c r="C40" s="7">
        <f>Reports!I34</f>
        <v>1116.3</v>
      </c>
      <c r="D40" s="7">
        <f>Reports!M34</f>
        <v>1720</v>
      </c>
      <c r="E40" s="7">
        <f>Reports!Q34</f>
        <v>3176</v>
      </c>
      <c r="F40" s="7">
        <f>Reports!U34</f>
        <v>2673</v>
      </c>
    </row>
    <row r="41" spans="1:22" x14ac:dyDescent="0.1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1" t="s">
        <v>69</v>
      </c>
      <c r="D42" s="7">
        <f>Reports!M36</f>
        <v>8140</v>
      </c>
      <c r="E42" s="7">
        <f>Reports!Q36</f>
        <v>14774</v>
      </c>
      <c r="F42" s="7">
        <f>Reports!U36</f>
        <v>29858</v>
      </c>
    </row>
    <row r="43" spans="1:22" x14ac:dyDescent="0.15">
      <c r="A43" s="1" t="s">
        <v>70</v>
      </c>
      <c r="D43" s="7">
        <f>Reports!M37</f>
        <v>21010</v>
      </c>
      <c r="E43" s="7">
        <f>Reports!Q37</f>
        <v>30737</v>
      </c>
      <c r="F43" s="7">
        <f>Reports!U37</f>
        <v>55126</v>
      </c>
    </row>
    <row r="44" spans="1:22" x14ac:dyDescent="0.15">
      <c r="A44" s="1" t="s">
        <v>71</v>
      </c>
      <c r="D44" s="7">
        <f>Reports!M38</f>
        <v>11617</v>
      </c>
      <c r="E44" s="7">
        <f>Reports!Q38</f>
        <v>15132</v>
      </c>
      <c r="F44" s="7">
        <f>Reports!U38</f>
        <v>21241</v>
      </c>
    </row>
    <row r="46" spans="1:22" x14ac:dyDescent="0.15">
      <c r="A46" s="1" t="s">
        <v>72</v>
      </c>
      <c r="D46" s="28">
        <f>D43-D42-D39</f>
        <v>7672</v>
      </c>
      <c r="E46" s="28">
        <f>E43-E42-E39</f>
        <v>10319</v>
      </c>
      <c r="F46" s="28">
        <f>F43-F42-F39</f>
        <v>15358</v>
      </c>
    </row>
    <row r="47" spans="1:22" x14ac:dyDescent="0.15">
      <c r="A47" s="1" t="s">
        <v>73</v>
      </c>
      <c r="D47" s="28">
        <f>D43-D44</f>
        <v>9393</v>
      </c>
      <c r="E47" s="28">
        <f>E43-E44</f>
        <v>15605</v>
      </c>
      <c r="F47" s="28">
        <f>F43-F44</f>
        <v>33885</v>
      </c>
    </row>
    <row r="49" spans="1:11" x14ac:dyDescent="0.15">
      <c r="A49" s="1" t="s">
        <v>74</v>
      </c>
      <c r="D49" s="26">
        <f>D24/D47</f>
        <v>2.3560097945278417E-2</v>
      </c>
      <c r="E49" s="26">
        <f>E24/E47</f>
        <v>7.1131047741108622E-2</v>
      </c>
      <c r="F49" s="26">
        <f>F24/F47</f>
        <v>3.7184594953519256E-3</v>
      </c>
    </row>
    <row r="50" spans="1:11" x14ac:dyDescent="0.15">
      <c r="A50" s="1" t="s">
        <v>75</v>
      </c>
      <c r="D50" s="26">
        <f>D24/D43</f>
        <v>1.0533079485959076E-2</v>
      </c>
      <c r="E50" s="26">
        <f>E24/E43</f>
        <v>3.6112828187526431E-2</v>
      </c>
      <c r="F50" s="26">
        <f>F24/F43</f>
        <v>2.2856728222617278E-3</v>
      </c>
    </row>
    <row r="51" spans="1:11" x14ac:dyDescent="0.15">
      <c r="A51" s="1" t="s">
        <v>76</v>
      </c>
      <c r="D51" s="26">
        <f>D24/(D47-D42)</f>
        <v>0.1766161213088589</v>
      </c>
      <c r="E51" s="26">
        <f>E24/(E47-E42)</f>
        <v>1.3357400722021662</v>
      </c>
      <c r="F51" s="26">
        <f>F24/(F47-F42)</f>
        <v>3.1288800595977155E-2</v>
      </c>
    </row>
    <row r="52" spans="1:11" x14ac:dyDescent="0.15">
      <c r="A52" s="1" t="s">
        <v>77</v>
      </c>
      <c r="D52" s="26">
        <f>D24/D46</f>
        <v>2.8845151199165822E-2</v>
      </c>
      <c r="E52" s="26">
        <f>E24/E46</f>
        <v>0.10756856284523694</v>
      </c>
      <c r="F52" s="26">
        <f>F24/F46</f>
        <v>8.2041932543299913E-3</v>
      </c>
    </row>
    <row r="54" spans="1:11" x14ac:dyDescent="0.15">
      <c r="A54" s="1" t="s">
        <v>88</v>
      </c>
      <c r="C54" s="26">
        <f>C10/B10-1</f>
        <v>0.24986302252876524</v>
      </c>
      <c r="D54" s="26">
        <f>D10/C10-1</f>
        <v>0.25749429466599616</v>
      </c>
      <c r="E54" s="26">
        <f t="shared" ref="E54:I54" si="89">E10/D10-1</f>
        <v>0.27273659386855331</v>
      </c>
      <c r="F54" s="26">
        <f>F10/E10-1</f>
        <v>0.29243535003625221</v>
      </c>
      <c r="G54" s="26">
        <f t="shared" si="89"/>
        <v>0.21999999999999997</v>
      </c>
      <c r="H54" s="26">
        <f t="shared" si="89"/>
        <v>0.21999999999999997</v>
      </c>
      <c r="I54" s="26">
        <f t="shared" si="89"/>
        <v>0.21999999999999997</v>
      </c>
      <c r="J54" s="26">
        <f>J10/I10-1</f>
        <v>0.21999999999999997</v>
      </c>
      <c r="K54" s="26">
        <f>K10/J10-1</f>
        <v>0.21999999999999997</v>
      </c>
    </row>
    <row r="55" spans="1:11" x14ac:dyDescent="0.15">
      <c r="A55" s="1" t="s">
        <v>89</v>
      </c>
      <c r="C55" s="26">
        <f>C11/B11-1</f>
        <v>0.37754659731252715</v>
      </c>
      <c r="D55" s="26">
        <f>D11/C11-1</f>
        <v>0.21617369414726229</v>
      </c>
      <c r="E55" s="26">
        <f t="shared" ref="E55:I55" si="90">E11/D11-1</f>
        <v>0.12419146183699881</v>
      </c>
      <c r="F55" s="26">
        <f>F11/E11-1</f>
        <v>0.21403912543153059</v>
      </c>
      <c r="G55" s="26">
        <f t="shared" si="90"/>
        <v>0.10000000000000009</v>
      </c>
      <c r="H55" s="26">
        <f t="shared" si="90"/>
        <v>0.10000000000000009</v>
      </c>
      <c r="I55" s="26">
        <f t="shared" si="90"/>
        <v>0.10000000000000009</v>
      </c>
      <c r="J55" s="26">
        <f>J11/I11-1</f>
        <v>0.10000000000000009</v>
      </c>
      <c r="K55" s="26">
        <f>K11/J11-1</f>
        <v>0.10000000000000009</v>
      </c>
    </row>
  </sheetData>
  <phoneticPr fontId="4" type="noConversion"/>
  <hyperlinks>
    <hyperlink ref="A1" r:id="rId1" xr:uid="{00000000-0004-0000-0000-000000000000}"/>
    <hyperlink ref="A7" r:id="rId2" xr:uid="{00000000-0004-0000-0000-000001000000}"/>
    <hyperlink ref="A4" r:id="rId3" xr:uid="{00000000-0004-0000-0000-000002000000}"/>
    <hyperlink ref="L4" r:id="rId4" xr:uid="{5B3CEEEB-0458-7947-93ED-C4054B6F0526}"/>
  </hyperlinks>
  <pageMargins left="0.7" right="0.7" top="0.75" bottom="0.75" header="0.3" footer="0.3"/>
  <pageSetup paperSize="9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1"/>
  <sheetViews>
    <sheetView tabSelected="1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Y7" sqref="Y7"/>
    </sheetView>
  </sheetViews>
  <sheetFormatPr baseColWidth="10" defaultRowHeight="13" x14ac:dyDescent="0.15"/>
  <cols>
    <col min="1" max="1" width="23.5" style="60" bestFit="1" customWidth="1"/>
    <col min="2" max="5" width="10.83203125" style="23" customWidth="1"/>
    <col min="6" max="6" width="10.83203125" style="30" customWidth="1"/>
    <col min="7" max="8" width="10.83203125" style="23" customWidth="1"/>
    <col min="9" max="9" width="10.83203125" style="23"/>
    <col min="10" max="10" width="10.83203125" style="30"/>
    <col min="11" max="11" width="10.83203125" style="23" customWidth="1"/>
    <col min="12" max="13" width="10.83203125" style="23"/>
    <col min="14" max="14" width="10.83203125" style="30"/>
    <col min="15" max="17" width="10.83203125" style="23"/>
    <col min="18" max="18" width="10.83203125" style="30"/>
    <col min="19" max="21" width="10.83203125" style="23"/>
    <col min="22" max="22" width="10.83203125" style="25"/>
    <col min="23" max="16384" width="10.83203125" style="1"/>
  </cols>
  <sheetData>
    <row r="1" spans="1:25" s="23" customFormat="1" x14ac:dyDescent="0.15">
      <c r="A1" s="81" t="s">
        <v>59</v>
      </c>
      <c r="B1" s="23" t="s">
        <v>22</v>
      </c>
      <c r="C1" s="23" t="s">
        <v>23</v>
      </c>
      <c r="D1" s="23" t="s">
        <v>24</v>
      </c>
      <c r="E1" s="23" t="s">
        <v>25</v>
      </c>
      <c r="F1" s="30" t="s">
        <v>0</v>
      </c>
      <c r="G1" s="23" t="s">
        <v>1</v>
      </c>
      <c r="H1" s="23" t="s">
        <v>2</v>
      </c>
      <c r="I1" s="23" t="s">
        <v>3</v>
      </c>
      <c r="J1" s="29" t="s">
        <v>34</v>
      </c>
      <c r="K1" s="24" t="s">
        <v>35</v>
      </c>
      <c r="L1" s="24" t="s">
        <v>36</v>
      </c>
      <c r="M1" s="24" t="s">
        <v>37</v>
      </c>
      <c r="N1" s="29" t="s">
        <v>87</v>
      </c>
      <c r="O1" s="24" t="s">
        <v>86</v>
      </c>
      <c r="P1" s="24" t="s">
        <v>85</v>
      </c>
      <c r="Q1" s="24" t="s">
        <v>84</v>
      </c>
      <c r="R1" s="30" t="s">
        <v>118</v>
      </c>
      <c r="S1" s="23" t="s">
        <v>119</v>
      </c>
      <c r="T1" s="23" t="s">
        <v>120</v>
      </c>
      <c r="U1" s="23" t="s">
        <v>121</v>
      </c>
      <c r="V1" s="30" t="s">
        <v>140</v>
      </c>
      <c r="W1" s="23" t="s">
        <v>141</v>
      </c>
      <c r="X1" s="23" t="s">
        <v>142</v>
      </c>
      <c r="Y1" s="23" t="s">
        <v>143</v>
      </c>
    </row>
    <row r="2" spans="1:25" s="23" customFormat="1" x14ac:dyDescent="0.15">
      <c r="A2" s="81"/>
      <c r="B2" s="23" t="s">
        <v>54</v>
      </c>
      <c r="C2" s="23" t="s">
        <v>53</v>
      </c>
      <c r="D2" s="23" t="s">
        <v>52</v>
      </c>
      <c r="E2" s="23" t="s">
        <v>51</v>
      </c>
      <c r="F2" s="30" t="s">
        <v>49</v>
      </c>
      <c r="G2" s="23" t="s">
        <v>44</v>
      </c>
      <c r="H2" s="23" t="s">
        <v>41</v>
      </c>
      <c r="I2" s="23" t="s">
        <v>42</v>
      </c>
      <c r="J2" s="30" t="s">
        <v>50</v>
      </c>
      <c r="K2" s="23" t="s">
        <v>43</v>
      </c>
      <c r="L2" s="23" t="s">
        <v>40</v>
      </c>
      <c r="M2" s="23" t="s">
        <v>83</v>
      </c>
      <c r="N2" s="30" t="s">
        <v>79</v>
      </c>
      <c r="O2" s="23" t="s">
        <v>80</v>
      </c>
      <c r="P2" s="23" t="s">
        <v>81</v>
      </c>
      <c r="Q2" s="23" t="s">
        <v>117</v>
      </c>
      <c r="R2" s="30" t="s">
        <v>122</v>
      </c>
      <c r="S2" s="23" t="s">
        <v>123</v>
      </c>
      <c r="T2" s="23" t="s">
        <v>124</v>
      </c>
      <c r="U2" s="23" t="s">
        <v>125</v>
      </c>
      <c r="V2" s="75">
        <v>43951</v>
      </c>
      <c r="W2" s="76">
        <v>44043</v>
      </c>
    </row>
    <row r="3" spans="1:25" s="7" customFormat="1" x14ac:dyDescent="0.15">
      <c r="A3" s="82" t="s">
        <v>38</v>
      </c>
      <c r="B3" s="24">
        <v>1405.2</v>
      </c>
      <c r="C3" s="24">
        <v>1521.3</v>
      </c>
      <c r="D3" s="24">
        <v>1596.3</v>
      </c>
      <c r="E3" s="24">
        <v>1682.6</v>
      </c>
      <c r="F3" s="29">
        <v>1775.4</v>
      </c>
      <c r="G3" s="24">
        <v>1886</v>
      </c>
      <c r="H3" s="24">
        <v>1983.9</v>
      </c>
      <c r="I3" s="24">
        <v>2110.6</v>
      </c>
      <c r="J3" s="29">
        <v>2209</v>
      </c>
      <c r="K3" s="24">
        <v>2383</v>
      </c>
      <c r="L3" s="24">
        <v>2506</v>
      </c>
      <c r="M3" s="36">
        <v>2655</v>
      </c>
      <c r="N3" s="29">
        <v>2810</v>
      </c>
      <c r="O3" s="24">
        <v>3060</v>
      </c>
      <c r="P3" s="24">
        <v>3168</v>
      </c>
      <c r="Q3" s="36">
        <v>3375</v>
      </c>
      <c r="R3" s="29">
        <v>3496</v>
      </c>
      <c r="S3" s="24">
        <v>3745</v>
      </c>
      <c r="T3" s="24">
        <v>4239</v>
      </c>
      <c r="U3" s="24">
        <v>4563</v>
      </c>
      <c r="V3" s="61">
        <v>4575</v>
      </c>
      <c r="W3" s="7">
        <v>4840</v>
      </c>
    </row>
    <row r="4" spans="1:25" s="7" customFormat="1" x14ac:dyDescent="0.15">
      <c r="A4" s="82" t="s">
        <v>39</v>
      </c>
      <c r="B4" s="24">
        <v>105.8</v>
      </c>
      <c r="C4" s="24">
        <v>113.3</v>
      </c>
      <c r="D4" s="24">
        <v>115.6</v>
      </c>
      <c r="E4" s="24">
        <v>126.7</v>
      </c>
      <c r="F4" s="29">
        <v>141.1</v>
      </c>
      <c r="G4" s="24">
        <v>150.5</v>
      </c>
      <c r="H4" s="24">
        <v>160.69999999999999</v>
      </c>
      <c r="I4" s="24">
        <v>183.3</v>
      </c>
      <c r="J4" s="29">
        <v>188</v>
      </c>
      <c r="K4" s="24">
        <v>194</v>
      </c>
      <c r="L4" s="24">
        <v>195</v>
      </c>
      <c r="M4" s="36">
        <v>196</v>
      </c>
      <c r="N4" s="29">
        <v>196</v>
      </c>
      <c r="O4" s="24">
        <v>221</v>
      </c>
      <c r="P4" s="24">
        <v>224</v>
      </c>
      <c r="Q4" s="36">
        <v>228</v>
      </c>
      <c r="R4" s="29">
        <v>241</v>
      </c>
      <c r="S4" s="24">
        <v>252</v>
      </c>
      <c r="T4" s="24">
        <v>274</v>
      </c>
      <c r="U4" s="24">
        <v>288</v>
      </c>
      <c r="V4" s="61">
        <v>290</v>
      </c>
      <c r="W4" s="7">
        <v>311</v>
      </c>
    </row>
    <row r="5" spans="1:25" s="73" customFormat="1" x14ac:dyDescent="0.15">
      <c r="A5" s="83"/>
      <c r="F5" s="77"/>
      <c r="J5" s="77"/>
      <c r="K5" s="78"/>
      <c r="L5" s="78"/>
      <c r="M5" s="78"/>
      <c r="N5" s="77"/>
      <c r="O5" s="78"/>
      <c r="P5" s="78"/>
      <c r="Q5" s="78"/>
      <c r="R5" s="77"/>
      <c r="S5" s="73">
        <v>3940</v>
      </c>
      <c r="V5" s="77"/>
      <c r="W5" s="73">
        <v>4890</v>
      </c>
    </row>
    <row r="6" spans="1:25" s="62" customFormat="1" x14ac:dyDescent="0.15">
      <c r="A6" s="84" t="s">
        <v>4</v>
      </c>
      <c r="B6" s="37">
        <f>SUM(B3:B4)</f>
        <v>1511</v>
      </c>
      <c r="C6" s="37">
        <f t="shared" ref="C6:M6" si="0">SUM(C3:C4)</f>
        <v>1634.6</v>
      </c>
      <c r="D6" s="37">
        <f t="shared" si="0"/>
        <v>1711.8999999999999</v>
      </c>
      <c r="E6" s="37">
        <f t="shared" si="0"/>
        <v>1809.3</v>
      </c>
      <c r="F6" s="38">
        <f t="shared" si="0"/>
        <v>1916.5</v>
      </c>
      <c r="G6" s="39">
        <f t="shared" si="0"/>
        <v>2036.5</v>
      </c>
      <c r="H6" s="39">
        <f>SUM(H3:H4)</f>
        <v>2144.6</v>
      </c>
      <c r="I6" s="39">
        <f t="shared" si="0"/>
        <v>2293.9</v>
      </c>
      <c r="J6" s="38">
        <f t="shared" si="0"/>
        <v>2397</v>
      </c>
      <c r="K6" s="37">
        <f t="shared" si="0"/>
        <v>2577</v>
      </c>
      <c r="L6" s="37">
        <f t="shared" si="0"/>
        <v>2701</v>
      </c>
      <c r="M6" s="37">
        <f t="shared" si="0"/>
        <v>2851</v>
      </c>
      <c r="N6" s="38">
        <f t="shared" ref="N6" si="1">SUM(N3:N4)</f>
        <v>3006</v>
      </c>
      <c r="O6" s="37">
        <f t="shared" ref="O6:Q6" si="2">SUM(O3:O4)</f>
        <v>3281</v>
      </c>
      <c r="P6" s="37">
        <f t="shared" si="2"/>
        <v>3392</v>
      </c>
      <c r="Q6" s="37">
        <f t="shared" si="2"/>
        <v>3603</v>
      </c>
      <c r="R6" s="38">
        <f t="shared" ref="R6:W6" si="3">SUM(R3:R4)</f>
        <v>3737</v>
      </c>
      <c r="S6" s="37">
        <f t="shared" si="3"/>
        <v>3997</v>
      </c>
      <c r="T6" s="37">
        <f t="shared" si="3"/>
        <v>4513</v>
      </c>
      <c r="U6" s="37">
        <f t="shared" si="3"/>
        <v>4851</v>
      </c>
      <c r="V6" s="38">
        <f t="shared" si="3"/>
        <v>4865</v>
      </c>
      <c r="W6" s="37">
        <f t="shared" si="3"/>
        <v>5151</v>
      </c>
    </row>
    <row r="7" spans="1:25" s="7" customFormat="1" x14ac:dyDescent="0.15">
      <c r="A7" s="82" t="s">
        <v>5</v>
      </c>
      <c r="B7" s="36">
        <v>381.8</v>
      </c>
      <c r="C7" s="36">
        <v>405.3</v>
      </c>
      <c r="D7" s="36">
        <v>423.6</v>
      </c>
      <c r="E7" s="36">
        <v>443.6</v>
      </c>
      <c r="F7" s="29">
        <v>496.9</v>
      </c>
      <c r="G7" s="24">
        <v>525.5</v>
      </c>
      <c r="H7" s="24">
        <f>426.4+159</f>
        <v>585.4</v>
      </c>
      <c r="I7" s="24">
        <v>625.9</v>
      </c>
      <c r="J7" s="29">
        <v>650.5</v>
      </c>
      <c r="K7" s="36">
        <v>670</v>
      </c>
      <c r="L7" s="36">
        <f>528.1+186.3</f>
        <v>714.40000000000009</v>
      </c>
      <c r="M7" s="36">
        <v>738</v>
      </c>
      <c r="N7" s="29">
        <v>767</v>
      </c>
      <c r="O7" s="36">
        <v>849</v>
      </c>
      <c r="P7" s="36">
        <v>889</v>
      </c>
      <c r="Q7" s="36">
        <v>946</v>
      </c>
      <c r="R7" s="29">
        <v>914</v>
      </c>
      <c r="S7" s="24">
        <v>967</v>
      </c>
      <c r="T7" s="24">
        <v>1134</v>
      </c>
      <c r="U7" s="24">
        <v>1220</v>
      </c>
      <c r="V7" s="61">
        <v>1254</v>
      </c>
      <c r="W7" s="7">
        <v>1311</v>
      </c>
    </row>
    <row r="8" spans="1:25" s="7" customFormat="1" x14ac:dyDescent="0.15">
      <c r="A8" s="82" t="s">
        <v>6</v>
      </c>
      <c r="B8" s="42">
        <f>B6-B7</f>
        <v>1129.2</v>
      </c>
      <c r="C8" s="42">
        <f>C6-C7</f>
        <v>1229.3</v>
      </c>
      <c r="D8" s="42">
        <f>D6-D7</f>
        <v>1288.2999999999997</v>
      </c>
      <c r="E8" s="42">
        <f>E6-E7</f>
        <v>1365.6999999999998</v>
      </c>
      <c r="F8" s="43">
        <f>F6-F7</f>
        <v>1419.6</v>
      </c>
      <c r="G8" s="44">
        <f t="shared" ref="G8:M8" si="4">G6-G7</f>
        <v>1511</v>
      </c>
      <c r="H8" s="44">
        <f t="shared" si="4"/>
        <v>1559.1999999999998</v>
      </c>
      <c r="I8" s="44">
        <f t="shared" si="4"/>
        <v>1668</v>
      </c>
      <c r="J8" s="43">
        <f t="shared" si="4"/>
        <v>1746.5</v>
      </c>
      <c r="K8" s="42">
        <f t="shared" si="4"/>
        <v>1907</v>
      </c>
      <c r="L8" s="42">
        <f t="shared" si="4"/>
        <v>1986.6</v>
      </c>
      <c r="M8" s="42">
        <f t="shared" si="4"/>
        <v>2113</v>
      </c>
      <c r="N8" s="43">
        <f t="shared" ref="N8" si="5">N6-N7</f>
        <v>2239</v>
      </c>
      <c r="O8" s="42">
        <f t="shared" ref="O8:Q8" si="6">O6-O7</f>
        <v>2432</v>
      </c>
      <c r="P8" s="42">
        <f t="shared" si="6"/>
        <v>2503</v>
      </c>
      <c r="Q8" s="42">
        <f t="shared" si="6"/>
        <v>2657</v>
      </c>
      <c r="R8" s="43">
        <f t="shared" ref="R8" si="7">R6-R7</f>
        <v>2823</v>
      </c>
      <c r="S8" s="42">
        <f>S6-S7</f>
        <v>3030</v>
      </c>
      <c r="T8" s="42">
        <f>T6-T7</f>
        <v>3379</v>
      </c>
      <c r="U8" s="42">
        <f>U6-U7</f>
        <v>3631</v>
      </c>
      <c r="V8" s="43">
        <f>V6-V7</f>
        <v>3611</v>
      </c>
      <c r="W8" s="42">
        <f>W6-W7</f>
        <v>3840</v>
      </c>
    </row>
    <row r="9" spans="1:25" s="7" customFormat="1" x14ac:dyDescent="0.15">
      <c r="A9" s="82" t="s">
        <v>7</v>
      </c>
      <c r="B9" s="36">
        <v>222.1</v>
      </c>
      <c r="C9" s="36">
        <v>234.1</v>
      </c>
      <c r="D9" s="36">
        <v>239.2</v>
      </c>
      <c r="E9" s="36">
        <v>250.8</v>
      </c>
      <c r="F9" s="29">
        <v>260.89999999999998</v>
      </c>
      <c r="G9" s="24">
        <v>291.5</v>
      </c>
      <c r="H9" s="24">
        <v>311.39999999999998</v>
      </c>
      <c r="I9" s="24">
        <v>344.1</v>
      </c>
      <c r="J9" s="29">
        <v>376</v>
      </c>
      <c r="K9" s="36">
        <v>387</v>
      </c>
      <c r="L9" s="36">
        <v>394</v>
      </c>
      <c r="M9" s="36">
        <v>397</v>
      </c>
      <c r="N9" s="29">
        <v>424</v>
      </c>
      <c r="O9" s="36">
        <v>463</v>
      </c>
      <c r="P9" s="36">
        <v>481</v>
      </c>
      <c r="Q9" s="36">
        <v>518</v>
      </c>
      <c r="R9" s="29">
        <v>554</v>
      </c>
      <c r="S9" s="24">
        <v>607</v>
      </c>
      <c r="T9" s="24">
        <v>774</v>
      </c>
      <c r="U9" s="24">
        <v>831</v>
      </c>
      <c r="V9" s="61">
        <v>859</v>
      </c>
      <c r="W9" s="7">
        <v>898</v>
      </c>
    </row>
    <row r="10" spans="1:25" s="7" customFormat="1" x14ac:dyDescent="0.15">
      <c r="A10" s="82" t="s">
        <v>8</v>
      </c>
      <c r="B10" s="36">
        <v>736.9</v>
      </c>
      <c r="C10" s="36">
        <v>793.6</v>
      </c>
      <c r="D10" s="36">
        <v>818.8</v>
      </c>
      <c r="E10" s="36">
        <v>890.3</v>
      </c>
      <c r="F10" s="29">
        <v>895.8</v>
      </c>
      <c r="G10" s="24">
        <v>934.9</v>
      </c>
      <c r="H10" s="24">
        <v>997.9</v>
      </c>
      <c r="I10" s="24">
        <v>1089.2</v>
      </c>
      <c r="J10" s="29">
        <v>1106</v>
      </c>
      <c r="K10" s="36">
        <v>1153</v>
      </c>
      <c r="L10" s="36">
        <v>1167</v>
      </c>
      <c r="M10" s="36">
        <v>1364</v>
      </c>
      <c r="N10" s="29">
        <v>1329</v>
      </c>
      <c r="O10" s="36">
        <v>1504</v>
      </c>
      <c r="P10" s="36">
        <v>1588</v>
      </c>
      <c r="Q10" s="36">
        <v>1643</v>
      </c>
      <c r="R10" s="29">
        <v>1697</v>
      </c>
      <c r="S10" s="24">
        <v>1824</v>
      </c>
      <c r="T10" s="24">
        <v>2063</v>
      </c>
      <c r="U10" s="24">
        <v>2346</v>
      </c>
      <c r="V10" s="61">
        <v>2390</v>
      </c>
      <c r="W10" s="7">
        <v>2275</v>
      </c>
    </row>
    <row r="11" spans="1:25" s="7" customFormat="1" x14ac:dyDescent="0.15">
      <c r="A11" s="82" t="s">
        <v>9</v>
      </c>
      <c r="B11" s="36">
        <f>175.8-36.6</f>
        <v>139.20000000000002</v>
      </c>
      <c r="C11" s="36">
        <v>181.6</v>
      </c>
      <c r="D11" s="36">
        <v>186.8</v>
      </c>
      <c r="E11" s="36">
        <v>203.9</v>
      </c>
      <c r="F11" s="29">
        <v>210.8</v>
      </c>
      <c r="G11" s="24">
        <v>252</v>
      </c>
      <c r="H11" s="24">
        <v>246.7</v>
      </c>
      <c r="I11" s="24">
        <v>257.89999999999998</v>
      </c>
      <c r="J11" s="29">
        <v>260.3</v>
      </c>
      <c r="K11" s="36">
        <v>282.89999999999998</v>
      </c>
      <c r="L11" s="36">
        <v>270.60000000000002</v>
      </c>
      <c r="M11" s="36">
        <v>274</v>
      </c>
      <c r="N11" s="29">
        <v>295</v>
      </c>
      <c r="O11" s="36">
        <v>350</v>
      </c>
      <c r="P11" s="36">
        <v>342</v>
      </c>
      <c r="Q11" s="36">
        <v>359</v>
      </c>
      <c r="R11" s="29">
        <v>362</v>
      </c>
      <c r="S11" s="24">
        <f>375+166</f>
        <v>541</v>
      </c>
      <c r="T11" s="24">
        <v>477</v>
      </c>
      <c r="U11" s="24">
        <v>490</v>
      </c>
      <c r="V11" s="61">
        <v>502</v>
      </c>
      <c r="W11" s="7">
        <v>489</v>
      </c>
    </row>
    <row r="12" spans="1:25" s="7" customFormat="1" x14ac:dyDescent="0.15">
      <c r="A12" s="82" t="s">
        <v>10</v>
      </c>
      <c r="B12" s="42">
        <f>SUM(B9:B11)</f>
        <v>1098.2</v>
      </c>
      <c r="C12" s="42">
        <f>SUM(C9:C11)</f>
        <v>1209.3</v>
      </c>
      <c r="D12" s="42">
        <f>SUM(D9:D11)</f>
        <v>1244.8</v>
      </c>
      <c r="E12" s="42">
        <f>SUM(E9:E11)</f>
        <v>1345</v>
      </c>
      <c r="F12" s="43">
        <f>SUM(F9:F11)</f>
        <v>1367.4999999999998</v>
      </c>
      <c r="G12" s="44">
        <f t="shared" ref="G12:L12" si="8">SUM(G9:G11)</f>
        <v>1478.4</v>
      </c>
      <c r="H12" s="44">
        <f t="shared" si="8"/>
        <v>1556</v>
      </c>
      <c r="I12" s="44">
        <f t="shared" si="8"/>
        <v>1691.2000000000003</v>
      </c>
      <c r="J12" s="43">
        <f t="shared" si="8"/>
        <v>1742.3</v>
      </c>
      <c r="K12" s="42">
        <f t="shared" si="8"/>
        <v>1822.9</v>
      </c>
      <c r="L12" s="42">
        <f t="shared" si="8"/>
        <v>1831.6</v>
      </c>
      <c r="M12" s="42">
        <f t="shared" ref="M12" si="9">SUM(M9:M11)</f>
        <v>2035</v>
      </c>
      <c r="N12" s="43">
        <f t="shared" ref="N12" si="10">SUM(N9:N11)</f>
        <v>2048</v>
      </c>
      <c r="O12" s="42">
        <f t="shared" ref="O12:P12" si="11">SUM(O9:O11)</f>
        <v>2317</v>
      </c>
      <c r="P12" s="42">
        <f t="shared" si="11"/>
        <v>2411</v>
      </c>
      <c r="Q12" s="42">
        <f t="shared" ref="Q12:S12" si="12">SUM(Q9:Q11)</f>
        <v>2520</v>
      </c>
      <c r="R12" s="43">
        <f t="shared" si="12"/>
        <v>2613</v>
      </c>
      <c r="S12" s="42">
        <f t="shared" si="12"/>
        <v>2972</v>
      </c>
      <c r="T12" s="42">
        <f t="shared" ref="T12:U12" si="13">SUM(T9:T11)</f>
        <v>3314</v>
      </c>
      <c r="U12" s="42">
        <f t="shared" si="13"/>
        <v>3667</v>
      </c>
      <c r="V12" s="43">
        <f t="shared" ref="V12:W12" si="14">SUM(V9:V11)</f>
        <v>3751</v>
      </c>
      <c r="W12" s="42">
        <f t="shared" si="14"/>
        <v>3662</v>
      </c>
    </row>
    <row r="13" spans="1:25" s="7" customFormat="1" x14ac:dyDescent="0.15">
      <c r="A13" s="82" t="s">
        <v>11</v>
      </c>
      <c r="B13" s="42">
        <f>B8-B12</f>
        <v>31</v>
      </c>
      <c r="C13" s="42">
        <f>C8-C12</f>
        <v>20</v>
      </c>
      <c r="D13" s="42">
        <f>D8-D12</f>
        <v>43.499999999999773</v>
      </c>
      <c r="E13" s="42">
        <f>E8-E12</f>
        <v>20.699999999999818</v>
      </c>
      <c r="F13" s="43">
        <f>F8-F12</f>
        <v>52.100000000000136</v>
      </c>
      <c r="G13" s="44">
        <f t="shared" ref="G13" si="15">G8-G12</f>
        <v>32.599999999999909</v>
      </c>
      <c r="H13" s="44">
        <f t="shared" ref="H13:M13" si="16">H8-H12</f>
        <v>3.1999999999998181</v>
      </c>
      <c r="I13" s="44">
        <f t="shared" si="16"/>
        <v>-23.200000000000273</v>
      </c>
      <c r="J13" s="43">
        <f t="shared" si="16"/>
        <v>4.2000000000000455</v>
      </c>
      <c r="K13" s="42">
        <f t="shared" si="16"/>
        <v>84.099999999999909</v>
      </c>
      <c r="L13" s="42">
        <f t="shared" si="16"/>
        <v>155</v>
      </c>
      <c r="M13" s="42">
        <f t="shared" si="16"/>
        <v>78</v>
      </c>
      <c r="N13" s="43">
        <f t="shared" ref="N13:P13" si="17">N8-N12</f>
        <v>191</v>
      </c>
      <c r="O13" s="42">
        <f t="shared" si="17"/>
        <v>115</v>
      </c>
      <c r="P13" s="42">
        <f t="shared" si="17"/>
        <v>92</v>
      </c>
      <c r="Q13" s="42">
        <f t="shared" ref="Q13:S13" si="18">Q8-Q12</f>
        <v>137</v>
      </c>
      <c r="R13" s="43">
        <f t="shared" si="18"/>
        <v>210</v>
      </c>
      <c r="S13" s="42">
        <f t="shared" si="18"/>
        <v>58</v>
      </c>
      <c r="T13" s="42">
        <f t="shared" ref="T13:U13" si="19">T8-T12</f>
        <v>65</v>
      </c>
      <c r="U13" s="42">
        <f t="shared" si="19"/>
        <v>-36</v>
      </c>
      <c r="V13" s="43">
        <f t="shared" ref="V13:W13" si="20">V8-V12</f>
        <v>-140</v>
      </c>
      <c r="W13" s="42">
        <f t="shared" si="20"/>
        <v>178</v>
      </c>
    </row>
    <row r="14" spans="1:25" s="7" customFormat="1" x14ac:dyDescent="0.15">
      <c r="A14" s="82" t="s">
        <v>12</v>
      </c>
      <c r="B14" s="36">
        <f>4.5-16.6-0.9</f>
        <v>-13.000000000000002</v>
      </c>
      <c r="C14" s="36">
        <f>3.2-18+1.9</f>
        <v>-12.9</v>
      </c>
      <c r="D14" s="36">
        <f>3.5-18.2-7+21.7</f>
        <v>0</v>
      </c>
      <c r="E14" s="36">
        <f>3.9-19.4-9.2</f>
        <v>-24.699999999999996</v>
      </c>
      <c r="F14" s="29">
        <f>8.1-22-13.8+12.8</f>
        <v>-14.900000000000002</v>
      </c>
      <c r="G14" s="24">
        <f>11.9-20.7+0.5</f>
        <v>-8.2999999999999989</v>
      </c>
      <c r="H14" s="24">
        <f>3.7-21.9+1.7+0.8</f>
        <v>-15.7</v>
      </c>
      <c r="I14" s="24">
        <f>3.6-24.3+20.5</f>
        <v>-0.19999999999999929</v>
      </c>
      <c r="J14" s="29">
        <f>5-22+3+0</f>
        <v>-14</v>
      </c>
      <c r="K14" s="36">
        <f>9-22-8</f>
        <v>-21</v>
      </c>
      <c r="L14" s="36">
        <f>10-21+1+1</f>
        <v>-9</v>
      </c>
      <c r="M14" s="36">
        <f>12-22+20</f>
        <v>10</v>
      </c>
      <c r="N14" s="29">
        <f>16-34+211+1</f>
        <v>194</v>
      </c>
      <c r="O14" s="36">
        <f>12-39+143</f>
        <v>116</v>
      </c>
      <c r="P14" s="36">
        <f>13-40+63</f>
        <v>36</v>
      </c>
      <c r="Q14" s="45">
        <f>16-41+125+2</f>
        <v>102</v>
      </c>
      <c r="R14" s="29">
        <f>281-9</f>
        <v>272</v>
      </c>
      <c r="S14" s="24">
        <f>109-3</f>
        <v>106</v>
      </c>
      <c r="T14" s="24">
        <f>6-7</f>
        <v>-1</v>
      </c>
      <c r="U14" s="24">
        <f>31+1</f>
        <v>32</v>
      </c>
      <c r="V14" s="61">
        <f>192-5</f>
        <v>187</v>
      </c>
      <c r="W14" s="7">
        <f>682-21</f>
        <v>661</v>
      </c>
    </row>
    <row r="15" spans="1:25" s="7" customFormat="1" x14ac:dyDescent="0.15">
      <c r="A15" s="82" t="s">
        <v>13</v>
      </c>
      <c r="B15" s="42">
        <f>B13+B14</f>
        <v>18</v>
      </c>
      <c r="C15" s="42">
        <f>C13+C14</f>
        <v>7.1</v>
      </c>
      <c r="D15" s="42">
        <f>D13+D14</f>
        <v>43.499999999999773</v>
      </c>
      <c r="E15" s="42">
        <f>E13+E14</f>
        <v>-4.0000000000001776</v>
      </c>
      <c r="F15" s="43">
        <f>F13+F14</f>
        <v>37.200000000000131</v>
      </c>
      <c r="G15" s="44">
        <f t="shared" ref="G15:I15" si="21">G13+G14</f>
        <v>24.299999999999912</v>
      </c>
      <c r="H15" s="44">
        <f t="shared" si="21"/>
        <v>-12.500000000000181</v>
      </c>
      <c r="I15" s="44">
        <f t="shared" si="21"/>
        <v>-23.400000000000272</v>
      </c>
      <c r="J15" s="43">
        <f t="shared" ref="J15:K15" si="22">J13+J14</f>
        <v>-9.7999999999999545</v>
      </c>
      <c r="K15" s="42">
        <f t="shared" si="22"/>
        <v>63.099999999999909</v>
      </c>
      <c r="L15" s="42">
        <f t="shared" ref="L15:M15" si="23">L13+L14</f>
        <v>146</v>
      </c>
      <c r="M15" s="42">
        <f t="shared" si="23"/>
        <v>88</v>
      </c>
      <c r="N15" s="43">
        <f t="shared" ref="N15" si="24">N13+N14</f>
        <v>385</v>
      </c>
      <c r="O15" s="42">
        <f t="shared" ref="O15:W15" si="25">O13+O14</f>
        <v>231</v>
      </c>
      <c r="P15" s="42">
        <f t="shared" si="25"/>
        <v>128</v>
      </c>
      <c r="Q15" s="42">
        <f t="shared" si="25"/>
        <v>239</v>
      </c>
      <c r="R15" s="43">
        <f t="shared" ref="R15" si="26">R13+R14</f>
        <v>482</v>
      </c>
      <c r="S15" s="42">
        <f t="shared" si="25"/>
        <v>164</v>
      </c>
      <c r="T15" s="42">
        <f t="shared" si="25"/>
        <v>64</v>
      </c>
      <c r="U15" s="42">
        <f t="shared" si="25"/>
        <v>-4</v>
      </c>
      <c r="V15" s="43">
        <f t="shared" si="25"/>
        <v>47</v>
      </c>
      <c r="W15" s="42">
        <f t="shared" si="25"/>
        <v>839</v>
      </c>
    </row>
    <row r="16" spans="1:25" s="7" customFormat="1" x14ac:dyDescent="0.15">
      <c r="A16" s="82" t="s">
        <v>14</v>
      </c>
      <c r="B16" s="36">
        <v>13.9</v>
      </c>
      <c r="C16" s="36">
        <v>7.8</v>
      </c>
      <c r="D16" s="36">
        <v>68.5</v>
      </c>
      <c r="E16" s="36">
        <v>21.3</v>
      </c>
      <c r="F16" s="29">
        <v>-1.6</v>
      </c>
      <c r="G16" s="24">
        <v>-205.3</v>
      </c>
      <c r="H16" s="24">
        <v>24.7</v>
      </c>
      <c r="I16" s="24">
        <v>27.9</v>
      </c>
      <c r="J16" s="29">
        <v>-11</v>
      </c>
      <c r="K16" s="36">
        <v>17</v>
      </c>
      <c r="L16" s="36">
        <v>39</v>
      </c>
      <c r="M16" s="36">
        <v>21</v>
      </c>
      <c r="N16" s="29">
        <v>41</v>
      </c>
      <c r="O16" s="36">
        <v>-68</v>
      </c>
      <c r="P16" s="36">
        <v>23</v>
      </c>
      <c r="Q16" s="45">
        <v>-123</v>
      </c>
      <c r="R16" s="29">
        <v>90</v>
      </c>
      <c r="S16" s="24">
        <v>73</v>
      </c>
      <c r="T16" s="24">
        <v>173</v>
      </c>
      <c r="U16" s="24">
        <v>244</v>
      </c>
      <c r="V16" s="61">
        <v>-52</v>
      </c>
      <c r="W16" s="7">
        <f>W15*0.22</f>
        <v>184.58</v>
      </c>
    </row>
    <row r="17" spans="1:23" s="74" customFormat="1" x14ac:dyDescent="0.15">
      <c r="A17" s="83" t="s">
        <v>149</v>
      </c>
      <c r="B17" s="78"/>
      <c r="C17" s="78"/>
      <c r="D17" s="78"/>
      <c r="E17" s="78"/>
      <c r="F17" s="77"/>
      <c r="G17" s="73"/>
      <c r="H17" s="73"/>
      <c r="I17" s="73"/>
      <c r="J17" s="77"/>
      <c r="K17" s="78"/>
      <c r="L17" s="78"/>
      <c r="M17" s="78"/>
      <c r="N17" s="77"/>
      <c r="O17" s="78"/>
      <c r="P17" s="78"/>
      <c r="Q17" s="79"/>
      <c r="R17" s="77"/>
      <c r="S17" s="73"/>
      <c r="T17" s="73"/>
      <c r="U17" s="73"/>
      <c r="V17" s="80"/>
      <c r="W17" s="74">
        <v>-1786</v>
      </c>
    </row>
    <row r="18" spans="1:23" s="62" customFormat="1" x14ac:dyDescent="0.15">
      <c r="A18" s="84" t="s">
        <v>15</v>
      </c>
      <c r="B18" s="37">
        <f t="shared" ref="B18:G18" si="27">B15-B16</f>
        <v>4.0999999999999996</v>
      </c>
      <c r="C18" s="37">
        <f t="shared" si="27"/>
        <v>-0.70000000000000018</v>
      </c>
      <c r="D18" s="37">
        <f t="shared" si="27"/>
        <v>-25.000000000000227</v>
      </c>
      <c r="E18" s="37">
        <f t="shared" si="27"/>
        <v>-25.300000000000178</v>
      </c>
      <c r="F18" s="38">
        <f t="shared" si="27"/>
        <v>38.800000000000132</v>
      </c>
      <c r="G18" s="39">
        <f t="shared" si="27"/>
        <v>229.59999999999991</v>
      </c>
      <c r="H18" s="39">
        <f t="shared" ref="H18" si="28">H15-H16</f>
        <v>-37.20000000000018</v>
      </c>
      <c r="I18" s="39">
        <f t="shared" ref="I18:P18" si="29">I15-I16</f>
        <v>-51.300000000000267</v>
      </c>
      <c r="J18" s="38">
        <f t="shared" si="29"/>
        <v>1.2000000000000455</v>
      </c>
      <c r="K18" s="37">
        <f t="shared" si="29"/>
        <v>46.099999999999909</v>
      </c>
      <c r="L18" s="37">
        <f t="shared" si="29"/>
        <v>107</v>
      </c>
      <c r="M18" s="37">
        <f t="shared" si="29"/>
        <v>67</v>
      </c>
      <c r="N18" s="38">
        <f t="shared" si="29"/>
        <v>344</v>
      </c>
      <c r="O18" s="37">
        <f t="shared" si="29"/>
        <v>299</v>
      </c>
      <c r="P18" s="37">
        <f t="shared" si="29"/>
        <v>105</v>
      </c>
      <c r="Q18" s="37">
        <f t="shared" ref="Q18:U18" si="30">Q15-Q16</f>
        <v>362</v>
      </c>
      <c r="R18" s="38">
        <f t="shared" si="30"/>
        <v>392</v>
      </c>
      <c r="S18" s="37">
        <f t="shared" si="30"/>
        <v>91</v>
      </c>
      <c r="T18" s="37">
        <f t="shared" si="30"/>
        <v>-109</v>
      </c>
      <c r="U18" s="37">
        <f t="shared" si="30"/>
        <v>-248</v>
      </c>
      <c r="V18" s="38">
        <f>V15-V16</f>
        <v>99</v>
      </c>
      <c r="W18" s="37">
        <f>W15-W16</f>
        <v>654.41999999999996</v>
      </c>
    </row>
    <row r="19" spans="1:23" s="63" customFormat="1" x14ac:dyDescent="0.15">
      <c r="A19" s="85" t="s">
        <v>16</v>
      </c>
      <c r="B19" s="64">
        <f t="shared" ref="B19:H19" si="31">IFERROR(B18/B20,0)</f>
        <v>6.1719102814993222E-3</v>
      </c>
      <c r="C19" s="64">
        <f t="shared" si="31"/>
        <v>-1.0617321401486428E-3</v>
      </c>
      <c r="D19" s="64">
        <f t="shared" si="31"/>
        <v>-3.7644932992019618E-2</v>
      </c>
      <c r="E19" s="64">
        <f t="shared" si="31"/>
        <v>-3.7817638266069029E-2</v>
      </c>
      <c r="F19" s="65">
        <f t="shared" si="31"/>
        <v>5.6502111547983298E-2</v>
      </c>
      <c r="G19" s="66">
        <f t="shared" si="31"/>
        <v>0.32993246156056893</v>
      </c>
      <c r="H19" s="66">
        <f t="shared" si="31"/>
        <v>-5.3881807647740705E-2</v>
      </c>
      <c r="I19" s="66">
        <f t="shared" ref="I19:L19" si="32">IFERROR(I18/I20,0)</f>
        <v>-7.3191610786132497E-2</v>
      </c>
      <c r="J19" s="65">
        <f t="shared" si="32"/>
        <v>1.6620498614959079E-3</v>
      </c>
      <c r="K19" s="64">
        <f t="shared" si="32"/>
        <v>6.3211298505416028E-2</v>
      </c>
      <c r="L19" s="64">
        <f t="shared" si="32"/>
        <v>0.14496680666576345</v>
      </c>
      <c r="M19" s="64">
        <f t="shared" ref="M19" si="33">IFERROR(M18/M20,0)</f>
        <v>8.9452603471295064E-2</v>
      </c>
      <c r="N19" s="65">
        <f t="shared" ref="N19" si="34">IFERROR(N18/N20,0)</f>
        <v>0.45623342175066312</v>
      </c>
      <c r="O19" s="64">
        <f t="shared" ref="O19:P19" si="35">IFERROR(O18/O20,0)</f>
        <v>0.3863049095607235</v>
      </c>
      <c r="P19" s="64">
        <f t="shared" si="35"/>
        <v>0.13375796178343949</v>
      </c>
      <c r="Q19" s="64">
        <f t="shared" ref="Q19:U19" si="36">IFERROR(Q18/Q20,0)</f>
        <v>0.46055979643765904</v>
      </c>
      <c r="R19" s="65">
        <f t="shared" si="36"/>
        <v>0.49432534678436318</v>
      </c>
      <c r="S19" s="64">
        <f t="shared" si="36"/>
        <v>0.11446540880503145</v>
      </c>
      <c r="T19" s="64">
        <f t="shared" si="36"/>
        <v>-0.12400455062571103</v>
      </c>
      <c r="U19" s="64">
        <f t="shared" si="36"/>
        <v>-0.27896512935883017</v>
      </c>
      <c r="V19" s="65">
        <f t="shared" ref="V19:W19" si="37">IFERROR(V18/V20,0)</f>
        <v>0.10843373493975904</v>
      </c>
      <c r="W19" s="64">
        <f t="shared" si="37"/>
        <v>0.70978308026030368</v>
      </c>
    </row>
    <row r="20" spans="1:23" s="7" customFormat="1" x14ac:dyDescent="0.15">
      <c r="A20" s="82" t="s">
        <v>17</v>
      </c>
      <c r="B20" s="36">
        <v>664.3</v>
      </c>
      <c r="C20" s="36">
        <v>659.3</v>
      </c>
      <c r="D20" s="36">
        <v>664.1</v>
      </c>
      <c r="E20" s="36">
        <v>669</v>
      </c>
      <c r="F20" s="29">
        <v>686.7</v>
      </c>
      <c r="G20" s="36">
        <v>695.9</v>
      </c>
      <c r="H20" s="36">
        <v>690.4</v>
      </c>
      <c r="I20" s="36">
        <v>700.9</v>
      </c>
      <c r="J20" s="29">
        <v>722</v>
      </c>
      <c r="K20" s="36">
        <v>729.3</v>
      </c>
      <c r="L20" s="36">
        <v>738.1</v>
      </c>
      <c r="M20" s="36">
        <v>749</v>
      </c>
      <c r="N20" s="29">
        <v>754</v>
      </c>
      <c r="O20" s="36">
        <v>774</v>
      </c>
      <c r="P20" s="36">
        <v>785</v>
      </c>
      <c r="Q20" s="45">
        <v>786</v>
      </c>
      <c r="R20" s="29">
        <v>793</v>
      </c>
      <c r="S20" s="24">
        <v>795</v>
      </c>
      <c r="T20" s="24">
        <v>879</v>
      </c>
      <c r="U20" s="24">
        <v>889</v>
      </c>
      <c r="V20" s="61">
        <v>913</v>
      </c>
      <c r="W20" s="7">
        <v>922</v>
      </c>
    </row>
    <row r="21" spans="1:23" s="7" customFormat="1" x14ac:dyDescent="0.15">
      <c r="A21" s="82"/>
      <c r="B21" s="36"/>
      <c r="C21" s="36"/>
      <c r="D21" s="36"/>
      <c r="E21" s="36"/>
      <c r="F21" s="29"/>
      <c r="G21" s="36"/>
      <c r="H21" s="36"/>
      <c r="I21" s="36"/>
      <c r="J21" s="29"/>
      <c r="K21" s="36"/>
      <c r="L21" s="36"/>
      <c r="M21" s="36"/>
      <c r="N21" s="29"/>
      <c r="O21" s="36"/>
      <c r="P21" s="36"/>
      <c r="Q21" s="45"/>
      <c r="R21" s="29"/>
      <c r="S21" s="24"/>
      <c r="T21" s="24"/>
      <c r="U21" s="24"/>
      <c r="V21" s="61"/>
    </row>
    <row r="22" spans="1:23" s="16" customFormat="1" x14ac:dyDescent="0.15">
      <c r="A22" s="86" t="s">
        <v>126</v>
      </c>
      <c r="B22" s="67"/>
      <c r="C22" s="67"/>
      <c r="D22" s="67"/>
      <c r="E22" s="67"/>
      <c r="F22" s="68"/>
      <c r="G22" s="34"/>
      <c r="H22" s="34"/>
      <c r="I22" s="34"/>
      <c r="J22" s="68"/>
      <c r="K22" s="67"/>
      <c r="L22" s="67"/>
      <c r="M22" s="67"/>
      <c r="N22" s="68"/>
      <c r="O22" s="67"/>
      <c r="P22" s="67"/>
      <c r="Q22" s="67"/>
      <c r="R22" s="68"/>
      <c r="S22" s="69">
        <v>0.23</v>
      </c>
      <c r="T22" s="34"/>
      <c r="U22" s="69">
        <v>0.34</v>
      </c>
      <c r="V22" s="72">
        <v>0.31</v>
      </c>
    </row>
    <row r="23" spans="1:23" s="2" customFormat="1" x14ac:dyDescent="0.15">
      <c r="A23" s="87" t="s">
        <v>18</v>
      </c>
      <c r="B23" s="46"/>
      <c r="C23" s="46"/>
      <c r="D23" s="46"/>
      <c r="E23" s="46"/>
      <c r="F23" s="47">
        <f>IFERROR((F6/B6)-1,0)</f>
        <v>0.26836532097948385</v>
      </c>
      <c r="G23" s="46">
        <f>IFERROR((G6/C6)-1,0)</f>
        <v>0.24587054936987651</v>
      </c>
      <c r="H23" s="46">
        <f t="shared" ref="H23" si="38">IFERROR((H6/D6)-1,0)</f>
        <v>0.25276009112681819</v>
      </c>
      <c r="I23" s="46">
        <f>IFERROR((I6/E6)-1,0)</f>
        <v>0.26783839053777703</v>
      </c>
      <c r="J23" s="47">
        <f>IFERROR((J6/F6)-1,0)</f>
        <v>0.25071745369162546</v>
      </c>
      <c r="K23" s="46">
        <f t="shared" ref="K23" si="39">IFERROR((K6/G6)-1,0)</f>
        <v>0.26540633439725014</v>
      </c>
      <c r="L23" s="46">
        <f t="shared" ref="L23:W23" si="40">IFERROR((L6/H6)-1,0)</f>
        <v>0.25944232024619973</v>
      </c>
      <c r="M23" s="46">
        <f t="shared" si="40"/>
        <v>0.24286150224508485</v>
      </c>
      <c r="N23" s="47">
        <f t="shared" si="40"/>
        <v>0.25406758448060085</v>
      </c>
      <c r="O23" s="46">
        <f t="shared" si="40"/>
        <v>0.27318587504850611</v>
      </c>
      <c r="P23" s="46">
        <f t="shared" si="40"/>
        <v>0.25583117363939278</v>
      </c>
      <c r="Q23" s="46">
        <f t="shared" si="40"/>
        <v>0.26376709926341624</v>
      </c>
      <c r="R23" s="47">
        <f t="shared" si="40"/>
        <v>0.24318030605455765</v>
      </c>
      <c r="S23" s="46">
        <f t="shared" si="40"/>
        <v>0.21822615056385253</v>
      </c>
      <c r="T23" s="46">
        <f t="shared" si="40"/>
        <v>0.33048349056603765</v>
      </c>
      <c r="U23" s="46">
        <f t="shared" si="40"/>
        <v>0.34637801831806825</v>
      </c>
      <c r="V23" s="47">
        <f t="shared" si="40"/>
        <v>0.30184640085630177</v>
      </c>
      <c r="W23" s="46">
        <f t="shared" si="40"/>
        <v>0.28871653740305225</v>
      </c>
    </row>
    <row r="24" spans="1:23" s="2" customFormat="1" x14ac:dyDescent="0.15">
      <c r="A24" s="60" t="s">
        <v>55</v>
      </c>
      <c r="B24" s="48"/>
      <c r="C24" s="48"/>
      <c r="D24" s="48"/>
      <c r="E24" s="48"/>
      <c r="F24" s="49">
        <f>IFERROR((F9/B9)-1,0)</f>
        <v>0.17469608284556504</v>
      </c>
      <c r="G24" s="48">
        <f t="shared" ref="G24:H24" si="41">IFERROR((G9/C9)-1,0)</f>
        <v>0.24519436138402395</v>
      </c>
      <c r="H24" s="48">
        <f t="shared" si="41"/>
        <v>0.30183946488294322</v>
      </c>
      <c r="I24" s="48">
        <f>IFERROR((I9/E9)-1,0)</f>
        <v>0.37200956937799057</v>
      </c>
      <c r="J24" s="49">
        <f>IFERROR((J9/F9)-1,0)</f>
        <v>0.44116519739363746</v>
      </c>
      <c r="K24" s="48">
        <f t="shared" ref="K24:M24" si="42">IFERROR((K9/G9)-1,0)</f>
        <v>0.32761578044596917</v>
      </c>
      <c r="L24" s="48">
        <f t="shared" si="42"/>
        <v>0.26525369299935786</v>
      </c>
      <c r="M24" s="48">
        <f t="shared" si="42"/>
        <v>0.15373437954083102</v>
      </c>
      <c r="N24" s="49">
        <f>IFERROR((N9/J9)-1,0)</f>
        <v>0.12765957446808507</v>
      </c>
      <c r="O24" s="48">
        <f>IFERROR((O9/K9)-1,0)</f>
        <v>0.19638242894056845</v>
      </c>
      <c r="P24" s="48">
        <f>IFERROR((P9/L9)-1,0)</f>
        <v>0.22081218274111669</v>
      </c>
      <c r="Q24" s="48">
        <f>IFERROR((Q9/M9)-1,0)</f>
        <v>0.30478589420654911</v>
      </c>
      <c r="R24" s="49">
        <f>IFERROR((R9/N9)-1,0)</f>
        <v>0.30660377358490565</v>
      </c>
      <c r="S24" s="48">
        <f>IFERROR((S9/O9)-1,0)</f>
        <v>0.31101511879049681</v>
      </c>
      <c r="T24" s="48">
        <f>IFERROR((T9/P9)-1,0)</f>
        <v>0.60914760914760913</v>
      </c>
      <c r="U24" s="48">
        <f>IFERROR((U9/Q9)-1,0)</f>
        <v>0.60424710424710426</v>
      </c>
      <c r="V24" s="49">
        <f>IFERROR((V9/R9)-1,0)</f>
        <v>0.55054151624548742</v>
      </c>
      <c r="W24" s="48">
        <f>IFERROR((W9/S9)-1,0)</f>
        <v>0.47940691927512358</v>
      </c>
    </row>
    <row r="25" spans="1:23" s="2" customFormat="1" x14ac:dyDescent="0.15">
      <c r="A25" s="60" t="s">
        <v>56</v>
      </c>
      <c r="B25" s="48"/>
      <c r="C25" s="48"/>
      <c r="D25" s="48"/>
      <c r="E25" s="48"/>
      <c r="F25" s="49">
        <f>IFERROR((F10/B10)-1,0)</f>
        <v>0.21563305740263261</v>
      </c>
      <c r="G25" s="48">
        <f t="shared" ref="G25:M25" si="43">IFERROR((G10/C10)-1,0)</f>
        <v>0.17804939516129026</v>
      </c>
      <c r="H25" s="48">
        <f t="shared" si="43"/>
        <v>0.21873473375671715</v>
      </c>
      <c r="I25" s="48">
        <f t="shared" si="43"/>
        <v>0.22340784005391456</v>
      </c>
      <c r="J25" s="49">
        <f t="shared" si="43"/>
        <v>0.23465059164992197</v>
      </c>
      <c r="K25" s="48">
        <f t="shared" si="43"/>
        <v>0.23328698256498015</v>
      </c>
      <c r="L25" s="48">
        <f t="shared" si="43"/>
        <v>0.16945585730033064</v>
      </c>
      <c r="M25" s="48">
        <f t="shared" si="43"/>
        <v>0.2522952625780388</v>
      </c>
      <c r="N25" s="49">
        <f>IFERROR((N10/J10)-1,0)</f>
        <v>0.20162748643761308</v>
      </c>
      <c r="O25" s="48">
        <f>IFERROR((O10/K10)-1,0)</f>
        <v>0.30442324371205554</v>
      </c>
      <c r="P25" s="48">
        <f>IFERROR((P10/L10)-1,0)</f>
        <v>0.36075407026563844</v>
      </c>
      <c r="Q25" s="48">
        <f>IFERROR((Q10/M10)-1,0)</f>
        <v>0.20454545454545459</v>
      </c>
      <c r="R25" s="49">
        <f>IFERROR((R10/N10)-1,0)</f>
        <v>0.27689992475545533</v>
      </c>
      <c r="S25" s="48">
        <f>IFERROR((S10/O10)-1,0)</f>
        <v>0.2127659574468086</v>
      </c>
      <c r="T25" s="48">
        <f>IFERROR((T10/P10)-1,0)</f>
        <v>0.29911838790931999</v>
      </c>
      <c r="U25" s="48">
        <f>IFERROR((U10/Q10)-1,0)</f>
        <v>0.42787583688374919</v>
      </c>
      <c r="V25" s="49">
        <f>IFERROR((V10/R10)-1,0)</f>
        <v>0.40836770771950492</v>
      </c>
      <c r="W25" s="48">
        <f>IFERROR((W10/S10)-1,0)</f>
        <v>0.24725877192982448</v>
      </c>
    </row>
    <row r="26" spans="1:23" s="2" customFormat="1" x14ac:dyDescent="0.15">
      <c r="A26" s="60" t="s">
        <v>57</v>
      </c>
      <c r="B26" s="48"/>
      <c r="C26" s="48"/>
      <c r="D26" s="48"/>
      <c r="E26" s="48"/>
      <c r="F26" s="49">
        <f>IFERROR((F11/B11)-1,0)</f>
        <v>0.51436781609195381</v>
      </c>
      <c r="G26" s="48">
        <f t="shared" ref="G26:M26" si="44">IFERROR((G11/C11)-1,0)</f>
        <v>0.38766519823788559</v>
      </c>
      <c r="H26" s="48">
        <f t="shared" si="44"/>
        <v>0.32066381156316903</v>
      </c>
      <c r="I26" s="48">
        <f t="shared" si="44"/>
        <v>0.2648357037763609</v>
      </c>
      <c r="J26" s="49">
        <f>IFERROR((J11/F11)-1,0)</f>
        <v>0.23481973434535108</v>
      </c>
      <c r="K26" s="48">
        <f t="shared" si="44"/>
        <v>0.12261904761904763</v>
      </c>
      <c r="L26" s="48">
        <f t="shared" si="44"/>
        <v>9.6878800162140344E-2</v>
      </c>
      <c r="M26" s="48">
        <f t="shared" si="44"/>
        <v>6.2427297402093851E-2</v>
      </c>
      <c r="N26" s="49">
        <f>IFERROR((N11/J11)-1,0)</f>
        <v>0.13330772185939299</v>
      </c>
      <c r="O26" s="48">
        <f>IFERROR((O11/K11)-1,0)</f>
        <v>0.23718628490632732</v>
      </c>
      <c r="P26" s="48">
        <f>IFERROR((P11/L11)-1,0)</f>
        <v>0.26385809312638564</v>
      </c>
      <c r="Q26" s="48">
        <f>IFERROR((Q11/M11)-1,0)</f>
        <v>0.31021897810218979</v>
      </c>
      <c r="R26" s="49">
        <f>IFERROR((R11/N11)-1,0)</f>
        <v>0.22711864406779658</v>
      </c>
      <c r="S26" s="48">
        <f>IFERROR((S11/O11)-1,0)</f>
        <v>0.54571428571428582</v>
      </c>
      <c r="T26" s="48">
        <f>IFERROR((T11/P11)-1,0)</f>
        <v>0.39473684210526305</v>
      </c>
      <c r="U26" s="48">
        <f>IFERROR((U11/Q11)-1,0)</f>
        <v>0.36490250696378834</v>
      </c>
      <c r="V26" s="49">
        <f>IFERROR((V11/R11)-1,0)</f>
        <v>0.38674033149171261</v>
      </c>
      <c r="W26" s="48">
        <f>IFERROR((W11/S11)-1,0)</f>
        <v>-9.6118299445471345E-2</v>
      </c>
    </row>
    <row r="27" spans="1:23" x14ac:dyDescent="0.15">
      <c r="B27" s="35"/>
      <c r="C27" s="35"/>
      <c r="D27" s="35"/>
      <c r="E27" s="35"/>
      <c r="K27" s="35"/>
      <c r="L27" s="35"/>
      <c r="M27" s="35"/>
      <c r="O27" s="35"/>
      <c r="P27" s="35"/>
      <c r="Q27" s="35"/>
    </row>
    <row r="28" spans="1:23" x14ac:dyDescent="0.15">
      <c r="A28" s="60" t="s">
        <v>19</v>
      </c>
      <c r="B28" s="50">
        <f>IFERROR(B8/B6,0)</f>
        <v>0.74731965585704829</v>
      </c>
      <c r="C28" s="50">
        <f>IFERROR(C8/C6,0)</f>
        <v>0.75204943105346878</v>
      </c>
      <c r="D28" s="50">
        <f>IFERROR(D8/D6,0)</f>
        <v>0.75255563993223895</v>
      </c>
      <c r="E28" s="50">
        <f>IFERROR(E8/E6,0)</f>
        <v>0.75482230696954611</v>
      </c>
      <c r="F28" s="51">
        <f>IFERROR(F8/F6,0)</f>
        <v>0.7407252804591703</v>
      </c>
      <c r="G28" s="52">
        <f t="shared" ref="G28:L28" si="45">IFERROR(G8/G6,0)</f>
        <v>0.74195924380063838</v>
      </c>
      <c r="H28" s="52">
        <f t="shared" si="45"/>
        <v>0.72703534458640295</v>
      </c>
      <c r="I28" s="52">
        <f t="shared" si="45"/>
        <v>0.72714590871441642</v>
      </c>
      <c r="J28" s="51">
        <f t="shared" si="45"/>
        <v>0.72861910721735501</v>
      </c>
      <c r="K28" s="50">
        <f t="shared" si="45"/>
        <v>0.74000776096235932</v>
      </c>
      <c r="L28" s="50">
        <f t="shared" si="45"/>
        <v>0.73550536838208069</v>
      </c>
      <c r="M28" s="50">
        <f t="shared" ref="M28:N28" si="46">IFERROR(M8/M6,0)</f>
        <v>0.74114345843563667</v>
      </c>
      <c r="N28" s="51">
        <f t="shared" si="46"/>
        <v>0.74484364604125086</v>
      </c>
      <c r="O28" s="50">
        <f t="shared" ref="O28:P28" si="47">IFERROR(O8/O6,0)</f>
        <v>0.74123742761353251</v>
      </c>
      <c r="P28" s="50">
        <f t="shared" si="47"/>
        <v>0.73791273584905659</v>
      </c>
      <c r="Q28" s="50">
        <f t="shared" ref="Q28:S28" si="48">IFERROR(Q8/Q6,0)</f>
        <v>0.7374410213710797</v>
      </c>
      <c r="R28" s="51">
        <f t="shared" si="48"/>
        <v>0.75541878512175542</v>
      </c>
      <c r="S28" s="50">
        <f t="shared" si="48"/>
        <v>0.75806855141356022</v>
      </c>
      <c r="T28" s="50">
        <f t="shared" ref="T28:U28" si="49">IFERROR(T8/T6,0)</f>
        <v>0.74872590294704189</v>
      </c>
      <c r="U28" s="50">
        <f t="shared" si="49"/>
        <v>0.74850546279117702</v>
      </c>
      <c r="V28" s="51">
        <f t="shared" ref="V28:W28" si="50">IFERROR(V8/V6,0)</f>
        <v>0.74224049331963005</v>
      </c>
      <c r="W28" s="50">
        <f t="shared" si="50"/>
        <v>0.74548631333721604</v>
      </c>
    </row>
    <row r="29" spans="1:23" x14ac:dyDescent="0.15">
      <c r="A29" s="60" t="s">
        <v>20</v>
      </c>
      <c r="B29" s="53">
        <f>IFERROR(B13/B6,0)</f>
        <v>2.0516214427531435E-2</v>
      </c>
      <c r="C29" s="53">
        <f>IFERROR(C13/C6,0)</f>
        <v>1.223540927444023E-2</v>
      </c>
      <c r="D29" s="53">
        <f>IFERROR(D13/D6,0)</f>
        <v>2.5410362754833681E-2</v>
      </c>
      <c r="E29" s="53">
        <f>IFERROR(E13/E6,0)</f>
        <v>1.1440888741502139E-2</v>
      </c>
      <c r="F29" s="54">
        <f>IFERROR(F13/F6,0)</f>
        <v>2.7184972606313664E-2</v>
      </c>
      <c r="G29" s="55">
        <f t="shared" ref="G29:L29" si="51">IFERROR(G13/G6,0)</f>
        <v>1.6007856616744368E-2</v>
      </c>
      <c r="H29" s="55">
        <f t="shared" si="51"/>
        <v>1.4921197426092595E-3</v>
      </c>
      <c r="I29" s="55">
        <f t="shared" si="51"/>
        <v>-1.0113780025284569E-2</v>
      </c>
      <c r="J29" s="54">
        <f t="shared" si="51"/>
        <v>1.7521902377972654E-3</v>
      </c>
      <c r="K29" s="53">
        <f t="shared" si="51"/>
        <v>3.2634846720993371E-2</v>
      </c>
      <c r="L29" s="53">
        <f t="shared" si="51"/>
        <v>5.7386153276564232E-2</v>
      </c>
      <c r="M29" s="53">
        <f t="shared" ref="M29:N29" si="52">IFERROR(M13/M6,0)</f>
        <v>2.7358821466152226E-2</v>
      </c>
      <c r="N29" s="54">
        <f t="shared" si="52"/>
        <v>6.35395874916833E-2</v>
      </c>
      <c r="O29" s="53">
        <f t="shared" ref="O29:P29" si="53">IFERROR(O13/O6,0)</f>
        <v>3.505028954587016E-2</v>
      </c>
      <c r="P29" s="53">
        <f t="shared" si="53"/>
        <v>2.7122641509433963E-2</v>
      </c>
      <c r="Q29" s="53">
        <f t="shared" ref="Q29:S29" si="54">IFERROR(Q13/Q6,0)</f>
        <v>3.8023868998057174E-2</v>
      </c>
      <c r="R29" s="54">
        <f t="shared" si="54"/>
        <v>5.6194808670056197E-2</v>
      </c>
      <c r="S29" s="53">
        <f t="shared" si="54"/>
        <v>1.451088316237178E-2</v>
      </c>
      <c r="T29" s="53">
        <f t="shared" ref="T29:U29" si="55">IFERROR(T13/T6,0)</f>
        <v>1.4402836250830933E-2</v>
      </c>
      <c r="U29" s="53">
        <f t="shared" si="55"/>
        <v>-7.4211502782931356E-3</v>
      </c>
      <c r="V29" s="54">
        <f t="shared" ref="V29:W29" si="56">IFERROR(V13/V6,0)</f>
        <v>-2.8776978417266189E-2</v>
      </c>
      <c r="W29" s="53">
        <f t="shared" si="56"/>
        <v>3.4556396816152204E-2</v>
      </c>
    </row>
    <row r="30" spans="1:23" x14ac:dyDescent="0.15">
      <c r="A30" s="60" t="s">
        <v>21</v>
      </c>
      <c r="B30" s="53">
        <f>IFERROR(B16/B15,0)</f>
        <v>0.77222222222222225</v>
      </c>
      <c r="C30" s="53">
        <f t="shared" ref="C30" si="57">IFERROR(C16/C15,0)</f>
        <v>1.0985915492957747</v>
      </c>
      <c r="D30" s="53">
        <f t="shared" ref="D30:E30" si="58">IFERROR(D16/D15,0)</f>
        <v>1.5747126436781691</v>
      </c>
      <c r="E30" s="53">
        <f t="shared" si="58"/>
        <v>-5.3249999999997639</v>
      </c>
      <c r="F30" s="54">
        <f>IFERROR(F16/F15,0)</f>
        <v>-4.3010752688171894E-2</v>
      </c>
      <c r="G30" s="55">
        <f>IFERROR(G16/G15,0)</f>
        <v>-8.4485596707819237</v>
      </c>
      <c r="H30" s="55">
        <f>IFERROR(H16/H15,0)</f>
        <v>-1.9759999999999713</v>
      </c>
      <c r="I30" s="55">
        <f t="shared" ref="I30:L30" si="59">IFERROR(I16/I15,0)</f>
        <v>-1.1923076923076783</v>
      </c>
      <c r="J30" s="54">
        <f t="shared" si="59"/>
        <v>1.122448979591842</v>
      </c>
      <c r="K30" s="53">
        <f t="shared" si="59"/>
        <v>0.26941362916006378</v>
      </c>
      <c r="L30" s="53">
        <f t="shared" si="59"/>
        <v>0.26712328767123289</v>
      </c>
      <c r="M30" s="53">
        <f>IFERROR(M16/M15,0)</f>
        <v>0.23863636363636365</v>
      </c>
      <c r="N30" s="54">
        <f t="shared" ref="N30" si="60">IFERROR(N16/N15,0)</f>
        <v>0.10649350649350649</v>
      </c>
      <c r="O30" s="53">
        <f t="shared" ref="O30:P30" si="61">IFERROR(O16/O15,0)</f>
        <v>-0.2943722943722944</v>
      </c>
      <c r="P30" s="53">
        <f t="shared" si="61"/>
        <v>0.1796875</v>
      </c>
      <c r="Q30" s="53">
        <f t="shared" ref="Q30:S30" si="62">IFERROR(Q16/Q15,0)</f>
        <v>-0.5146443514644351</v>
      </c>
      <c r="R30" s="54">
        <f t="shared" si="62"/>
        <v>0.18672199170124482</v>
      </c>
      <c r="S30" s="53">
        <f t="shared" si="62"/>
        <v>0.4451219512195122</v>
      </c>
      <c r="T30" s="53">
        <f t="shared" ref="T30:U30" si="63">IFERROR(T16/T15,0)</f>
        <v>2.703125</v>
      </c>
      <c r="U30" s="53">
        <f t="shared" si="63"/>
        <v>-61</v>
      </c>
      <c r="V30" s="54">
        <f t="shared" ref="V30:W30" si="64">IFERROR(V16/V15,0)</f>
        <v>-1.1063829787234043</v>
      </c>
      <c r="W30" s="53">
        <f t="shared" si="64"/>
        <v>0.22</v>
      </c>
    </row>
    <row r="31" spans="1:23" x14ac:dyDescent="0.15">
      <c r="B31" s="35"/>
      <c r="C31" s="35"/>
      <c r="D31" s="35"/>
      <c r="E31" s="35"/>
      <c r="K31" s="35"/>
      <c r="L31" s="35"/>
      <c r="M31" s="35"/>
      <c r="O31" s="35"/>
      <c r="P31" s="35"/>
      <c r="Q31" s="35"/>
    </row>
    <row r="32" spans="1:23" s="62" customFormat="1" x14ac:dyDescent="0.15">
      <c r="A32" s="84" t="s">
        <v>26</v>
      </c>
      <c r="B32" s="56"/>
      <c r="C32" s="56"/>
      <c r="D32" s="56"/>
      <c r="E32" s="37">
        <f>E33-E34</f>
        <v>1637.1999999999998</v>
      </c>
      <c r="F32" s="38">
        <f>F33-F34</f>
        <v>2620.2000000000003</v>
      </c>
      <c r="G32" s="39">
        <f t="shared" ref="G32:K32" si="65">G33-G34</f>
        <v>617.70000000000027</v>
      </c>
      <c r="H32" s="39">
        <f t="shared" si="65"/>
        <v>641.79999999999995</v>
      </c>
      <c r="I32" s="39">
        <f t="shared" si="65"/>
        <v>1092.5000000000002</v>
      </c>
      <c r="J32" s="38">
        <f t="shared" si="65"/>
        <v>2096</v>
      </c>
      <c r="K32" s="37">
        <f t="shared" si="65"/>
        <v>2370.5</v>
      </c>
      <c r="L32" s="37">
        <f t="shared" ref="L32:W32" si="66">L33-L34</f>
        <v>2490.7000000000003</v>
      </c>
      <c r="M32" s="37">
        <f t="shared" si="66"/>
        <v>3478</v>
      </c>
      <c r="N32" s="38">
        <f t="shared" si="66"/>
        <v>5008</v>
      </c>
      <c r="O32" s="37">
        <f t="shared" si="66"/>
        <v>953</v>
      </c>
      <c r="P32" s="37">
        <f t="shared" si="66"/>
        <v>1025</v>
      </c>
      <c r="Q32" s="37">
        <f t="shared" si="66"/>
        <v>2468</v>
      </c>
      <c r="R32" s="38">
        <f t="shared" ref="R32" si="67">R33-R34</f>
        <v>4754</v>
      </c>
      <c r="S32" s="37">
        <f t="shared" si="66"/>
        <v>4683</v>
      </c>
      <c r="T32" s="37">
        <f t="shared" si="66"/>
        <v>5465</v>
      </c>
      <c r="U32" s="37">
        <f t="shared" si="66"/>
        <v>7237</v>
      </c>
      <c r="V32" s="38">
        <f t="shared" si="66"/>
        <v>9031</v>
      </c>
      <c r="W32" s="37">
        <f t="shared" si="66"/>
        <v>9165</v>
      </c>
    </row>
    <row r="33" spans="1:23" s="7" customFormat="1" x14ac:dyDescent="0.15">
      <c r="A33" s="82" t="s">
        <v>27</v>
      </c>
      <c r="B33" s="36"/>
      <c r="C33" s="36"/>
      <c r="D33" s="36"/>
      <c r="E33" s="36">
        <f>1158.3+183+1383.9</f>
        <v>2725.2</v>
      </c>
      <c r="F33" s="29">
        <f>1799+232.1+1684.2</f>
        <v>3715.3</v>
      </c>
      <c r="G33" s="36">
        <f>1115.2+59+545.6</f>
        <v>1719.8000000000002</v>
      </c>
      <c r="H33" s="36">
        <f>1145.7+55+550.3</f>
        <v>1751</v>
      </c>
      <c r="I33" s="36">
        <f>1606.5+602.3</f>
        <v>2208.8000000000002</v>
      </c>
      <c r="J33" s="29">
        <f>2024.9+1194.6</f>
        <v>3219.5</v>
      </c>
      <c r="K33" s="36">
        <f>1949.1+1552.1</f>
        <v>3501.2</v>
      </c>
      <c r="L33" s="36">
        <f>2071.8+1556.8</f>
        <v>3628.6000000000004</v>
      </c>
      <c r="M33" s="36">
        <f>2543+1978+677</f>
        <v>5198</v>
      </c>
      <c r="N33" s="29">
        <f>5922+1237+1024</f>
        <v>8183</v>
      </c>
      <c r="O33" s="36">
        <f>2319+1108+1202</f>
        <v>4629</v>
      </c>
      <c r="P33" s="36">
        <f>2105+1345+1251</f>
        <v>4701</v>
      </c>
      <c r="Q33" s="36">
        <f>2669+1673+1302</f>
        <v>5644</v>
      </c>
      <c r="R33" s="29">
        <f>4110+2269+1548</f>
        <v>7927</v>
      </c>
      <c r="S33" s="24">
        <f>3510+2532+1614</f>
        <v>7656</v>
      </c>
      <c r="T33" s="24">
        <f>3868+2661+1760</f>
        <v>8289</v>
      </c>
      <c r="U33" s="24">
        <f>4145+3802+1963</f>
        <v>9910</v>
      </c>
      <c r="V33" s="61">
        <f>5772+4030+1902</f>
        <v>11704</v>
      </c>
      <c r="W33" s="7">
        <f>4052+5231+2555</f>
        <v>11838</v>
      </c>
    </row>
    <row r="34" spans="1:23" s="7" customFormat="1" x14ac:dyDescent="0.15">
      <c r="A34" s="82" t="s">
        <v>28</v>
      </c>
      <c r="B34" s="36"/>
      <c r="C34" s="36"/>
      <c r="D34" s="36"/>
      <c r="E34" s="36">
        <v>1088</v>
      </c>
      <c r="F34" s="29">
        <v>1095.0999999999999</v>
      </c>
      <c r="G34" s="36">
        <v>1102.0999999999999</v>
      </c>
      <c r="H34" s="36">
        <v>1109.2</v>
      </c>
      <c r="I34" s="36">
        <v>1116.3</v>
      </c>
      <c r="J34" s="29">
        <f>1123.5+0</f>
        <v>1123.5</v>
      </c>
      <c r="K34" s="36">
        <f>1130.7+0</f>
        <v>1130.7</v>
      </c>
      <c r="L34" s="36">
        <f>1137.9+0</f>
        <v>1137.9000000000001</v>
      </c>
      <c r="M34" s="36">
        <f>1025+695</f>
        <v>1720</v>
      </c>
      <c r="N34" s="29">
        <f>3+3172</f>
        <v>3175</v>
      </c>
      <c r="O34" s="36">
        <f>503+3173</f>
        <v>3676</v>
      </c>
      <c r="P34" s="36">
        <f>503+3173</f>
        <v>3676</v>
      </c>
      <c r="Q34" s="36">
        <f>3+3173</f>
        <v>3176</v>
      </c>
      <c r="R34" s="29">
        <v>3173</v>
      </c>
      <c r="S34" s="24">
        <v>2973</v>
      </c>
      <c r="T34" s="24">
        <v>2824</v>
      </c>
      <c r="U34" s="24">
        <v>2673</v>
      </c>
      <c r="V34" s="61">
        <v>2673</v>
      </c>
      <c r="W34" s="7">
        <v>2673</v>
      </c>
    </row>
    <row r="35" spans="1:23" x14ac:dyDescent="0.15">
      <c r="B35" s="36"/>
      <c r="C35" s="36"/>
      <c r="D35" s="36"/>
      <c r="E35" s="36"/>
      <c r="F35" s="29"/>
      <c r="G35" s="36"/>
      <c r="H35" s="36"/>
      <c r="I35" s="36"/>
      <c r="J35" s="29"/>
      <c r="K35" s="36"/>
      <c r="L35" s="36"/>
      <c r="M35" s="36"/>
      <c r="N35" s="29"/>
      <c r="O35" s="36"/>
      <c r="P35" s="36"/>
      <c r="Q35" s="36"/>
      <c r="R35" s="29"/>
    </row>
    <row r="36" spans="1:23" s="7" customFormat="1" x14ac:dyDescent="0.15">
      <c r="A36" s="82" t="s">
        <v>69</v>
      </c>
      <c r="B36" s="36"/>
      <c r="C36" s="36"/>
      <c r="D36" s="36"/>
      <c r="E36" s="36"/>
      <c r="F36" s="29"/>
      <c r="G36" s="36"/>
      <c r="H36" s="36"/>
      <c r="I36" s="36"/>
      <c r="J36" s="29"/>
      <c r="K36" s="36"/>
      <c r="L36" s="36"/>
      <c r="M36" s="36">
        <f>7314+826</f>
        <v>8140</v>
      </c>
      <c r="N36" s="29">
        <f>7444+815</f>
        <v>8259</v>
      </c>
      <c r="O36" s="36">
        <f>12254+1976</f>
        <v>14230</v>
      </c>
      <c r="P36" s="36">
        <f>12848+2053</f>
        <v>14901</v>
      </c>
      <c r="Q36" s="36">
        <f>12851+1923</f>
        <v>14774</v>
      </c>
      <c r="R36" s="29">
        <f>12854+1794</f>
        <v>14648</v>
      </c>
      <c r="S36" s="24">
        <f>13199+1725</f>
        <v>14924</v>
      </c>
      <c r="T36" s="24">
        <f>25022+4987</f>
        <v>30009</v>
      </c>
      <c r="U36" s="24">
        <f>25134+4724</f>
        <v>29858</v>
      </c>
      <c r="V36" s="61">
        <f>25266+4488</f>
        <v>29754</v>
      </c>
      <c r="W36" s="7">
        <f>26301+4676</f>
        <v>30977</v>
      </c>
    </row>
    <row r="37" spans="1:23" s="7" customFormat="1" x14ac:dyDescent="0.15">
      <c r="A37" s="82" t="s">
        <v>70</v>
      </c>
      <c r="B37" s="36"/>
      <c r="C37" s="36"/>
      <c r="D37" s="36"/>
      <c r="E37" s="36"/>
      <c r="F37" s="29"/>
      <c r="G37" s="36"/>
      <c r="H37" s="36"/>
      <c r="I37" s="36"/>
      <c r="J37" s="29"/>
      <c r="K37" s="36"/>
      <c r="L37" s="36"/>
      <c r="M37" s="36">
        <v>21010</v>
      </c>
      <c r="N37" s="29">
        <v>22963</v>
      </c>
      <c r="O37" s="36">
        <v>25823</v>
      </c>
      <c r="P37" s="36">
        <f>26588</f>
        <v>26588</v>
      </c>
      <c r="Q37" s="36">
        <v>30737</v>
      </c>
      <c r="R37" s="29">
        <v>33154</v>
      </c>
      <c r="S37" s="24">
        <v>33336</v>
      </c>
      <c r="T37" s="24">
        <v>49942</v>
      </c>
      <c r="U37" s="24">
        <v>55126</v>
      </c>
      <c r="V37" s="61">
        <v>53623</v>
      </c>
      <c r="W37" s="7">
        <v>57780</v>
      </c>
    </row>
    <row r="38" spans="1:23" s="7" customFormat="1" x14ac:dyDescent="0.15">
      <c r="A38" s="82" t="s">
        <v>71</v>
      </c>
      <c r="B38" s="36"/>
      <c r="C38" s="36"/>
      <c r="D38" s="36"/>
      <c r="E38" s="36"/>
      <c r="F38" s="29"/>
      <c r="G38" s="36"/>
      <c r="H38" s="36"/>
      <c r="I38" s="36"/>
      <c r="J38" s="29"/>
      <c r="K38" s="36"/>
      <c r="L38" s="36"/>
      <c r="M38" s="36">
        <v>11617</v>
      </c>
      <c r="N38" s="29">
        <v>11903</v>
      </c>
      <c r="O38" s="36">
        <v>12295</v>
      </c>
      <c r="P38" s="36">
        <v>11895</v>
      </c>
      <c r="Q38" s="36">
        <v>15132</v>
      </c>
      <c r="R38" s="29">
        <v>16708</v>
      </c>
      <c r="S38" s="24">
        <v>16170</v>
      </c>
      <c r="T38" s="24">
        <v>16663</v>
      </c>
      <c r="U38" s="24">
        <v>21241</v>
      </c>
      <c r="V38" s="61">
        <v>19058</v>
      </c>
      <c r="W38" s="7">
        <v>19340</v>
      </c>
    </row>
    <row r="39" spans="1:23" s="7" customFormat="1" x14ac:dyDescent="0.15">
      <c r="A39" s="82"/>
      <c r="B39" s="36"/>
      <c r="C39" s="36"/>
      <c r="D39" s="36"/>
      <c r="E39" s="36"/>
      <c r="F39" s="29"/>
      <c r="G39" s="36"/>
      <c r="H39" s="36"/>
      <c r="I39" s="36"/>
      <c r="J39" s="29"/>
      <c r="K39" s="36"/>
      <c r="L39" s="36"/>
      <c r="M39" s="36"/>
      <c r="N39" s="29"/>
      <c r="O39" s="36"/>
      <c r="P39" s="36"/>
      <c r="Q39" s="36"/>
      <c r="R39" s="29"/>
      <c r="S39" s="24"/>
      <c r="T39" s="24"/>
      <c r="U39" s="24"/>
      <c r="V39" s="61"/>
    </row>
    <row r="40" spans="1:23" s="7" customFormat="1" x14ac:dyDescent="0.15">
      <c r="A40" s="82" t="s">
        <v>72</v>
      </c>
      <c r="B40" s="36"/>
      <c r="C40" s="36"/>
      <c r="D40" s="36"/>
      <c r="E40" s="36"/>
      <c r="F40" s="29"/>
      <c r="G40" s="36"/>
      <c r="H40" s="36"/>
      <c r="I40" s="36"/>
      <c r="J40" s="29"/>
      <c r="K40" s="36"/>
      <c r="L40" s="36"/>
      <c r="M40" s="42">
        <f t="shared" ref="M40:R40" si="68">M37-M36-M33</f>
        <v>7672</v>
      </c>
      <c r="N40" s="43">
        <f t="shared" si="68"/>
        <v>6521</v>
      </c>
      <c r="O40" s="42">
        <f t="shared" si="68"/>
        <v>6964</v>
      </c>
      <c r="P40" s="42">
        <f t="shared" si="68"/>
        <v>6986</v>
      </c>
      <c r="Q40" s="42">
        <f t="shared" si="68"/>
        <v>10319</v>
      </c>
      <c r="R40" s="43">
        <f t="shared" si="68"/>
        <v>10579</v>
      </c>
      <c r="S40" s="42">
        <f t="shared" ref="S40:T40" si="69">S37-S36-S33</f>
        <v>10756</v>
      </c>
      <c r="T40" s="42">
        <f t="shared" si="69"/>
        <v>11644</v>
      </c>
      <c r="U40" s="42">
        <f t="shared" ref="U40:W40" si="70">U37-U36-U33</f>
        <v>15358</v>
      </c>
      <c r="V40" s="43">
        <f t="shared" si="70"/>
        <v>12165</v>
      </c>
      <c r="W40" s="42">
        <f t="shared" si="70"/>
        <v>14965</v>
      </c>
    </row>
    <row r="41" spans="1:23" s="7" customFormat="1" x14ac:dyDescent="0.15">
      <c r="A41" s="82" t="s">
        <v>73</v>
      </c>
      <c r="B41" s="36"/>
      <c r="C41" s="36"/>
      <c r="D41" s="36"/>
      <c r="E41" s="36"/>
      <c r="F41" s="29"/>
      <c r="G41" s="36"/>
      <c r="H41" s="36"/>
      <c r="I41" s="36"/>
      <c r="J41" s="29"/>
      <c r="K41" s="36"/>
      <c r="L41" s="36"/>
      <c r="M41" s="42">
        <f t="shared" ref="M41:R41" si="71">M37-M38</f>
        <v>9393</v>
      </c>
      <c r="N41" s="43">
        <f t="shared" si="71"/>
        <v>11060</v>
      </c>
      <c r="O41" s="42">
        <f t="shared" si="71"/>
        <v>13528</v>
      </c>
      <c r="P41" s="42">
        <f t="shared" si="71"/>
        <v>14693</v>
      </c>
      <c r="Q41" s="42">
        <f t="shared" si="71"/>
        <v>15605</v>
      </c>
      <c r="R41" s="43">
        <f t="shared" si="71"/>
        <v>16446</v>
      </c>
      <c r="S41" s="42">
        <f t="shared" ref="S41:T41" si="72">S37-S38</f>
        <v>17166</v>
      </c>
      <c r="T41" s="42">
        <f t="shared" si="72"/>
        <v>33279</v>
      </c>
      <c r="U41" s="42">
        <f t="shared" ref="U41:W41" si="73">U37-U38</f>
        <v>33885</v>
      </c>
      <c r="V41" s="43">
        <f t="shared" si="73"/>
        <v>34565</v>
      </c>
      <c r="W41" s="42">
        <f t="shared" si="73"/>
        <v>38440</v>
      </c>
    </row>
    <row r="42" spans="1:23" s="7" customFormat="1" x14ac:dyDescent="0.15">
      <c r="A42" s="82"/>
      <c r="B42" s="36"/>
      <c r="C42" s="36"/>
      <c r="D42" s="36"/>
      <c r="E42" s="36"/>
      <c r="F42" s="29"/>
      <c r="G42" s="36"/>
      <c r="H42" s="36"/>
      <c r="I42" s="36"/>
      <c r="J42" s="29"/>
      <c r="K42" s="36"/>
      <c r="L42" s="36"/>
      <c r="M42" s="36"/>
      <c r="N42" s="29"/>
      <c r="O42" s="36"/>
      <c r="P42" s="36"/>
      <c r="Q42" s="36"/>
      <c r="R42" s="29"/>
      <c r="S42" s="24"/>
      <c r="T42" s="24"/>
      <c r="U42" s="24"/>
      <c r="V42" s="61"/>
    </row>
    <row r="43" spans="1:23" s="62" customFormat="1" x14ac:dyDescent="0.15">
      <c r="A43" s="84" t="s">
        <v>78</v>
      </c>
      <c r="B43" s="56"/>
      <c r="C43" s="56"/>
      <c r="D43" s="56"/>
      <c r="E43" s="56"/>
      <c r="F43" s="57"/>
      <c r="G43" s="56"/>
      <c r="H43" s="56"/>
      <c r="I43" s="56"/>
      <c r="J43" s="57"/>
      <c r="K43" s="56"/>
      <c r="L43" s="56"/>
      <c r="M43" s="37">
        <f t="shared" ref="M43:W43" si="74">SUM(J18:M18)</f>
        <v>221.29999999999995</v>
      </c>
      <c r="N43" s="38">
        <f t="shared" si="74"/>
        <v>564.09999999999991</v>
      </c>
      <c r="O43" s="37">
        <f t="shared" si="74"/>
        <v>817</v>
      </c>
      <c r="P43" s="37">
        <f t="shared" si="74"/>
        <v>815</v>
      </c>
      <c r="Q43" s="37">
        <f t="shared" si="74"/>
        <v>1110</v>
      </c>
      <c r="R43" s="38">
        <f t="shared" si="74"/>
        <v>1158</v>
      </c>
      <c r="S43" s="37">
        <f t="shared" si="74"/>
        <v>950</v>
      </c>
      <c r="T43" s="37">
        <f t="shared" si="74"/>
        <v>736</v>
      </c>
      <c r="U43" s="37">
        <f t="shared" si="74"/>
        <v>126</v>
      </c>
      <c r="V43" s="38">
        <f t="shared" si="74"/>
        <v>-167</v>
      </c>
      <c r="W43" s="37">
        <f t="shared" si="74"/>
        <v>396.41999999999996</v>
      </c>
    </row>
    <row r="44" spans="1:23" x14ac:dyDescent="0.15">
      <c r="A44" s="60" t="s">
        <v>74</v>
      </c>
      <c r="B44" s="36"/>
      <c r="C44" s="36"/>
      <c r="D44" s="36"/>
      <c r="E44" s="36"/>
      <c r="F44" s="29"/>
      <c r="G44" s="36"/>
      <c r="H44" s="36"/>
      <c r="I44" s="36"/>
      <c r="J44" s="29"/>
      <c r="K44" s="36"/>
      <c r="L44" s="36"/>
      <c r="M44" s="50">
        <f t="shared" ref="M44:V44" si="75">M43/M41</f>
        <v>2.3560097945278392E-2</v>
      </c>
      <c r="N44" s="51">
        <f t="shared" si="75"/>
        <v>5.1003616636528019E-2</v>
      </c>
      <c r="O44" s="50">
        <f t="shared" si="75"/>
        <v>6.0393258426966294E-2</v>
      </c>
      <c r="P44" s="50">
        <f t="shared" si="75"/>
        <v>5.546859048526509E-2</v>
      </c>
      <c r="Q44" s="50">
        <f t="shared" si="75"/>
        <v>7.1131047741108622E-2</v>
      </c>
      <c r="R44" s="51">
        <f t="shared" si="75"/>
        <v>7.0412258299890548E-2</v>
      </c>
      <c r="S44" s="50">
        <f t="shared" si="75"/>
        <v>5.5341955027379701E-2</v>
      </c>
      <c r="T44" s="50">
        <f t="shared" si="75"/>
        <v>2.2116049160131015E-2</v>
      </c>
      <c r="U44" s="50">
        <f t="shared" si="75"/>
        <v>3.7184594953519256E-3</v>
      </c>
      <c r="V44" s="51">
        <f t="shared" si="75"/>
        <v>-4.8314769275278457E-3</v>
      </c>
      <c r="W44" s="50">
        <f t="shared" ref="W44" si="76">W43/W41</f>
        <v>1.0312695109261185E-2</v>
      </c>
    </row>
    <row r="45" spans="1:23" x14ac:dyDescent="0.15">
      <c r="A45" s="60" t="s">
        <v>75</v>
      </c>
      <c r="B45" s="36"/>
      <c r="C45" s="36"/>
      <c r="D45" s="36"/>
      <c r="E45" s="36"/>
      <c r="F45" s="29"/>
      <c r="G45" s="36"/>
      <c r="H45" s="36"/>
      <c r="I45" s="36"/>
      <c r="J45" s="29"/>
      <c r="K45" s="36"/>
      <c r="L45" s="36"/>
      <c r="M45" s="50">
        <f t="shared" ref="M45:R45" si="77">M43/M37</f>
        <v>1.0533079485959065E-2</v>
      </c>
      <c r="N45" s="51">
        <f t="shared" si="77"/>
        <v>2.4565605539345902E-2</v>
      </c>
      <c r="O45" s="50">
        <f t="shared" si="77"/>
        <v>3.1638461836347442E-2</v>
      </c>
      <c r="P45" s="50">
        <f t="shared" si="77"/>
        <v>3.0652926132089666E-2</v>
      </c>
      <c r="Q45" s="50">
        <f t="shared" si="77"/>
        <v>3.6112828187526431E-2</v>
      </c>
      <c r="R45" s="51">
        <f t="shared" si="77"/>
        <v>3.4927912167460939E-2</v>
      </c>
      <c r="S45" s="50">
        <f t="shared" ref="S45:T45" si="78">S43/S37</f>
        <v>2.849772018238541E-2</v>
      </c>
      <c r="T45" s="50">
        <f t="shared" si="78"/>
        <v>1.4737095030235074E-2</v>
      </c>
      <c r="U45" s="50">
        <f t="shared" ref="U45:W45" si="79">U43/U37</f>
        <v>2.2856728222617278E-3</v>
      </c>
      <c r="V45" s="51">
        <f t="shared" si="79"/>
        <v>-3.1143352665833693E-3</v>
      </c>
      <c r="W45" s="50">
        <f t="shared" si="79"/>
        <v>6.8608515057113177E-3</v>
      </c>
    </row>
    <row r="46" spans="1:23" x14ac:dyDescent="0.15">
      <c r="A46" s="60" t="s">
        <v>76</v>
      </c>
      <c r="B46" s="36"/>
      <c r="C46" s="36"/>
      <c r="D46" s="36"/>
      <c r="E46" s="36"/>
      <c r="F46" s="29"/>
      <c r="G46" s="36"/>
      <c r="H46" s="36"/>
      <c r="I46" s="36"/>
      <c r="J46" s="29"/>
      <c r="K46" s="36"/>
      <c r="L46" s="36"/>
      <c r="M46" s="50">
        <f t="shared" ref="M46:R46" si="80">M43/(M41-M36)</f>
        <v>0.1766161213088587</v>
      </c>
      <c r="N46" s="51">
        <f t="shared" si="80"/>
        <v>0.20139235987147444</v>
      </c>
      <c r="O46" s="50">
        <f t="shared" si="80"/>
        <v>-1.1638176638176638</v>
      </c>
      <c r="P46" s="50">
        <f>P43/(P41-P36)</f>
        <v>-3.9182692307692308</v>
      </c>
      <c r="Q46" s="50">
        <f t="shared" si="80"/>
        <v>1.3357400722021662</v>
      </c>
      <c r="R46" s="51">
        <f t="shared" si="80"/>
        <v>0.64404894327030038</v>
      </c>
      <c r="S46" s="50">
        <f t="shared" ref="S46:T46" si="81">S43/(S41-S36)</f>
        <v>0.42372881355932202</v>
      </c>
      <c r="T46" s="50">
        <f t="shared" si="81"/>
        <v>0.22507645259938838</v>
      </c>
      <c r="U46" s="50">
        <f t="shared" ref="U46:W46" si="82">U43/(U41-U36)</f>
        <v>3.1288800595977155E-2</v>
      </c>
      <c r="V46" s="51">
        <f t="shared" si="82"/>
        <v>-3.4712118062772815E-2</v>
      </c>
      <c r="W46" s="50">
        <f t="shared" si="82"/>
        <v>5.311804904194023E-2</v>
      </c>
    </row>
    <row r="47" spans="1:23" x14ac:dyDescent="0.15">
      <c r="A47" s="60" t="s">
        <v>77</v>
      </c>
      <c r="B47" s="36"/>
      <c r="C47" s="36"/>
      <c r="D47" s="36"/>
      <c r="E47" s="36"/>
      <c r="F47" s="29"/>
      <c r="G47" s="36"/>
      <c r="H47" s="36"/>
      <c r="I47" s="36"/>
      <c r="J47" s="29"/>
      <c r="K47" s="36"/>
      <c r="L47" s="36"/>
      <c r="M47" s="50">
        <f t="shared" ref="M47:R47" si="83">M43/M40</f>
        <v>2.8845151199165791E-2</v>
      </c>
      <c r="N47" s="51">
        <f t="shared" si="83"/>
        <v>8.6505137248888198E-2</v>
      </c>
      <c r="O47" s="50">
        <f t="shared" si="83"/>
        <v>0.11731763354394026</v>
      </c>
      <c r="P47" s="50">
        <f t="shared" si="83"/>
        <v>0.11666189521900945</v>
      </c>
      <c r="Q47" s="50">
        <f t="shared" si="83"/>
        <v>0.10756856284523694</v>
      </c>
      <c r="R47" s="51">
        <f t="shared" si="83"/>
        <v>0.10946214197939313</v>
      </c>
      <c r="S47" s="50">
        <f t="shared" ref="S47:T47" si="84">S43/S40</f>
        <v>8.8322796578653773E-2</v>
      </c>
      <c r="T47" s="50">
        <f t="shared" si="84"/>
        <v>6.3208519409137756E-2</v>
      </c>
      <c r="U47" s="50">
        <f t="shared" ref="U47:W47" si="85">U43/U40</f>
        <v>8.2041932543299913E-3</v>
      </c>
      <c r="V47" s="51">
        <f t="shared" si="85"/>
        <v>-1.3727907932593505E-2</v>
      </c>
      <c r="W47" s="50">
        <f t="shared" si="85"/>
        <v>2.6489809555629799E-2</v>
      </c>
    </row>
    <row r="48" spans="1:23" x14ac:dyDescent="0.15">
      <c r="B48" s="36"/>
      <c r="C48" s="36"/>
      <c r="D48" s="36"/>
      <c r="E48" s="36"/>
      <c r="F48" s="29"/>
      <c r="G48" s="36"/>
      <c r="H48" s="36"/>
      <c r="I48" s="36"/>
      <c r="J48" s="29"/>
      <c r="K48" s="36"/>
      <c r="L48" s="36"/>
      <c r="M48" s="50"/>
      <c r="N48" s="51"/>
      <c r="O48" s="50"/>
      <c r="P48" s="50"/>
      <c r="Q48" s="50"/>
      <c r="R48" s="51"/>
      <c r="S48" s="50"/>
      <c r="T48" s="50"/>
      <c r="U48" s="50"/>
      <c r="V48" s="51"/>
      <c r="W48" s="50"/>
    </row>
    <row r="49" spans="1:23" s="2" customFormat="1" x14ac:dyDescent="0.15">
      <c r="A49" s="60" t="s">
        <v>88</v>
      </c>
      <c r="B49" s="23"/>
      <c r="C49" s="41"/>
      <c r="D49" s="23"/>
      <c r="E49" s="23"/>
      <c r="F49" s="51">
        <f>F3/B3-1</f>
        <v>0.26345004269854821</v>
      </c>
      <c r="G49" s="52">
        <f>G3/C3-1</f>
        <v>0.2397291789916518</v>
      </c>
      <c r="H49" s="52">
        <f>H3/D3-1</f>
        <v>0.24281150159744413</v>
      </c>
      <c r="I49" s="52">
        <f>I3/E3-1</f>
        <v>0.25436823962914534</v>
      </c>
      <c r="J49" s="51">
        <f>J3/F3-1</f>
        <v>0.24422665314858616</v>
      </c>
      <c r="K49" s="52">
        <f>K3/G3-1</f>
        <v>0.26352067868504769</v>
      </c>
      <c r="L49" s="52">
        <f>L3/H3-1</f>
        <v>0.26316850647714096</v>
      </c>
      <c r="M49" s="52">
        <f>M3/I3-1</f>
        <v>0.25793613190561926</v>
      </c>
      <c r="N49" s="51">
        <f>N3/J3-1</f>
        <v>0.27206880941602529</v>
      </c>
      <c r="O49" s="52">
        <f>O3/K3-1</f>
        <v>0.28409567771716326</v>
      </c>
      <c r="P49" s="52">
        <f>P3/L3-1</f>
        <v>0.2641660015961691</v>
      </c>
      <c r="Q49" s="52">
        <f>Q3/M3-1</f>
        <v>0.27118644067796605</v>
      </c>
      <c r="R49" s="51">
        <f>R3/N3-1</f>
        <v>0.24412811387900346</v>
      </c>
      <c r="S49" s="52">
        <f>S3/O3-1</f>
        <v>0.22385620915032689</v>
      </c>
      <c r="T49" s="52">
        <f>T3/P3-1</f>
        <v>0.33806818181818188</v>
      </c>
      <c r="U49" s="52">
        <f>U3/Q3-1</f>
        <v>0.35200000000000009</v>
      </c>
      <c r="V49" s="51">
        <f>V3/R3-1</f>
        <v>0.30863844393592688</v>
      </c>
      <c r="W49" s="52">
        <f>W3/S3-1</f>
        <v>0.29238985313751664</v>
      </c>
    </row>
    <row r="50" spans="1:23" x14ac:dyDescent="0.15">
      <c r="A50" s="60" t="s">
        <v>89</v>
      </c>
      <c r="F50" s="51">
        <f>F4/B4-1</f>
        <v>0.33364839319470696</v>
      </c>
      <c r="G50" s="52">
        <f>G4/C4-1</f>
        <v>0.32833186231244493</v>
      </c>
      <c r="H50" s="52">
        <f>H4/D4-1</f>
        <v>0.39013840830449831</v>
      </c>
      <c r="I50" s="52">
        <f>I4/E4-1</f>
        <v>0.44672454617206014</v>
      </c>
      <c r="J50" s="51">
        <f>J4/F4-1</f>
        <v>0.33238837703756197</v>
      </c>
      <c r="K50" s="52">
        <f>K4/G4-1</f>
        <v>0.28903654485049834</v>
      </c>
      <c r="L50" s="52">
        <f>L4/H4-1</f>
        <v>0.21344119477286871</v>
      </c>
      <c r="M50" s="52">
        <f>M4/I4-1</f>
        <v>6.9285324604473564E-2</v>
      </c>
      <c r="N50" s="51">
        <f>N4/J4-1</f>
        <v>4.2553191489361764E-2</v>
      </c>
      <c r="O50" s="52">
        <f>O4/K4-1</f>
        <v>0.13917525773195871</v>
      </c>
      <c r="P50" s="52">
        <f>P4/L4-1</f>
        <v>0.14871794871794863</v>
      </c>
      <c r="Q50" s="52">
        <f>Q4/M4-1</f>
        <v>0.16326530612244894</v>
      </c>
      <c r="R50" s="51">
        <f>R4/N4-1</f>
        <v>0.22959183673469385</v>
      </c>
      <c r="S50" s="52">
        <f>S4/O4-1</f>
        <v>0.14027149321266963</v>
      </c>
      <c r="T50" s="52">
        <f>T4/P4-1</f>
        <v>0.22321428571428581</v>
      </c>
      <c r="U50" s="52">
        <f>U4/Q4-1</f>
        <v>0.26315789473684204</v>
      </c>
      <c r="V50" s="51">
        <f>V4/R4-1</f>
        <v>0.20331950207468874</v>
      </c>
      <c r="W50" s="52">
        <f>W4/S4-1</f>
        <v>0.23412698412698418</v>
      </c>
    </row>
    <row r="51" spans="1:23" x14ac:dyDescent="0.15">
      <c r="E51" s="35"/>
      <c r="K51" s="35"/>
      <c r="L51" s="35"/>
      <c r="M51" s="35"/>
      <c r="O51" s="35"/>
      <c r="P51" s="35"/>
      <c r="Q51" s="35"/>
    </row>
    <row r="52" spans="1:23" s="7" customFormat="1" x14ac:dyDescent="0.15">
      <c r="A52" s="82" t="s">
        <v>45</v>
      </c>
      <c r="B52" s="24">
        <v>630.4</v>
      </c>
      <c r="C52" s="24">
        <v>671</v>
      </c>
      <c r="D52" s="24">
        <v>688.7</v>
      </c>
      <c r="E52" s="24">
        <v>708.9</v>
      </c>
      <c r="F52" s="29">
        <v>724.6</v>
      </c>
      <c r="G52" s="24">
        <v>754.9</v>
      </c>
      <c r="H52" s="24">
        <v>776.2</v>
      </c>
      <c r="I52" s="24">
        <v>804.9</v>
      </c>
      <c r="J52" s="29">
        <v>829.6</v>
      </c>
      <c r="K52" s="24">
        <v>891</v>
      </c>
      <c r="L52" s="24">
        <v>921</v>
      </c>
      <c r="M52" s="24">
        <v>932</v>
      </c>
      <c r="N52" s="29">
        <v>965</v>
      </c>
      <c r="O52" s="24">
        <v>1004</v>
      </c>
      <c r="P52" s="24">
        <v>1020</v>
      </c>
      <c r="Q52" s="24">
        <v>1051</v>
      </c>
      <c r="R52" s="29">
        <v>1073</v>
      </c>
      <c r="S52" s="24">
        <v>1130</v>
      </c>
      <c r="T52" s="24">
        <v>1168</v>
      </c>
      <c r="U52" s="24">
        <v>1227</v>
      </c>
      <c r="V52" s="61">
        <v>1245</v>
      </c>
      <c r="W52" s="7">
        <v>1279</v>
      </c>
    </row>
    <row r="53" spans="1:23" s="7" customFormat="1" x14ac:dyDescent="0.15">
      <c r="A53" s="82" t="s">
        <v>46</v>
      </c>
      <c r="B53" s="24">
        <v>407.7</v>
      </c>
      <c r="C53" s="24">
        <v>445.2</v>
      </c>
      <c r="D53" s="24">
        <v>469.5</v>
      </c>
      <c r="E53" s="24">
        <v>495.3</v>
      </c>
      <c r="F53" s="29">
        <v>540.1</v>
      </c>
      <c r="G53" s="24">
        <v>575.4</v>
      </c>
      <c r="H53" s="24">
        <v>589.9</v>
      </c>
      <c r="I53" s="24">
        <v>615.29999999999995</v>
      </c>
      <c r="J53" s="29">
        <v>656</v>
      </c>
      <c r="K53" s="24">
        <v>700</v>
      </c>
      <c r="L53" s="24">
        <v>738</v>
      </c>
      <c r="M53" s="24">
        <v>789</v>
      </c>
      <c r="N53" s="29">
        <v>848</v>
      </c>
      <c r="O53" s="24">
        <v>892</v>
      </c>
      <c r="P53" s="24">
        <v>917</v>
      </c>
      <c r="Q53" s="24">
        <v>964</v>
      </c>
      <c r="R53" s="29">
        <v>1020</v>
      </c>
      <c r="S53" s="24">
        <v>1087</v>
      </c>
      <c r="T53" s="24">
        <v>1140</v>
      </c>
      <c r="U53" s="24">
        <v>1219</v>
      </c>
      <c r="V53" s="61">
        <v>1252</v>
      </c>
      <c r="W53" s="7">
        <v>1303</v>
      </c>
    </row>
    <row r="54" spans="1:23" s="7" customFormat="1" x14ac:dyDescent="0.15">
      <c r="A54" s="82" t="s">
        <v>47</v>
      </c>
      <c r="B54" s="24">
        <v>224</v>
      </c>
      <c r="C54" s="24">
        <v>247.2</v>
      </c>
      <c r="D54" s="24">
        <v>269.10000000000002</v>
      </c>
      <c r="E54" s="24">
        <v>294.5</v>
      </c>
      <c r="F54" s="29">
        <v>325.89999999999998</v>
      </c>
      <c r="G54" s="24">
        <v>353.4</v>
      </c>
      <c r="H54" s="24">
        <v>370.7</v>
      </c>
      <c r="I54" s="24">
        <v>391.7</v>
      </c>
      <c r="J54" s="29">
        <v>424</v>
      </c>
      <c r="K54" s="24">
        <v>463</v>
      </c>
      <c r="L54" s="24">
        <v>491</v>
      </c>
      <c r="M54" s="24">
        <v>536</v>
      </c>
      <c r="N54" s="29">
        <v>575</v>
      </c>
      <c r="O54" s="24">
        <v>712</v>
      </c>
      <c r="P54" s="24">
        <v>742</v>
      </c>
      <c r="Q54" s="24">
        <v>825</v>
      </c>
      <c r="R54" s="29">
        <v>842</v>
      </c>
      <c r="S54" s="24">
        <v>912</v>
      </c>
      <c r="T54" s="24">
        <v>1287</v>
      </c>
      <c r="U54" s="24">
        <v>1432</v>
      </c>
      <c r="V54" s="61">
        <v>1364</v>
      </c>
      <c r="W54" s="7">
        <v>1512</v>
      </c>
    </row>
    <row r="55" spans="1:23" s="7" customFormat="1" x14ac:dyDescent="0.15">
      <c r="A55" s="82" t="s">
        <v>48</v>
      </c>
      <c r="B55" s="24">
        <v>143.19999999999999</v>
      </c>
      <c r="C55" s="24">
        <v>157.9</v>
      </c>
      <c r="D55" s="24">
        <v>169</v>
      </c>
      <c r="E55" s="24">
        <v>184</v>
      </c>
      <c r="F55" s="29">
        <v>184.9</v>
      </c>
      <c r="G55" s="24">
        <v>202.4</v>
      </c>
      <c r="H55" s="24">
        <v>247.2</v>
      </c>
      <c r="I55" s="24">
        <v>298.8</v>
      </c>
      <c r="J55" s="29">
        <v>299</v>
      </c>
      <c r="K55" s="24">
        <v>329</v>
      </c>
      <c r="L55" s="24">
        <v>356</v>
      </c>
      <c r="M55" s="24">
        <v>398</v>
      </c>
      <c r="N55" s="29">
        <v>422</v>
      </c>
      <c r="O55" s="24">
        <v>452</v>
      </c>
      <c r="P55" s="24">
        <v>489</v>
      </c>
      <c r="Q55" s="24">
        <v>535</v>
      </c>
      <c r="R55" s="29">
        <v>561</v>
      </c>
      <c r="S55" s="24">
        <v>616</v>
      </c>
      <c r="T55" s="24">
        <v>644</v>
      </c>
      <c r="U55" s="24">
        <v>685</v>
      </c>
      <c r="V55" s="61">
        <v>714</v>
      </c>
      <c r="W55" s="7">
        <v>746</v>
      </c>
    </row>
    <row r="56" spans="1:23" s="62" customFormat="1" x14ac:dyDescent="0.15">
      <c r="A56" s="84" t="s">
        <v>82</v>
      </c>
      <c r="B56" s="39">
        <f>SUM(B52:B55)</f>
        <v>1405.3</v>
      </c>
      <c r="C56" s="39">
        <f>SUM(C52:C55)</f>
        <v>1521.3000000000002</v>
      </c>
      <c r="D56" s="39">
        <f>SUM(D52:D55)</f>
        <v>1596.3000000000002</v>
      </c>
      <c r="E56" s="39">
        <f>SUM(E52:E55)</f>
        <v>1682.7</v>
      </c>
      <c r="F56" s="38">
        <f>SUM(F52:F55)</f>
        <v>1775.5</v>
      </c>
      <c r="G56" s="39">
        <f>SUM(G52:G55)</f>
        <v>1886.1</v>
      </c>
      <c r="H56" s="39">
        <f>SUM(H52:H55)</f>
        <v>1984</v>
      </c>
      <c r="I56" s="39">
        <f>SUM(I52:I55)</f>
        <v>2110.6999999999998</v>
      </c>
      <c r="J56" s="38">
        <f>SUM(J52:J55)</f>
        <v>2208.6</v>
      </c>
      <c r="K56" s="39">
        <f>SUM(K52:K55)</f>
        <v>2383</v>
      </c>
      <c r="L56" s="39">
        <f>SUM(L52:L55)</f>
        <v>2506</v>
      </c>
      <c r="M56" s="39">
        <f>SUM(M52:M55)</f>
        <v>2655</v>
      </c>
      <c r="N56" s="38">
        <f>SUM(N52:N55)</f>
        <v>2810</v>
      </c>
      <c r="O56" s="39">
        <f>SUM(O52:O55)</f>
        <v>3060</v>
      </c>
      <c r="P56" s="39">
        <f>SUM(P52:P55)</f>
        <v>3168</v>
      </c>
      <c r="Q56" s="39">
        <f>SUM(Q52:Q55)</f>
        <v>3375</v>
      </c>
      <c r="R56" s="38">
        <f>SUM(R52:R55)</f>
        <v>3496</v>
      </c>
      <c r="S56" s="39">
        <f>SUM(S52:S55)</f>
        <v>3745</v>
      </c>
      <c r="T56" s="39">
        <f>SUM(T52:T55)</f>
        <v>4239</v>
      </c>
      <c r="U56" s="39">
        <f>SUM(U52:U55)</f>
        <v>4563</v>
      </c>
      <c r="V56" s="38">
        <f>SUM(V52:V55)</f>
        <v>4575</v>
      </c>
      <c r="W56" s="39">
        <f>SUM(W52:W55)</f>
        <v>4840</v>
      </c>
    </row>
    <row r="58" spans="1:23" s="7" customFormat="1" x14ac:dyDescent="0.15">
      <c r="A58" s="82" t="s">
        <v>150</v>
      </c>
      <c r="B58" s="24"/>
      <c r="C58" s="52">
        <f>C52/B52-1</f>
        <v>6.4403553299492433E-2</v>
      </c>
      <c r="D58" s="52">
        <f>D52/C52-1</f>
        <v>2.6378539493293607E-2</v>
      </c>
      <c r="E58" s="52">
        <f>E52/D52-1</f>
        <v>2.9330622912734139E-2</v>
      </c>
      <c r="F58" s="51">
        <f>F52/E52-1</f>
        <v>2.2146988291719572E-2</v>
      </c>
      <c r="G58" s="52">
        <f>G52/F52-1</f>
        <v>4.1816174441070775E-2</v>
      </c>
      <c r="H58" s="52">
        <f>H52/G52-1</f>
        <v>2.8215657703007047E-2</v>
      </c>
      <c r="I58" s="52">
        <f>I52/H52-1</f>
        <v>3.6975006441638758E-2</v>
      </c>
      <c r="J58" s="51">
        <f t="shared" ref="J58:W58" si="86">J52/I52-1</f>
        <v>3.0687041868555198E-2</v>
      </c>
      <c r="K58" s="52">
        <f t="shared" si="86"/>
        <v>7.4011571841851476E-2</v>
      </c>
      <c r="L58" s="52">
        <f t="shared" si="86"/>
        <v>3.3670033670033739E-2</v>
      </c>
      <c r="M58" s="52">
        <f t="shared" si="86"/>
        <v>1.1943539630836053E-2</v>
      </c>
      <c r="N58" s="51">
        <f t="shared" si="86"/>
        <v>3.5407725321888517E-2</v>
      </c>
      <c r="O58" s="52">
        <f t="shared" si="86"/>
        <v>4.0414507772020825E-2</v>
      </c>
      <c r="P58" s="52">
        <f t="shared" si="86"/>
        <v>1.5936254980079667E-2</v>
      </c>
      <c r="Q58" s="52">
        <f t="shared" si="86"/>
        <v>3.039215686274499E-2</v>
      </c>
      <c r="R58" s="51">
        <f t="shared" si="86"/>
        <v>2.0932445290199775E-2</v>
      </c>
      <c r="S58" s="52">
        <f t="shared" si="86"/>
        <v>5.3122087604846158E-2</v>
      </c>
      <c r="T58" s="52">
        <f t="shared" si="86"/>
        <v>3.3628318584070893E-2</v>
      </c>
      <c r="U58" s="52">
        <f t="shared" si="86"/>
        <v>5.0513698630136883E-2</v>
      </c>
      <c r="V58" s="51">
        <f t="shared" si="86"/>
        <v>1.4669926650366705E-2</v>
      </c>
      <c r="W58" s="52">
        <f t="shared" si="86"/>
        <v>2.7309236947791193E-2</v>
      </c>
    </row>
    <row r="59" spans="1:23" s="7" customFormat="1" x14ac:dyDescent="0.15">
      <c r="A59" s="82" t="s">
        <v>151</v>
      </c>
      <c r="B59" s="24"/>
      <c r="C59" s="52">
        <f>C53/B53-1</f>
        <v>9.1979396615158304E-2</v>
      </c>
      <c r="D59" s="52">
        <f>D53/C53-1</f>
        <v>5.4582210242587692E-2</v>
      </c>
      <c r="E59" s="52">
        <f>E53/D53-1</f>
        <v>5.4952076677316386E-2</v>
      </c>
      <c r="F59" s="51">
        <f>F53/E53-1</f>
        <v>9.0450232182515578E-2</v>
      </c>
      <c r="G59" s="52">
        <f>G53/F53-1</f>
        <v>6.5358266987594726E-2</v>
      </c>
      <c r="H59" s="52">
        <f>H53/G53-1</f>
        <v>2.5199860966284238E-2</v>
      </c>
      <c r="I59" s="52">
        <f>I53/H53-1</f>
        <v>4.3058145448380936E-2</v>
      </c>
      <c r="J59" s="51">
        <f t="shared" ref="J59:W59" si="87">J53/I53-1</f>
        <v>6.6146595156834076E-2</v>
      </c>
      <c r="K59" s="52">
        <f t="shared" si="87"/>
        <v>6.7073170731707377E-2</v>
      </c>
      <c r="L59" s="52">
        <f t="shared" si="87"/>
        <v>5.428571428571427E-2</v>
      </c>
      <c r="M59" s="52">
        <f t="shared" si="87"/>
        <v>6.9105691056910556E-2</v>
      </c>
      <c r="N59" s="51">
        <f t="shared" si="87"/>
        <v>7.4778200253485361E-2</v>
      </c>
      <c r="O59" s="52">
        <f t="shared" si="87"/>
        <v>5.1886792452830122E-2</v>
      </c>
      <c r="P59" s="52">
        <f t="shared" si="87"/>
        <v>2.8026905829596327E-2</v>
      </c>
      <c r="Q59" s="52">
        <f t="shared" si="87"/>
        <v>5.1254089422028359E-2</v>
      </c>
      <c r="R59" s="51">
        <f t="shared" si="87"/>
        <v>5.8091286307053958E-2</v>
      </c>
      <c r="S59" s="52">
        <f t="shared" si="87"/>
        <v>6.568627450980391E-2</v>
      </c>
      <c r="T59" s="52">
        <f t="shared" si="87"/>
        <v>4.8758049678012894E-2</v>
      </c>
      <c r="U59" s="52">
        <f t="shared" si="87"/>
        <v>6.9298245614035192E-2</v>
      </c>
      <c r="V59" s="51">
        <f t="shared" si="87"/>
        <v>2.7071369975389725E-2</v>
      </c>
      <c r="W59" s="52">
        <f t="shared" si="87"/>
        <v>4.073482428115005E-2</v>
      </c>
    </row>
    <row r="60" spans="1:23" s="7" customFormat="1" x14ac:dyDescent="0.15">
      <c r="A60" s="82" t="s">
        <v>152</v>
      </c>
      <c r="B60" s="24"/>
      <c r="C60" s="52">
        <f>C54/B54-1</f>
        <v>0.10357142857142843</v>
      </c>
      <c r="D60" s="52">
        <f>D54/C54-1</f>
        <v>8.8592233009708865E-2</v>
      </c>
      <c r="E60" s="52">
        <f>E54/D54-1</f>
        <v>9.4388703084355097E-2</v>
      </c>
      <c r="F60" s="51">
        <f>F54/E54-1</f>
        <v>0.10662139219015265</v>
      </c>
      <c r="G60" s="52">
        <f>G54/F54-1</f>
        <v>8.4381712181650803E-2</v>
      </c>
      <c r="H60" s="52">
        <f>H54/G54-1</f>
        <v>4.8953027730616938E-2</v>
      </c>
      <c r="I60" s="52">
        <f>I54/H54-1</f>
        <v>5.6649581872133759E-2</v>
      </c>
      <c r="J60" s="51">
        <f t="shared" ref="J60:W60" si="88">J54/I54-1</f>
        <v>8.2461067143221989E-2</v>
      </c>
      <c r="K60" s="52">
        <f t="shared" si="88"/>
        <v>9.1981132075471761E-2</v>
      </c>
      <c r="L60" s="52">
        <f t="shared" si="88"/>
        <v>6.0475161987040948E-2</v>
      </c>
      <c r="M60" s="52">
        <f t="shared" si="88"/>
        <v>9.1649694501018342E-2</v>
      </c>
      <c r="N60" s="51">
        <f t="shared" si="88"/>
        <v>7.2761194029850706E-2</v>
      </c>
      <c r="O60" s="52">
        <f t="shared" si="88"/>
        <v>0.2382608695652173</v>
      </c>
      <c r="P60" s="52">
        <f t="shared" si="88"/>
        <v>4.2134831460674205E-2</v>
      </c>
      <c r="Q60" s="52">
        <f t="shared" si="88"/>
        <v>0.11185983827493251</v>
      </c>
      <c r="R60" s="51">
        <f t="shared" si="88"/>
        <v>2.0606060606060517E-2</v>
      </c>
      <c r="S60" s="52">
        <f t="shared" si="88"/>
        <v>8.3135391923990554E-2</v>
      </c>
      <c r="T60" s="52">
        <f t="shared" si="88"/>
        <v>0.41118421052631571</v>
      </c>
      <c r="U60" s="52">
        <f t="shared" si="88"/>
        <v>0.11266511266511259</v>
      </c>
      <c r="V60" s="51">
        <f t="shared" si="88"/>
        <v>-4.748603351955305E-2</v>
      </c>
      <c r="W60" s="52">
        <f t="shared" si="88"/>
        <v>0.10850439882697938</v>
      </c>
    </row>
    <row r="61" spans="1:23" s="7" customFormat="1" x14ac:dyDescent="0.15">
      <c r="A61" s="82" t="s">
        <v>153</v>
      </c>
      <c r="B61" s="24"/>
      <c r="C61" s="52">
        <f>C55/B55-1</f>
        <v>0.10265363128491622</v>
      </c>
      <c r="D61" s="52">
        <f>D55/C55-1</f>
        <v>7.0297656744775061E-2</v>
      </c>
      <c r="E61" s="52">
        <f>E55/D55-1</f>
        <v>8.8757396449704151E-2</v>
      </c>
      <c r="F61" s="51">
        <f>F55/E55-1</f>
        <v>4.891304347826031E-3</v>
      </c>
      <c r="G61" s="52">
        <f>G55/F55-1</f>
        <v>9.464575446187129E-2</v>
      </c>
      <c r="H61" s="52">
        <f>H55/G55-1</f>
        <v>0.22134387351778639</v>
      </c>
      <c r="I61" s="52">
        <f>I55/H55-1</f>
        <v>0.20873786407767003</v>
      </c>
      <c r="J61" s="51">
        <f t="shared" ref="J61:W61" si="89">J55/I55-1</f>
        <v>6.6934404283802706E-4</v>
      </c>
      <c r="K61" s="52">
        <f t="shared" si="89"/>
        <v>0.10033444816053505</v>
      </c>
      <c r="L61" s="52">
        <f t="shared" si="89"/>
        <v>8.2066869300911893E-2</v>
      </c>
      <c r="M61" s="52">
        <f t="shared" si="89"/>
        <v>0.1179775280898876</v>
      </c>
      <c r="N61" s="51">
        <f t="shared" si="89"/>
        <v>6.0301507537688481E-2</v>
      </c>
      <c r="O61" s="52">
        <f t="shared" si="89"/>
        <v>7.1090047393364886E-2</v>
      </c>
      <c r="P61" s="52">
        <f t="shared" si="89"/>
        <v>8.1858407079645978E-2</v>
      </c>
      <c r="Q61" s="52">
        <f t="shared" si="89"/>
        <v>9.4069529652351713E-2</v>
      </c>
      <c r="R61" s="51">
        <f t="shared" si="89"/>
        <v>4.8598130841121412E-2</v>
      </c>
      <c r="S61" s="52">
        <f t="shared" si="89"/>
        <v>9.8039215686274606E-2</v>
      </c>
      <c r="T61" s="52">
        <f t="shared" si="89"/>
        <v>4.5454545454545414E-2</v>
      </c>
      <c r="U61" s="52">
        <f t="shared" si="89"/>
        <v>6.3664596273292018E-2</v>
      </c>
      <c r="V61" s="51">
        <f t="shared" si="89"/>
        <v>4.2335766423357679E-2</v>
      </c>
      <c r="W61" s="52">
        <f t="shared" si="89"/>
        <v>4.481792717086841E-2</v>
      </c>
    </row>
    <row r="67" spans="1:22" s="2" customFormat="1" x14ac:dyDescent="0.15">
      <c r="A67" s="60"/>
      <c r="B67" s="23"/>
      <c r="C67" s="23"/>
      <c r="D67" s="23"/>
      <c r="E67" s="23"/>
      <c r="F67" s="30"/>
      <c r="G67" s="23"/>
      <c r="H67" s="23"/>
      <c r="I67" s="23"/>
      <c r="J67" s="30"/>
      <c r="K67" s="23"/>
      <c r="L67" s="23"/>
      <c r="M67" s="23"/>
      <c r="N67" s="30"/>
      <c r="O67" s="23"/>
      <c r="P67" s="23"/>
      <c r="Q67" s="23"/>
      <c r="R67" s="40"/>
      <c r="S67" s="41"/>
      <c r="T67" s="41"/>
      <c r="U67" s="41"/>
      <c r="V67" s="27"/>
    </row>
    <row r="70" spans="1:22" s="2" customFormat="1" x14ac:dyDescent="0.15">
      <c r="A70" s="60"/>
      <c r="B70" s="23"/>
      <c r="C70" s="23"/>
      <c r="D70" s="23"/>
      <c r="E70" s="23"/>
      <c r="F70" s="30"/>
      <c r="G70" s="23"/>
      <c r="H70" s="23"/>
      <c r="I70" s="23"/>
      <c r="J70" s="30"/>
      <c r="K70" s="23"/>
      <c r="L70" s="23"/>
      <c r="M70" s="23"/>
      <c r="N70" s="30"/>
      <c r="O70" s="23"/>
      <c r="P70" s="23"/>
      <c r="Q70" s="23"/>
      <c r="R70" s="40"/>
      <c r="S70" s="41"/>
      <c r="T70" s="41"/>
      <c r="U70" s="41"/>
      <c r="V70" s="27"/>
    </row>
    <row r="71" spans="1:22" s="2" customFormat="1" x14ac:dyDescent="0.15">
      <c r="A71" s="60"/>
      <c r="B71" s="23"/>
      <c r="C71" s="23"/>
      <c r="D71" s="23"/>
      <c r="E71" s="23"/>
      <c r="F71" s="30"/>
      <c r="G71" s="23"/>
      <c r="H71" s="23"/>
      <c r="I71" s="23"/>
      <c r="J71" s="30"/>
      <c r="K71" s="23"/>
      <c r="L71" s="23"/>
      <c r="M71" s="23"/>
      <c r="N71" s="30"/>
      <c r="O71" s="23"/>
      <c r="P71" s="23"/>
      <c r="Q71" s="23"/>
      <c r="R71" s="40"/>
      <c r="S71" s="41"/>
      <c r="T71" s="41"/>
      <c r="U71" s="41"/>
      <c r="V71" s="27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4"/>
  <sheetViews>
    <sheetView workbookViewId="0">
      <selection activeCell="C28" sqref="C28"/>
    </sheetView>
  </sheetViews>
  <sheetFormatPr baseColWidth="10" defaultRowHeight="13" x14ac:dyDescent="0.15"/>
  <cols>
    <col min="1" max="1" width="10.83203125" style="1"/>
    <col min="2" max="2" width="17.1640625" style="1" bestFit="1" customWidth="1"/>
    <col min="3" max="3" width="34.33203125" style="1" bestFit="1" customWidth="1"/>
    <col min="4" max="4" width="48.6640625" style="1" bestFit="1" customWidth="1"/>
    <col min="5" max="16384" width="10.83203125" style="1"/>
  </cols>
  <sheetData>
    <row r="4" spans="2:4" x14ac:dyDescent="0.15">
      <c r="B4" s="70" t="s">
        <v>127</v>
      </c>
    </row>
    <row r="6" spans="2:4" x14ac:dyDescent="0.15">
      <c r="B6" s="1" t="s">
        <v>107</v>
      </c>
      <c r="C6" s="1" t="s">
        <v>108</v>
      </c>
    </row>
    <row r="7" spans="2:4" x14ac:dyDescent="0.15">
      <c r="B7" s="2" t="s">
        <v>91</v>
      </c>
      <c r="C7" s="2" t="s">
        <v>111</v>
      </c>
      <c r="D7" s="33" t="s">
        <v>106</v>
      </c>
    </row>
    <row r="8" spans="2:4" x14ac:dyDescent="0.15">
      <c r="B8" s="1" t="s">
        <v>109</v>
      </c>
      <c r="C8" s="1" t="s">
        <v>110</v>
      </c>
    </row>
    <row r="9" spans="2:4" x14ac:dyDescent="0.15">
      <c r="B9" s="1" t="s">
        <v>92</v>
      </c>
      <c r="C9" s="1" t="s">
        <v>105</v>
      </c>
    </row>
    <row r="10" spans="2:4" x14ac:dyDescent="0.15">
      <c r="B10" s="1" t="s">
        <v>115</v>
      </c>
      <c r="C10" s="1" t="s">
        <v>116</v>
      </c>
      <c r="D10" s="5" t="s">
        <v>104</v>
      </c>
    </row>
    <row r="11" spans="2:4" x14ac:dyDescent="0.15">
      <c r="B11" s="1" t="s">
        <v>93</v>
      </c>
      <c r="C11" s="1" t="s">
        <v>113</v>
      </c>
      <c r="D11" s="5" t="s">
        <v>103</v>
      </c>
    </row>
    <row r="12" spans="2:4" x14ac:dyDescent="0.15">
      <c r="B12" s="1" t="s">
        <v>112</v>
      </c>
      <c r="C12" s="1" t="s">
        <v>114</v>
      </c>
      <c r="D12" s="5" t="s">
        <v>102</v>
      </c>
    </row>
    <row r="13" spans="2:4" x14ac:dyDescent="0.15">
      <c r="B13" s="1" t="s">
        <v>94</v>
      </c>
      <c r="C13" s="1" t="s">
        <v>101</v>
      </c>
    </row>
    <row r="14" spans="2:4" x14ac:dyDescent="0.15">
      <c r="B14" s="2" t="s">
        <v>95</v>
      </c>
      <c r="C14" s="2" t="s">
        <v>99</v>
      </c>
      <c r="D14" s="33" t="s">
        <v>100</v>
      </c>
    </row>
    <row r="15" spans="2:4" x14ac:dyDescent="0.15">
      <c r="B15" s="2" t="s">
        <v>96</v>
      </c>
      <c r="C15" s="2" t="s">
        <v>98</v>
      </c>
      <c r="D15" s="33" t="s">
        <v>97</v>
      </c>
    </row>
    <row r="19" spans="2:4" x14ac:dyDescent="0.15">
      <c r="B19" s="70" t="s">
        <v>128</v>
      </c>
    </row>
    <row r="21" spans="2:4" x14ac:dyDescent="0.15">
      <c r="B21" s="1" t="s">
        <v>129</v>
      </c>
      <c r="C21" s="1" t="s">
        <v>133</v>
      </c>
      <c r="D21" s="71" t="s">
        <v>139</v>
      </c>
    </row>
    <row r="22" spans="2:4" x14ac:dyDescent="0.15">
      <c r="B22" s="1" t="s">
        <v>130</v>
      </c>
      <c r="C22" s="1" t="s">
        <v>134</v>
      </c>
    </row>
    <row r="23" spans="2:4" x14ac:dyDescent="0.15">
      <c r="B23" s="1" t="s">
        <v>131</v>
      </c>
      <c r="C23" s="1" t="s">
        <v>135</v>
      </c>
      <c r="D23" s="71" t="s">
        <v>138</v>
      </c>
    </row>
    <row r="24" spans="2:4" x14ac:dyDescent="0.15">
      <c r="B24" s="1" t="s">
        <v>132</v>
      </c>
      <c r="C24" s="1" t="s">
        <v>136</v>
      </c>
      <c r="D24" s="71" t="s">
        <v>137</v>
      </c>
    </row>
  </sheetData>
  <hyperlinks>
    <hyperlink ref="D15" r:id="rId1" xr:uid="{00000000-0004-0000-0200-000000000000}"/>
    <hyperlink ref="D14" r:id="rId2" xr:uid="{00000000-0004-0000-0200-000001000000}"/>
    <hyperlink ref="D12" r:id="rId3" xr:uid="{00000000-0004-0000-0200-000002000000}"/>
    <hyperlink ref="D11" r:id="rId4" xr:uid="{00000000-0004-0000-0200-000003000000}"/>
    <hyperlink ref="D10" r:id="rId5" xr:uid="{00000000-0004-0000-0200-000004000000}"/>
    <hyperlink ref="D7" r:id="rId6" xr:uid="{00000000-0004-0000-0200-000005000000}"/>
    <hyperlink ref="D24" r:id="rId7" xr:uid="{1015E8A3-9331-C94C-86A8-682054C22104}"/>
    <hyperlink ref="D23" r:id="rId8" xr:uid="{41877BBD-35B4-4B4F-8FEA-D1A573810A93}"/>
    <hyperlink ref="D21" r:id="rId9" xr:uid="{0D020BF1-2F39-4446-A1B7-DA431598C7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2020-08-27T11:40:25Z</dcterms:modified>
</cp:coreProperties>
</file>