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michaelsjoberg/Dropbox/- PROJECTS/- Investing/stocks/"/>
    </mc:Choice>
  </mc:AlternateContent>
  <bookViews>
    <workbookView xWindow="0" yWindow="460" windowWidth="15640" windowHeight="16540" tabRatio="500"/>
  </bookViews>
  <sheets>
    <sheet name="Main" sheetId="1" r:id="rId1"/>
    <sheet name="Reports" sheetId="2" r:id="rId2"/>
    <sheet name="Products" sheetId="3"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 i="1" l="1"/>
  <c r="R30" i="1"/>
  <c r="F29" i="1"/>
  <c r="G27" i="1"/>
  <c r="F27" i="1"/>
  <c r="F30" i="1"/>
  <c r="G24" i="1"/>
  <c r="H24" i="1"/>
  <c r="I24" i="1"/>
  <c r="J24" i="1"/>
  <c r="F24" i="1"/>
  <c r="G23" i="1"/>
  <c r="H23" i="1"/>
  <c r="I23" i="1"/>
  <c r="J23" i="1"/>
  <c r="F23" i="1"/>
  <c r="G22" i="1"/>
  <c r="H22" i="1"/>
  <c r="I22" i="1"/>
  <c r="J22" i="1"/>
  <c r="F22" i="1"/>
  <c r="F4" i="1"/>
  <c r="G13" i="1"/>
  <c r="H13" i="1"/>
  <c r="I13" i="1"/>
  <c r="J13" i="1"/>
  <c r="F13" i="1"/>
  <c r="G14" i="1"/>
  <c r="H14" i="1"/>
  <c r="I14" i="1"/>
  <c r="J14" i="1"/>
  <c r="F14" i="1"/>
  <c r="G12" i="1"/>
  <c r="H12" i="1"/>
  <c r="I12" i="1"/>
  <c r="J12" i="1"/>
  <c r="F12" i="1"/>
  <c r="G11" i="1"/>
  <c r="H11" i="1"/>
  <c r="I11" i="1"/>
  <c r="J11" i="1"/>
  <c r="F11" i="1"/>
  <c r="C33" i="1"/>
  <c r="D33" i="1"/>
  <c r="E33" i="1"/>
  <c r="E32" i="1"/>
  <c r="I3" i="1"/>
  <c r="I2" i="1"/>
  <c r="C5" i="1"/>
  <c r="C3" i="1"/>
  <c r="E26" i="2"/>
  <c r="I26" i="2"/>
  <c r="F10" i="1"/>
  <c r="E59" i="1"/>
  <c r="E56" i="1"/>
  <c r="E54" i="1"/>
  <c r="E49" i="1"/>
  <c r="E48" i="1"/>
  <c r="E47" i="1"/>
  <c r="E45" i="1"/>
  <c r="E44" i="1"/>
  <c r="E43" i="1"/>
  <c r="D43" i="1"/>
  <c r="D39" i="1"/>
  <c r="D38" i="1"/>
  <c r="E38" i="1"/>
  <c r="E29" i="1"/>
  <c r="E27" i="1"/>
  <c r="E24" i="1"/>
  <c r="E23" i="1"/>
  <c r="E22" i="1"/>
  <c r="E20" i="1"/>
  <c r="E14" i="1"/>
  <c r="E13" i="1"/>
  <c r="E12" i="1"/>
  <c r="E11" i="1"/>
  <c r="E10" i="1"/>
  <c r="D56" i="1"/>
  <c r="D55" i="1"/>
  <c r="D54" i="1"/>
  <c r="D52" i="1"/>
  <c r="D51" i="1"/>
  <c r="D49" i="1"/>
  <c r="D48" i="1"/>
  <c r="D47" i="1"/>
  <c r="D45" i="1"/>
  <c r="D44" i="1"/>
  <c r="D32" i="1"/>
  <c r="D29" i="1"/>
  <c r="D27" i="1"/>
  <c r="D24" i="1"/>
  <c r="D23" i="1"/>
  <c r="D22" i="1"/>
  <c r="D20" i="1"/>
  <c r="D19" i="1"/>
  <c r="D14" i="1"/>
  <c r="D13" i="1"/>
  <c r="D12" i="1"/>
  <c r="D11" i="1"/>
  <c r="D10" i="1"/>
  <c r="I12" i="2"/>
  <c r="F53" i="2"/>
  <c r="G57" i="2"/>
  <c r="I57" i="2"/>
  <c r="H57" i="2"/>
  <c r="F57" i="2"/>
  <c r="I56" i="2"/>
  <c r="H56" i="2"/>
  <c r="G56" i="2"/>
  <c r="F56" i="2"/>
  <c r="I55" i="2"/>
  <c r="H55" i="2"/>
  <c r="G55" i="2"/>
  <c r="F55" i="2"/>
  <c r="I54" i="2"/>
  <c r="H54" i="2"/>
  <c r="G54" i="2"/>
  <c r="F54" i="2"/>
  <c r="I53" i="2"/>
  <c r="H53" i="2"/>
  <c r="G53" i="2"/>
  <c r="I34" i="2"/>
  <c r="F34" i="2"/>
  <c r="F33" i="2"/>
  <c r="F32" i="2"/>
  <c r="H33" i="2"/>
  <c r="H34" i="2"/>
  <c r="G34" i="2"/>
  <c r="I33" i="2"/>
  <c r="G33" i="2"/>
  <c r="H32" i="2"/>
  <c r="G32" i="2"/>
  <c r="I32" i="2"/>
  <c r="I31" i="2"/>
  <c r="H31" i="2"/>
  <c r="G31" i="2"/>
  <c r="F31" i="2"/>
  <c r="I14" i="2"/>
  <c r="I19" i="2"/>
  <c r="I21" i="2"/>
  <c r="I23" i="2"/>
  <c r="I47" i="2"/>
  <c r="I50" i="2"/>
  <c r="H50" i="2"/>
  <c r="G44" i="2"/>
  <c r="G50" i="2"/>
  <c r="F50" i="2"/>
  <c r="I51" i="2"/>
  <c r="H51" i="2"/>
  <c r="G51" i="2"/>
  <c r="F51" i="2"/>
  <c r="I49" i="2"/>
  <c r="H49" i="2"/>
  <c r="G49" i="2"/>
  <c r="F49" i="2"/>
  <c r="I48" i="2"/>
  <c r="H48" i="2"/>
  <c r="G48" i="2"/>
  <c r="F48" i="2"/>
  <c r="E51" i="2"/>
  <c r="E50" i="2"/>
  <c r="E49" i="2"/>
  <c r="E48" i="2"/>
  <c r="E47" i="2"/>
  <c r="F47" i="2"/>
  <c r="G47" i="2"/>
  <c r="H47" i="2"/>
  <c r="B40" i="2"/>
  <c r="B38" i="2"/>
  <c r="B37" i="2"/>
  <c r="B24" i="2"/>
  <c r="B22" i="2"/>
  <c r="B20" i="2"/>
  <c r="B13" i="2"/>
  <c r="B12" i="2"/>
  <c r="B45" i="2"/>
  <c r="B44" i="2"/>
  <c r="B36" i="2"/>
  <c r="B14" i="2"/>
  <c r="B18" i="2"/>
  <c r="B19" i="2"/>
  <c r="B21" i="2"/>
  <c r="B29" i="2"/>
  <c r="B28" i="2"/>
  <c r="B27" i="2"/>
  <c r="B23" i="2"/>
  <c r="C40" i="2"/>
  <c r="C38" i="2"/>
  <c r="C37" i="2"/>
  <c r="C22" i="2"/>
  <c r="C20" i="2"/>
  <c r="C13" i="2"/>
  <c r="C12" i="2"/>
  <c r="C14" i="2"/>
  <c r="C18" i="2"/>
  <c r="C19" i="2"/>
  <c r="C21" i="2"/>
  <c r="C23" i="2"/>
  <c r="C44" i="2"/>
  <c r="C45" i="2"/>
  <c r="C36" i="2"/>
  <c r="C29" i="2"/>
  <c r="C28" i="2"/>
  <c r="C27" i="2"/>
  <c r="C24" i="2"/>
  <c r="D40" i="2"/>
  <c r="D38" i="2"/>
  <c r="D37" i="2"/>
  <c r="D22" i="2"/>
  <c r="D20" i="2"/>
  <c r="D13" i="2"/>
  <c r="D12" i="2"/>
  <c r="D14" i="2"/>
  <c r="D18" i="2"/>
  <c r="D19" i="2"/>
  <c r="D21" i="2"/>
  <c r="D23" i="2"/>
  <c r="D44" i="2"/>
  <c r="D45" i="2"/>
  <c r="D36" i="2"/>
  <c r="D29" i="2"/>
  <c r="D28" i="2"/>
  <c r="D27" i="2"/>
  <c r="D24" i="2"/>
  <c r="E40" i="2"/>
  <c r="E38" i="2"/>
  <c r="E37" i="2"/>
  <c r="E22" i="2"/>
  <c r="E20" i="2"/>
  <c r="E13" i="2"/>
  <c r="E12" i="2"/>
  <c r="E14" i="2"/>
  <c r="E18" i="2"/>
  <c r="E19" i="2"/>
  <c r="E21" i="2"/>
  <c r="E23" i="2"/>
  <c r="E44" i="2"/>
  <c r="E45" i="2"/>
  <c r="E36" i="2"/>
  <c r="E29" i="2"/>
  <c r="E28" i="2"/>
  <c r="E27" i="2"/>
  <c r="E24" i="2"/>
  <c r="G40" i="2"/>
  <c r="G38" i="2"/>
  <c r="G37" i="2"/>
  <c r="G22" i="2"/>
  <c r="G20" i="2"/>
  <c r="G13" i="2"/>
  <c r="G12" i="2"/>
  <c r="G14" i="2"/>
  <c r="G18" i="2"/>
  <c r="G19" i="2"/>
  <c r="G21" i="2"/>
  <c r="G23" i="2"/>
  <c r="G45" i="2"/>
  <c r="G36" i="2"/>
  <c r="F12" i="2"/>
  <c r="G29" i="2"/>
  <c r="G28" i="2"/>
  <c r="G27" i="2"/>
  <c r="G24" i="2"/>
  <c r="F13" i="2"/>
  <c r="F14" i="2"/>
  <c r="F18" i="2"/>
  <c r="F19" i="2"/>
  <c r="F20" i="2"/>
  <c r="F21" i="2"/>
  <c r="F22" i="2"/>
  <c r="F23" i="2"/>
  <c r="H12" i="2"/>
  <c r="H13" i="2"/>
  <c r="H14" i="2"/>
  <c r="H18" i="2"/>
  <c r="H19" i="2"/>
  <c r="H20" i="2"/>
  <c r="H21" i="2"/>
  <c r="H22" i="2"/>
  <c r="H23" i="2"/>
  <c r="I13" i="2"/>
  <c r="I18" i="2"/>
  <c r="I20" i="2"/>
  <c r="I22" i="2"/>
  <c r="I37" i="2"/>
  <c r="I38" i="2"/>
  <c r="I36" i="2"/>
  <c r="F40" i="2"/>
  <c r="F37" i="2"/>
  <c r="F44" i="2"/>
  <c r="F38" i="2"/>
  <c r="F45" i="2"/>
  <c r="F36" i="2"/>
  <c r="F29" i="2"/>
  <c r="F28" i="2"/>
  <c r="F27" i="2"/>
  <c r="F24" i="2"/>
  <c r="H40" i="2"/>
  <c r="H38" i="2"/>
  <c r="H37" i="2"/>
  <c r="H44" i="2"/>
  <c r="H45" i="2"/>
  <c r="H36" i="2"/>
  <c r="H29" i="2"/>
  <c r="H28" i="2"/>
  <c r="H27" i="2"/>
  <c r="H24" i="2"/>
  <c r="I40" i="2"/>
  <c r="I44" i="2"/>
  <c r="I45" i="2"/>
  <c r="I29" i="2"/>
  <c r="I28" i="2"/>
  <c r="I27" i="2"/>
  <c r="I24" i="2"/>
  <c r="E19" i="1"/>
  <c r="E21" i="1"/>
  <c r="E34" i="1"/>
  <c r="F19" i="1"/>
  <c r="F21" i="1"/>
  <c r="F25" i="1"/>
  <c r="F26" i="1"/>
  <c r="F28" i="1"/>
  <c r="E25" i="1"/>
  <c r="E26" i="1"/>
  <c r="E28" i="1"/>
  <c r="E36" i="1"/>
  <c r="G10" i="1"/>
  <c r="H10" i="1"/>
  <c r="I10" i="1"/>
  <c r="J10" i="1"/>
  <c r="J19" i="1"/>
  <c r="K19" i="1"/>
  <c r="G25" i="1"/>
  <c r="F34" i="1"/>
  <c r="G19" i="1"/>
  <c r="G21" i="1"/>
  <c r="G26" i="1"/>
  <c r="F43" i="1"/>
  <c r="G28" i="1"/>
  <c r="F36" i="1"/>
  <c r="G29" i="1"/>
  <c r="G30" i="1"/>
  <c r="H25" i="1"/>
  <c r="G34" i="1"/>
  <c r="H19" i="1"/>
  <c r="H21" i="1"/>
  <c r="H26" i="1"/>
  <c r="G43" i="1"/>
  <c r="H27" i="1"/>
  <c r="H28" i="1"/>
  <c r="G36" i="1"/>
  <c r="H29" i="1"/>
  <c r="H30" i="1"/>
  <c r="I25" i="1"/>
  <c r="H34" i="1"/>
  <c r="I19" i="1"/>
  <c r="I21" i="1"/>
  <c r="I26" i="1"/>
  <c r="H43" i="1"/>
  <c r="I27" i="1"/>
  <c r="I28" i="1"/>
  <c r="H36" i="1"/>
  <c r="I29" i="1"/>
  <c r="I30" i="1"/>
  <c r="J25" i="1"/>
  <c r="I34" i="1"/>
  <c r="J21" i="1"/>
  <c r="J26" i="1"/>
  <c r="I43" i="1"/>
  <c r="J27" i="1"/>
  <c r="J28" i="1"/>
  <c r="I36" i="1"/>
  <c r="J29" i="1"/>
  <c r="J30" i="1"/>
  <c r="K22" i="1"/>
  <c r="K23" i="1"/>
  <c r="K24" i="1"/>
  <c r="K25" i="1"/>
  <c r="J34" i="1"/>
  <c r="K21" i="1"/>
  <c r="K26" i="1"/>
  <c r="J43" i="1"/>
  <c r="K27" i="1"/>
  <c r="K28" i="1"/>
  <c r="J36" i="1"/>
  <c r="K29" i="1"/>
  <c r="K30" i="1"/>
  <c r="L22" i="1"/>
  <c r="L23" i="1"/>
  <c r="L24" i="1"/>
  <c r="L25" i="1"/>
  <c r="K34" i="1"/>
  <c r="L19" i="1"/>
  <c r="L21" i="1"/>
  <c r="L26" i="1"/>
  <c r="K43" i="1"/>
  <c r="L27" i="1"/>
  <c r="L28" i="1"/>
  <c r="K36" i="1"/>
  <c r="L29" i="1"/>
  <c r="L30" i="1"/>
  <c r="M22" i="1"/>
  <c r="M23" i="1"/>
  <c r="M24" i="1"/>
  <c r="M25" i="1"/>
  <c r="L34" i="1"/>
  <c r="M19" i="1"/>
  <c r="M21" i="1"/>
  <c r="M26" i="1"/>
  <c r="L43" i="1"/>
  <c r="M27" i="1"/>
  <c r="M28" i="1"/>
  <c r="L36" i="1"/>
  <c r="M29" i="1"/>
  <c r="M30" i="1"/>
  <c r="N22" i="1"/>
  <c r="N23" i="1"/>
  <c r="N24" i="1"/>
  <c r="N25" i="1"/>
  <c r="M34" i="1"/>
  <c r="N19" i="1"/>
  <c r="N21" i="1"/>
  <c r="N26" i="1"/>
  <c r="M43" i="1"/>
  <c r="N27" i="1"/>
  <c r="N28" i="1"/>
  <c r="M36" i="1"/>
  <c r="N29" i="1"/>
  <c r="N30" i="1"/>
  <c r="O22" i="1"/>
  <c r="O23" i="1"/>
  <c r="O24" i="1"/>
  <c r="O25" i="1"/>
  <c r="N34" i="1"/>
  <c r="O19" i="1"/>
  <c r="O21" i="1"/>
  <c r="O26" i="1"/>
  <c r="N43" i="1"/>
  <c r="O27" i="1"/>
  <c r="O28" i="1"/>
  <c r="N36" i="1"/>
  <c r="O29" i="1"/>
  <c r="O30" i="1"/>
  <c r="P22" i="1"/>
  <c r="P23" i="1"/>
  <c r="P24" i="1"/>
  <c r="P25" i="1"/>
  <c r="O34" i="1"/>
  <c r="P19" i="1"/>
  <c r="P21" i="1"/>
  <c r="P26" i="1"/>
  <c r="O43" i="1"/>
  <c r="P27" i="1"/>
  <c r="P28" i="1"/>
  <c r="O36" i="1"/>
  <c r="P29" i="1"/>
  <c r="P30" i="1"/>
  <c r="Q22" i="1"/>
  <c r="Q23" i="1"/>
  <c r="Q24" i="1"/>
  <c r="Q25" i="1"/>
  <c r="P34" i="1"/>
  <c r="Q19" i="1"/>
  <c r="Q21" i="1"/>
  <c r="Q26" i="1"/>
  <c r="P43" i="1"/>
  <c r="Q27" i="1"/>
  <c r="Q28" i="1"/>
  <c r="P36" i="1"/>
  <c r="Q29" i="1"/>
  <c r="Q30" i="1"/>
  <c r="S30" i="1"/>
  <c r="T30" i="1"/>
  <c r="U30" i="1"/>
  <c r="V30" i="1"/>
  <c r="W30" i="1"/>
  <c r="X30" i="1"/>
  <c r="Y30" i="1"/>
  <c r="Z30" i="1"/>
  <c r="AA30" i="1"/>
  <c r="AB30" i="1"/>
  <c r="AC30" i="1"/>
  <c r="AD30" i="1"/>
  <c r="AE30" i="1"/>
  <c r="AF30" i="1"/>
  <c r="AG30" i="1"/>
  <c r="AH30" i="1"/>
  <c r="AI30" i="1"/>
  <c r="AJ30" i="1"/>
  <c r="AK30" i="1"/>
  <c r="AL30" i="1"/>
  <c r="AM30" i="1"/>
  <c r="AN30" i="1"/>
  <c r="AO30" i="1"/>
  <c r="AP30" i="1"/>
  <c r="AQ30" i="1"/>
  <c r="AR30" i="1"/>
  <c r="AS30" i="1"/>
  <c r="AT30" i="1"/>
  <c r="AU30" i="1"/>
  <c r="AV30" i="1"/>
  <c r="AW30" i="1"/>
  <c r="AX30" i="1"/>
  <c r="AY30" i="1"/>
  <c r="AZ30" i="1"/>
  <c r="BA30" i="1"/>
  <c r="BB30" i="1"/>
  <c r="BC30" i="1"/>
  <c r="BD30" i="1"/>
  <c r="E35" i="1"/>
  <c r="I6" i="1"/>
  <c r="I5" i="1"/>
  <c r="I4" i="1"/>
  <c r="E30" i="1"/>
  <c r="F6" i="1"/>
  <c r="C4" i="1"/>
  <c r="Q43" i="1"/>
  <c r="F32" i="1"/>
  <c r="G32" i="1"/>
  <c r="H32" i="1"/>
  <c r="I32" i="1"/>
  <c r="J32" i="1"/>
  <c r="K32" i="1"/>
  <c r="L32" i="1"/>
  <c r="M32" i="1"/>
  <c r="N32" i="1"/>
  <c r="O32" i="1"/>
  <c r="P32" i="1"/>
  <c r="Q32" i="1"/>
  <c r="Q31" i="1"/>
  <c r="P31" i="1"/>
  <c r="O31" i="1"/>
  <c r="N31" i="1"/>
  <c r="M31" i="1"/>
  <c r="L31" i="1"/>
  <c r="K31" i="1"/>
  <c r="J31" i="1"/>
  <c r="I31" i="1"/>
  <c r="H31" i="1"/>
  <c r="G31" i="1"/>
  <c r="F31" i="1"/>
  <c r="Q41" i="1"/>
  <c r="P41" i="1"/>
  <c r="O41" i="1"/>
  <c r="N41" i="1"/>
  <c r="M41" i="1"/>
  <c r="L41" i="1"/>
  <c r="K41" i="1"/>
  <c r="J41" i="1"/>
  <c r="I41" i="1"/>
  <c r="H41" i="1"/>
  <c r="G41" i="1"/>
  <c r="F41" i="1"/>
  <c r="Q40" i="1"/>
  <c r="P40" i="1"/>
  <c r="O40" i="1"/>
  <c r="N40" i="1"/>
  <c r="M40" i="1"/>
  <c r="L40" i="1"/>
  <c r="K40" i="1"/>
  <c r="J40" i="1"/>
  <c r="I40" i="1"/>
  <c r="H40" i="1"/>
  <c r="G40" i="1"/>
  <c r="F40" i="1"/>
  <c r="Q39" i="1"/>
  <c r="P39" i="1"/>
  <c r="O39" i="1"/>
  <c r="N39" i="1"/>
  <c r="M39" i="1"/>
  <c r="L39" i="1"/>
  <c r="K39" i="1"/>
  <c r="J39" i="1"/>
  <c r="I39" i="1"/>
  <c r="H39" i="1"/>
  <c r="G39" i="1"/>
  <c r="F39" i="1"/>
  <c r="Q20" i="1"/>
  <c r="P20" i="1"/>
  <c r="O20" i="1"/>
  <c r="N20" i="1"/>
  <c r="M20" i="1"/>
  <c r="L20" i="1"/>
  <c r="K20" i="1"/>
  <c r="J20" i="1"/>
  <c r="I20" i="1"/>
  <c r="H20" i="1"/>
  <c r="G20" i="1"/>
  <c r="Q38" i="1"/>
  <c r="P38" i="1"/>
  <c r="O38" i="1"/>
  <c r="N38" i="1"/>
  <c r="M38" i="1"/>
  <c r="L38" i="1"/>
  <c r="K38" i="1"/>
  <c r="J38" i="1"/>
  <c r="Q36" i="1"/>
  <c r="Q35" i="1"/>
  <c r="P35" i="1"/>
  <c r="O35" i="1"/>
  <c r="N35" i="1"/>
  <c r="M35" i="1"/>
  <c r="L35" i="1"/>
  <c r="K35" i="1"/>
  <c r="J35" i="1"/>
  <c r="I35" i="1"/>
  <c r="H35" i="1"/>
  <c r="G35" i="1"/>
  <c r="F35" i="1"/>
  <c r="Q34" i="1"/>
  <c r="F20" i="1"/>
  <c r="K9" i="1"/>
  <c r="L9" i="1"/>
  <c r="M9" i="1"/>
  <c r="N9" i="1"/>
  <c r="O9" i="1"/>
  <c r="P9" i="1"/>
  <c r="Q9" i="1"/>
  <c r="J9" i="1"/>
  <c r="J63" i="1"/>
  <c r="I63" i="1"/>
  <c r="H63" i="1"/>
  <c r="G63" i="1"/>
  <c r="F63" i="1"/>
  <c r="J62" i="1"/>
  <c r="I62" i="1"/>
  <c r="H62" i="1"/>
  <c r="G62" i="1"/>
  <c r="F62" i="1"/>
  <c r="J61" i="1"/>
  <c r="I61" i="1"/>
  <c r="H61" i="1"/>
  <c r="G61" i="1"/>
  <c r="F61" i="1"/>
  <c r="J60" i="1"/>
  <c r="I60" i="1"/>
  <c r="H60" i="1"/>
  <c r="G60" i="1"/>
  <c r="F60" i="1"/>
  <c r="J59" i="1"/>
  <c r="I59" i="1"/>
  <c r="H59" i="1"/>
  <c r="G59" i="1"/>
  <c r="F59" i="1"/>
  <c r="D41" i="1"/>
  <c r="D40" i="1"/>
  <c r="C27" i="1"/>
  <c r="C28" i="1"/>
  <c r="C30" i="1"/>
  <c r="D21" i="1"/>
  <c r="D25" i="1"/>
  <c r="D26" i="1"/>
  <c r="D28" i="1"/>
  <c r="D30" i="1"/>
  <c r="C36" i="1"/>
  <c r="C35" i="1"/>
  <c r="C34" i="1"/>
  <c r="C31" i="1"/>
  <c r="C20" i="1"/>
  <c r="C21" i="1"/>
  <c r="C25" i="1"/>
  <c r="C26" i="1"/>
  <c r="C19" i="1"/>
  <c r="D57" i="1"/>
  <c r="E40" i="1"/>
  <c r="E39" i="1"/>
  <c r="E41" i="1"/>
  <c r="D36" i="1"/>
  <c r="D35" i="1"/>
  <c r="D34" i="1"/>
  <c r="D31" i="1"/>
  <c r="C63" i="1"/>
  <c r="C62" i="1"/>
  <c r="C61" i="1"/>
  <c r="C60" i="1"/>
  <c r="C59" i="1"/>
  <c r="D63" i="1"/>
  <c r="D62" i="1"/>
  <c r="D61" i="1"/>
  <c r="D60" i="1"/>
  <c r="D59" i="1"/>
  <c r="E63" i="1"/>
  <c r="E62" i="1"/>
  <c r="E61" i="1"/>
  <c r="E60" i="1"/>
  <c r="E51" i="1"/>
  <c r="E57" i="1"/>
  <c r="E52" i="1"/>
  <c r="E55" i="1"/>
  <c r="E31" i="1"/>
  <c r="F7" i="1"/>
  <c r="G7" i="1"/>
  <c r="B19" i="1"/>
  <c r="C6" i="1"/>
  <c r="I38" i="1"/>
  <c r="H38" i="1"/>
  <c r="G38" i="1"/>
  <c r="F38" i="1"/>
  <c r="C38" i="1"/>
  <c r="C9" i="1"/>
  <c r="D9" i="1"/>
  <c r="E9" i="1"/>
  <c r="F9" i="1"/>
  <c r="G9" i="1"/>
  <c r="H9" i="1"/>
  <c r="I9" i="1"/>
  <c r="C7" i="1"/>
</calcChain>
</file>

<file path=xl/sharedStrings.xml><?xml version="1.0" encoding="utf-8"?>
<sst xmlns="http://schemas.openxmlformats.org/spreadsheetml/2006/main" count="158" uniqueCount="104">
  <si>
    <t>EDGAR</t>
  </si>
  <si>
    <t>Price</t>
  </si>
  <si>
    <t>CEO</t>
  </si>
  <si>
    <t>Shares</t>
  </si>
  <si>
    <t>Market Cap</t>
  </si>
  <si>
    <t>Net Cash</t>
  </si>
  <si>
    <t>Founder</t>
  </si>
  <si>
    <t>EV</t>
  </si>
  <si>
    <t>per share</t>
  </si>
  <si>
    <t>Revenue</t>
  </si>
  <si>
    <t>Revenue y/y</t>
  </si>
  <si>
    <t>Ctrip.com International Ltd (CTRP)</t>
  </si>
  <si>
    <t>Jane Jie Sun</t>
  </si>
  <si>
    <t>Min Fan</t>
  </si>
  <si>
    <t>Reservations</t>
  </si>
  <si>
    <t>Transportations</t>
  </si>
  <si>
    <t>Tours</t>
  </si>
  <si>
    <t>Corporate travel</t>
  </si>
  <si>
    <t>Other</t>
  </si>
  <si>
    <t>James Liang</t>
  </si>
  <si>
    <t>Net Income</t>
  </si>
  <si>
    <t>Maturity</t>
  </si>
  <si>
    <t>ROIC</t>
  </si>
  <si>
    <t>Expected return on invested capital (innovation grade)</t>
  </si>
  <si>
    <t>Discount</t>
  </si>
  <si>
    <t>Inflation + risk premium (opportunity cost)</t>
  </si>
  <si>
    <t>NPV</t>
  </si>
  <si>
    <t>NPV on net income (terminal value)</t>
  </si>
  <si>
    <t>Value</t>
  </si>
  <si>
    <t>COGS</t>
  </si>
  <si>
    <t>Gross Profit</t>
  </si>
  <si>
    <t>R&amp;D</t>
  </si>
  <si>
    <t>S&amp;M</t>
  </si>
  <si>
    <t>G&amp;A</t>
  </si>
  <si>
    <t>Operating Expenses</t>
  </si>
  <si>
    <t>Operating Income</t>
  </si>
  <si>
    <t>Interest Income</t>
  </si>
  <si>
    <t>Pretax Income</t>
  </si>
  <si>
    <t>Taxes</t>
  </si>
  <si>
    <t>EPS</t>
  </si>
  <si>
    <t>Gross Margin</t>
  </si>
  <si>
    <t>Operating Margin</t>
  </si>
  <si>
    <t>Tax Rate</t>
  </si>
  <si>
    <t>R&amp;D y/y</t>
  </si>
  <si>
    <t>S&amp;M y/y</t>
  </si>
  <si>
    <t>G&amp;A y/y</t>
  </si>
  <si>
    <t>Cash</t>
  </si>
  <si>
    <t>Debt</t>
  </si>
  <si>
    <t>Intangibles</t>
  </si>
  <si>
    <t>Total assets</t>
  </si>
  <si>
    <t>Total liabilities</t>
  </si>
  <si>
    <t>TWC</t>
  </si>
  <si>
    <t>Equity</t>
  </si>
  <si>
    <t>ROE</t>
  </si>
  <si>
    <t>ROA</t>
  </si>
  <si>
    <t>ROTB</t>
  </si>
  <si>
    <t>ROTWC</t>
  </si>
  <si>
    <t>Reservations y/y</t>
  </si>
  <si>
    <t>Transportations y/y</t>
  </si>
  <si>
    <t>Tours y/y</t>
  </si>
  <si>
    <t>Corporate travel y/y</t>
  </si>
  <si>
    <t>Other y/y</t>
  </si>
  <si>
    <t>Q418</t>
  </si>
  <si>
    <t>22/3/2019</t>
  </si>
  <si>
    <t>Earnings</t>
  </si>
  <si>
    <t>Growth</t>
  </si>
  <si>
    <t>GM</t>
  </si>
  <si>
    <t>OM</t>
  </si>
  <si>
    <t>Q119</t>
  </si>
  <si>
    <t>Q219</t>
  </si>
  <si>
    <t>Q319</t>
  </si>
  <si>
    <t>Q419</t>
  </si>
  <si>
    <t>Q118</t>
  </si>
  <si>
    <t>Q218</t>
  </si>
  <si>
    <t>Q318</t>
  </si>
  <si>
    <t>31/3/2018</t>
  </si>
  <si>
    <t>30/6/2018</t>
  </si>
  <si>
    <t>30/9/2018</t>
  </si>
  <si>
    <t>31/12/2018</t>
  </si>
  <si>
    <t>NI 12M</t>
  </si>
  <si>
    <t>DAU</t>
  </si>
  <si>
    <t>ARPU</t>
  </si>
  <si>
    <t>DAU y/y</t>
  </si>
  <si>
    <t>ARPU y/y</t>
  </si>
  <si>
    <t>Q117</t>
  </si>
  <si>
    <t>Q217</t>
  </si>
  <si>
    <t>Q317</t>
  </si>
  <si>
    <t>Q417</t>
  </si>
  <si>
    <t>31/3/2017</t>
  </si>
  <si>
    <t>30/6/2017</t>
  </si>
  <si>
    <t>30/9/2017</t>
  </si>
  <si>
    <t>31/12/2017</t>
  </si>
  <si>
    <t>ADS</t>
  </si>
  <si>
    <t>Shares ADS</t>
  </si>
  <si>
    <t>Accommodation Reservations</t>
  </si>
  <si>
    <t>We act as an agent in substantially all of our hotel-related transactions. Most of our customers make prepayments to us, while others receive confirmed bookings first and pay hotels directly upon completion of their stays. For some of our hotel suppliers, we earn pre-negotiated fixed commissions on hotel rooms we sell. For other hotels, we have commission arrangements that we refer to as the “ratchet system,” whereby our commission rate per room night is adjusted upward with the increase in the volume of room nights we sell for such hotel during such month.</t>
  </si>
  <si>
    <t>Transportation Ticketing</t>
  </si>
  <si>
    <t>Transportation Ticketing revenues mainly represent revenues from reservation of air tickets, railway-tickets and other related services. We sell air tickets as an agent for all major domestic PRC airlines, such as Air China, China Eastern Airlines, China Southern Airlines and Hainan Airlines and many international airlines operating flights that originate from cities at home and abroad, such as Cathay Pacific, Singapore Airlines, American Airlines, Lufthansa, Emirates Airlines, Qantas Airways, Air France-KLM and Delta Air Lines. We also provide other related service to our customers, such as sales of aviation and train insurance, air-ticket delivery services, online check-in, and other value-added services, such as online seat selection, express security check, and real-time flight status. In 2017, we became the first and only travel provider allowing users to directly book with Big Bus Tours, the world’s largest operator of open-top sightseeing tours, which ensures users enjoy a one-stop booking experience that is not only hassle-free and efficient but is also a solution to local transportation difficulties.</t>
  </si>
  <si>
    <t>Packaged-Tours</t>
  </si>
  <si>
    <t>We also offer independent leisure travelers bundled packaged-tour products, including group tours, semi-group tours, customized tours and packaged tours with different transportation arrangements, such as flights, cruises, buses and car rental. We provide integrated transportation and accommodations services and offer a variety of value-added services including transportation at destinations, as well as attraction tickets, local activities, insurance, visa services and tour guides. We offer customers one-stop services to meet their needs before, during and after their trips. We also provide high quality customer services, supplier management and customer relationship management services. Our packaged-tour products cover a variety of domestic and international destinations.</t>
  </si>
  <si>
    <t>Corporate Travel</t>
  </si>
  <si>
    <t>We provide transportation ticket booking, accommodation reservation, packaged-tour services and other value-added services to our corporate clients to help them plan business travels in a cost-efficient way. In addition, we also provide our corporate clients with travel data collection and analysis, industry benchmark, cost saving analysis and travel management solutions. We have independently developed the Corporate Travel Management Systems, which is a comprehensive online platform integrating information maintenance, online booking, online authorization, online enquiry and travel report system.</t>
  </si>
  <si>
    <t>Other Businesses</t>
  </si>
  <si>
    <t>Our other businesses primarily include online advertising services.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</si>
</sst>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Red]\-#,##0\ "/>
  </numFmts>
  <fonts count="6" x14ac:knownFonts="1">
    <font>
      <sz val="12"/>
      <color theme="1"/>
      <name val="Calibri"/>
      <family val="2"/>
      <scheme val="minor"/>
    </font>
    <font>
      <u/>
      <sz val="12"/>
      <color theme="10"/>
      <name val="Calibri"/>
      <family val="2"/>
      <scheme val="minor"/>
    </font>
    <font>
      <b/>
      <sz val="10"/>
      <color theme="1"/>
      <name val="Arial"/>
    </font>
    <font>
      <sz val="10"/>
      <color theme="1"/>
      <name val="Arial"/>
    </font>
    <font>
      <i/>
      <sz val="10"/>
      <color theme="1"/>
      <name val="Arial"/>
    </font>
    <font>
      <u/>
      <sz val="10"/>
      <color theme="10"/>
      <name val="Arial"/>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top/>
      <bottom/>
      <diagonal/>
    </border>
  </borders>
  <cellStyleXfs count="2">
    <xf numFmtId="0" fontId="0" fillId="0" borderId="0"/>
    <xf numFmtId="0" fontId="1" fillId="0" borderId="0" applyNumberFormat="0" applyFill="0" applyBorder="0" applyAlignment="0" applyProtection="0"/>
  </cellStyleXfs>
  <cellXfs count="41">
    <xf numFmtId="0" fontId="0" fillId="0" borderId="0" xfId="0"/>
    <xf numFmtId="0" fontId="2" fillId="0" borderId="0" xfId="0" applyFont="1"/>
    <xf numFmtId="0" fontId="3" fillId="0" borderId="0" xfId="0" applyFont="1"/>
    <xf numFmtId="4" fontId="3" fillId="0" borderId="0" xfId="0" applyNumberFormat="1" applyFont="1"/>
    <xf numFmtId="3" fontId="3" fillId="0" borderId="0" xfId="0" applyNumberFormat="1" applyFont="1"/>
    <xf numFmtId="3" fontId="3" fillId="2" borderId="0" xfId="0" applyNumberFormat="1" applyFont="1" applyFill="1"/>
    <xf numFmtId="0" fontId="4" fillId="0" borderId="0" xfId="0" applyFont="1"/>
    <xf numFmtId="4" fontId="3" fillId="2" borderId="0" xfId="0" applyNumberFormat="1" applyFont="1" applyFill="1"/>
    <xf numFmtId="3" fontId="2" fillId="2" borderId="0" xfId="0" applyNumberFormat="1" applyFont="1" applyFill="1"/>
    <xf numFmtId="9" fontId="2" fillId="0" borderId="0" xfId="0" applyNumberFormat="1" applyFont="1"/>
    <xf numFmtId="9" fontId="3" fillId="0" borderId="0" xfId="0" applyNumberFormat="1" applyFont="1"/>
    <xf numFmtId="3" fontId="2" fillId="0" borderId="0" xfId="0" applyNumberFormat="1" applyFont="1"/>
    <xf numFmtId="0" fontId="3" fillId="0" borderId="0" xfId="0" applyFont="1" applyBorder="1"/>
    <xf numFmtId="10" fontId="3" fillId="0" borderId="0" xfId="0" applyNumberFormat="1" applyFont="1"/>
    <xf numFmtId="164" fontId="3" fillId="2" borderId="0" xfId="0" applyNumberFormat="1" applyFont="1" applyFill="1"/>
    <xf numFmtId="0" fontId="2" fillId="0" borderId="0" xfId="0" applyFont="1" applyBorder="1"/>
    <xf numFmtId="164" fontId="2" fillId="2" borderId="0" xfId="0" applyNumberFormat="1" applyFont="1" applyFill="1"/>
    <xf numFmtId="0" fontId="4" fillId="0" borderId="0" xfId="0" applyFont="1" applyBorder="1"/>
    <xf numFmtId="0" fontId="5" fillId="0" borderId="0" xfId="1" applyFont="1"/>
    <xf numFmtId="0" fontId="3" fillId="0" borderId="0" xfId="0" applyFont="1" applyFill="1" applyBorder="1"/>
    <xf numFmtId="0" fontId="3" fillId="2" borderId="0" xfId="0" applyFont="1" applyFill="1"/>
    <xf numFmtId="0" fontId="3" fillId="0" borderId="1" xfId="0" applyFont="1" applyBorder="1" applyAlignment="1">
      <alignment horizontal="right"/>
    </xf>
    <xf numFmtId="0" fontId="3" fillId="0" borderId="0" xfId="0" applyFont="1" applyBorder="1" applyAlignment="1">
      <alignment horizontal="right"/>
    </xf>
    <xf numFmtId="0" fontId="2" fillId="0" borderId="0" xfId="0" applyFont="1" applyBorder="1" applyAlignment="1">
      <alignment horizontal="right"/>
    </xf>
    <xf numFmtId="3" fontId="3" fillId="0" borderId="0" xfId="0" applyNumberFormat="1" applyFont="1" applyBorder="1"/>
    <xf numFmtId="3" fontId="2" fillId="2" borderId="0" xfId="0" applyNumberFormat="1" applyFont="1" applyFill="1" applyBorder="1" applyAlignment="1">
      <alignment horizontal="right"/>
    </xf>
    <xf numFmtId="3" fontId="3" fillId="2" borderId="0" xfId="0" applyNumberFormat="1" applyFont="1" applyFill="1" applyBorder="1" applyAlignment="1">
      <alignment horizontal="right"/>
    </xf>
    <xf numFmtId="0" fontId="3" fillId="2" borderId="0" xfId="0" applyFont="1" applyFill="1" applyBorder="1" applyAlignment="1">
      <alignment horizontal="right"/>
    </xf>
    <xf numFmtId="4" fontId="3" fillId="2" borderId="0" xfId="0" applyNumberFormat="1" applyFont="1" applyFill="1" applyBorder="1" applyAlignment="1">
      <alignment horizontal="right"/>
    </xf>
    <xf numFmtId="3" fontId="3" fillId="0" borderId="0" xfId="0" applyNumberFormat="1" applyFont="1" applyBorder="1" applyAlignment="1">
      <alignment horizontal="right"/>
    </xf>
    <xf numFmtId="9" fontId="3" fillId="0" borderId="0" xfId="0" applyNumberFormat="1" applyFont="1" applyBorder="1" applyAlignment="1">
      <alignment horizontal="right"/>
    </xf>
    <xf numFmtId="9" fontId="2" fillId="0" borderId="0" xfId="0" applyNumberFormat="1" applyFont="1" applyBorder="1" applyAlignment="1">
      <alignment horizontal="right"/>
    </xf>
    <xf numFmtId="3" fontId="2" fillId="2" borderId="1" xfId="0" applyNumberFormat="1" applyFont="1" applyFill="1" applyBorder="1" applyAlignment="1">
      <alignment horizontal="right"/>
    </xf>
    <xf numFmtId="3" fontId="3" fillId="2" borderId="1" xfId="0" applyNumberFormat="1" applyFont="1" applyFill="1" applyBorder="1" applyAlignment="1">
      <alignment horizontal="right"/>
    </xf>
    <xf numFmtId="0" fontId="3" fillId="2" borderId="1" xfId="0" applyFont="1" applyFill="1" applyBorder="1" applyAlignment="1">
      <alignment horizontal="right"/>
    </xf>
    <xf numFmtId="4" fontId="3" fillId="2" borderId="1" xfId="0" applyNumberFormat="1" applyFont="1" applyFill="1" applyBorder="1" applyAlignment="1">
      <alignment horizontal="right"/>
    </xf>
    <xf numFmtId="3" fontId="3" fillId="0" borderId="1" xfId="0" applyNumberFormat="1" applyFont="1" applyBorder="1" applyAlignment="1">
      <alignment horizontal="right"/>
    </xf>
    <xf numFmtId="9" fontId="3" fillId="0" borderId="1" xfId="0" applyNumberFormat="1" applyFont="1" applyBorder="1" applyAlignment="1">
      <alignment horizontal="right"/>
    </xf>
    <xf numFmtId="9" fontId="2" fillId="0" borderId="1" xfId="0" applyNumberFormat="1" applyFont="1" applyBorder="1" applyAlignment="1">
      <alignment horizontal="right"/>
    </xf>
    <xf numFmtId="0" fontId="2" fillId="0" borderId="1" xfId="0" applyFont="1" applyBorder="1" applyAlignment="1">
      <alignment horizontal="right"/>
    </xf>
    <xf numFmtId="0" fontId="5" fillId="0" borderId="0" xfId="1" applyFont="1" applyBorder="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5</xdr:col>
      <xdr:colOff>114300</xdr:colOff>
      <xdr:row>8</xdr:row>
      <xdr:rowOff>12700</xdr:rowOff>
    </xdr:from>
    <xdr:to>
      <xdr:col>5</xdr:col>
      <xdr:colOff>114300</xdr:colOff>
      <xdr:row>64</xdr:row>
      <xdr:rowOff>12700</xdr:rowOff>
    </xdr:to>
    <xdr:cxnSp macro="">
      <xdr:nvCxnSpPr>
        <xdr:cNvPr id="4" name="Straight Connector 3"/>
        <xdr:cNvCxnSpPr/>
      </xdr:nvCxnSpPr>
      <xdr:spPr>
        <a:xfrm>
          <a:off x="4648200" y="1333500"/>
          <a:ext cx="0" cy="8750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139700</xdr:colOff>
      <xdr:row>1</xdr:row>
      <xdr:rowOff>0</xdr:rowOff>
    </xdr:from>
    <xdr:to>
      <xdr:col>9</xdr:col>
      <xdr:colOff>139700</xdr:colOff>
      <xdr:row>58</xdr:row>
      <xdr:rowOff>0</xdr:rowOff>
    </xdr:to>
    <xdr:cxnSp macro="">
      <xdr:nvCxnSpPr>
        <xdr:cNvPr id="3" name="Straight Connector 2"/>
        <xdr:cNvCxnSpPr/>
      </xdr:nvCxnSpPr>
      <xdr:spPr>
        <a:xfrm>
          <a:off x="7975600" y="165100"/>
          <a:ext cx="0" cy="9410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Jane_Jie_Sun" TargetMode="External"/><Relationship Id="rId4" Type="http://schemas.openxmlformats.org/officeDocument/2006/relationships/drawing" Target="../drawings/drawing1.xml"/><Relationship Id="rId1" Type="http://schemas.openxmlformats.org/officeDocument/2006/relationships/hyperlink" Target="https://www.sec.gov/cgi-bin/browse-edgar?CIK=CTRP&amp;Find=Search&amp;owner=exclude&amp;action=getcompany" TargetMode="External"/><Relationship Id="rId2" Type="http://schemas.openxmlformats.org/officeDocument/2006/relationships/hyperlink" Target="https://en.wikipedia.org/wiki/James_Lia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ec.gov/cgi-bin/browse-edgar?CIK=CTRP&amp;Find=Search&amp;owner=exclude&amp;action=getcompany"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66"/>
  <sheetViews>
    <sheetView tabSelected="1" workbookViewId="0">
      <pane xSplit="1" ySplit="9" topLeftCell="B10" activePane="bottomRight" state="frozen"/>
      <selection pane="topRight" activeCell="B1" sqref="B1"/>
      <selection pane="bottomLeft" activeCell="A11" sqref="A11"/>
      <selection pane="bottomRight" activeCell="F6" sqref="F6"/>
    </sheetView>
  </sheetViews>
  <sheetFormatPr baseColWidth="10" defaultRowHeight="13" x14ac:dyDescent="0.15"/>
  <cols>
    <col min="1" max="1" width="16.1640625" style="2" bestFit="1" customWidth="1"/>
    <col min="2" max="16384" width="10.83203125" style="2"/>
  </cols>
  <sheetData>
    <row r="1" spans="1:17" x14ac:dyDescent="0.15">
      <c r="A1" s="18" t="s">
        <v>0</v>
      </c>
      <c r="B1" s="1" t="s">
        <v>11</v>
      </c>
    </row>
    <row r="2" spans="1:17" x14ac:dyDescent="0.15">
      <c r="B2" s="2" t="s">
        <v>1</v>
      </c>
      <c r="C2" s="3">
        <v>40.26</v>
      </c>
      <c r="D2" s="2" t="s">
        <v>63</v>
      </c>
      <c r="E2" s="12" t="s">
        <v>21</v>
      </c>
      <c r="F2" s="13">
        <v>-5.0000000000000001E-3</v>
      </c>
      <c r="H2" s="2" t="s">
        <v>9</v>
      </c>
      <c r="I2" s="4">
        <f>E19</f>
        <v>4662</v>
      </c>
    </row>
    <row r="3" spans="1:17" x14ac:dyDescent="0.15">
      <c r="A3" s="1" t="s">
        <v>2</v>
      </c>
      <c r="B3" s="2" t="s">
        <v>93</v>
      </c>
      <c r="C3" s="4">
        <f>Reports!I26</f>
        <v>550.06441600000005</v>
      </c>
      <c r="D3" s="2" t="s">
        <v>62</v>
      </c>
      <c r="E3" s="12" t="s">
        <v>22</v>
      </c>
      <c r="F3" s="13">
        <v>0.02</v>
      </c>
      <c r="G3" s="6" t="s">
        <v>23</v>
      </c>
      <c r="H3" s="2" t="s">
        <v>64</v>
      </c>
      <c r="I3" s="4">
        <f>E30</f>
        <v>187</v>
      </c>
    </row>
    <row r="4" spans="1:17" x14ac:dyDescent="0.15">
      <c r="A4" s="18" t="s">
        <v>12</v>
      </c>
      <c r="B4" s="2" t="s">
        <v>4</v>
      </c>
      <c r="C4" s="5">
        <f>C3*C2</f>
        <v>22145.593388159999</v>
      </c>
      <c r="E4" s="12" t="s">
        <v>24</v>
      </c>
      <c r="F4" s="13">
        <f>2%+6%</f>
        <v>0.08</v>
      </c>
      <c r="G4" s="6" t="s">
        <v>25</v>
      </c>
      <c r="H4" s="2" t="s">
        <v>65</v>
      </c>
      <c r="I4" s="10">
        <f>E38</f>
        <v>0.15768562205115466</v>
      </c>
    </row>
    <row r="5" spans="1:17" x14ac:dyDescent="0.15">
      <c r="B5" s="2" t="s">
        <v>5</v>
      </c>
      <c r="C5" s="4">
        <f>Reports!I36</f>
        <v>3636</v>
      </c>
      <c r="D5" s="2" t="s">
        <v>62</v>
      </c>
      <c r="E5" s="12" t="s">
        <v>26</v>
      </c>
      <c r="F5" s="14">
        <f>NPV(F4,F30:BD30)</f>
        <v>23701.11428429827</v>
      </c>
      <c r="G5" s="6" t="s">
        <v>27</v>
      </c>
      <c r="H5" s="2" t="s">
        <v>66</v>
      </c>
      <c r="I5" s="10">
        <f>E34</f>
        <v>0.7923637923637924</v>
      </c>
    </row>
    <row r="6" spans="1:17" x14ac:dyDescent="0.15">
      <c r="A6" s="1" t="s">
        <v>6</v>
      </c>
      <c r="B6" s="2" t="s">
        <v>7</v>
      </c>
      <c r="C6" s="5">
        <f>C4-C5</f>
        <v>18509.593388159999</v>
      </c>
      <c r="E6" s="15" t="s">
        <v>28</v>
      </c>
      <c r="F6" s="16">
        <f>F5+C5</f>
        <v>27337.11428429827</v>
      </c>
      <c r="H6" s="2" t="s">
        <v>67</v>
      </c>
      <c r="I6" s="10">
        <f>E35</f>
        <v>8.3869583869583875E-2</v>
      </c>
    </row>
    <row r="7" spans="1:17" x14ac:dyDescent="0.15">
      <c r="A7" s="18" t="s">
        <v>19</v>
      </c>
      <c r="B7" s="6" t="s">
        <v>8</v>
      </c>
      <c r="C7" s="7">
        <f>C6/C3</f>
        <v>33.649865088091786</v>
      </c>
      <c r="E7" s="17" t="s">
        <v>8</v>
      </c>
      <c r="F7" s="7">
        <f>F6/C3</f>
        <v>49.698023520754823</v>
      </c>
      <c r="G7" s="10">
        <f>F7/C2-1</f>
        <v>0.23442681372962815</v>
      </c>
    </row>
    <row r="8" spans="1:17" x14ac:dyDescent="0.15">
      <c r="A8" s="2" t="s">
        <v>13</v>
      </c>
    </row>
    <row r="9" spans="1:17" x14ac:dyDescent="0.15">
      <c r="B9" s="2">
        <v>2015</v>
      </c>
      <c r="C9" s="2">
        <f t="shared" ref="C9:I9" si="0">B9+1</f>
        <v>2016</v>
      </c>
      <c r="D9" s="2">
        <f t="shared" si="0"/>
        <v>2017</v>
      </c>
      <c r="E9" s="2">
        <f t="shared" si="0"/>
        <v>2018</v>
      </c>
      <c r="F9" s="2">
        <f t="shared" si="0"/>
        <v>2019</v>
      </c>
      <c r="G9" s="2">
        <f t="shared" si="0"/>
        <v>2020</v>
      </c>
      <c r="H9" s="2">
        <f t="shared" si="0"/>
        <v>2021</v>
      </c>
      <c r="I9" s="2">
        <f t="shared" si="0"/>
        <v>2022</v>
      </c>
      <c r="J9" s="2">
        <f>I9+1</f>
        <v>2023</v>
      </c>
      <c r="K9" s="2">
        <f t="shared" ref="K9:Q9" si="1">J9+1</f>
        <v>2024</v>
      </c>
      <c r="L9" s="2">
        <f t="shared" si="1"/>
        <v>2025</v>
      </c>
      <c r="M9" s="2">
        <f t="shared" si="1"/>
        <v>2026</v>
      </c>
      <c r="N9" s="2">
        <f t="shared" si="1"/>
        <v>2027</v>
      </c>
      <c r="O9" s="2">
        <f t="shared" si="1"/>
        <v>2028</v>
      </c>
      <c r="P9" s="2">
        <f t="shared" si="1"/>
        <v>2029</v>
      </c>
      <c r="Q9" s="2">
        <f t="shared" si="1"/>
        <v>2030</v>
      </c>
    </row>
    <row r="10" spans="1:17" x14ac:dyDescent="0.15">
      <c r="A10" s="2" t="s">
        <v>14</v>
      </c>
      <c r="B10" s="4">
        <v>713</v>
      </c>
      <c r="C10" s="4">
        <v>1053</v>
      </c>
      <c r="D10" s="4">
        <f>SUM(Reports!B3:E3)</f>
        <v>1422</v>
      </c>
      <c r="E10" s="4">
        <f>SUM(Reports!F3:I3)</f>
        <v>1736</v>
      </c>
      <c r="F10" s="4">
        <f>E10*1.1</f>
        <v>1909.6000000000001</v>
      </c>
      <c r="G10" s="4">
        <f t="shared" ref="G10:J10" si="2">F10*1.1</f>
        <v>2100.5600000000004</v>
      </c>
      <c r="H10" s="4">
        <f t="shared" si="2"/>
        <v>2310.6160000000004</v>
      </c>
      <c r="I10" s="4">
        <f t="shared" si="2"/>
        <v>2541.6776000000009</v>
      </c>
      <c r="J10" s="4">
        <f t="shared" si="2"/>
        <v>2795.8453600000012</v>
      </c>
    </row>
    <row r="11" spans="1:17" x14ac:dyDescent="0.15">
      <c r="A11" s="2" t="s">
        <v>15</v>
      </c>
      <c r="B11" s="4">
        <v>688</v>
      </c>
      <c r="C11" s="4">
        <v>1271</v>
      </c>
      <c r="D11" s="4">
        <f>SUM(Reports!B4:E4)</f>
        <v>1824</v>
      </c>
      <c r="E11" s="4">
        <f>SUM(Reports!F4:I4)</f>
        <v>1940</v>
      </c>
      <c r="F11" s="4">
        <f>E11*1.05</f>
        <v>2037</v>
      </c>
      <c r="G11" s="4">
        <f t="shared" ref="G11:J11" si="3">F11*1.05</f>
        <v>2138.85</v>
      </c>
      <c r="H11" s="4">
        <f t="shared" si="3"/>
        <v>2245.7925</v>
      </c>
      <c r="I11" s="4">
        <f t="shared" si="3"/>
        <v>2358.0821249999999</v>
      </c>
      <c r="J11" s="4">
        <f t="shared" si="3"/>
        <v>2475.9862312499999</v>
      </c>
    </row>
    <row r="12" spans="1:17" x14ac:dyDescent="0.15">
      <c r="A12" s="2" t="s">
        <v>16</v>
      </c>
      <c r="B12" s="4">
        <v>257</v>
      </c>
      <c r="C12" s="4">
        <v>333</v>
      </c>
      <c r="D12" s="4">
        <f>SUM(Reports!B5:E5)</f>
        <v>443</v>
      </c>
      <c r="E12" s="4">
        <f>SUM(Reports!F5:I5)</f>
        <v>566</v>
      </c>
      <c r="F12" s="4">
        <f>E12*1.3</f>
        <v>735.80000000000007</v>
      </c>
      <c r="G12" s="4">
        <f t="shared" ref="G12:J12" si="4">F12*1.3</f>
        <v>956.54000000000008</v>
      </c>
      <c r="H12" s="4">
        <f t="shared" si="4"/>
        <v>1243.5020000000002</v>
      </c>
      <c r="I12" s="4">
        <f t="shared" si="4"/>
        <v>1616.5526000000002</v>
      </c>
      <c r="J12" s="4">
        <f t="shared" si="4"/>
        <v>2101.5183800000004</v>
      </c>
    </row>
    <row r="13" spans="1:17" x14ac:dyDescent="0.15">
      <c r="A13" s="2" t="s">
        <v>17</v>
      </c>
      <c r="B13" s="4">
        <v>73</v>
      </c>
      <c r="C13" s="4">
        <v>88</v>
      </c>
      <c r="D13" s="4">
        <f>SUM(Reports!B6:E6)</f>
        <v>112</v>
      </c>
      <c r="E13" s="4">
        <f>SUM(Reports!F6:I6)</f>
        <v>147</v>
      </c>
      <c r="F13" s="4">
        <f>E13*1.2</f>
        <v>176.4</v>
      </c>
      <c r="G13" s="4">
        <f t="shared" ref="G13:J13" si="5">F13*1.2</f>
        <v>211.68</v>
      </c>
      <c r="H13" s="4">
        <f t="shared" si="5"/>
        <v>254.01599999999999</v>
      </c>
      <c r="I13" s="4">
        <f t="shared" si="5"/>
        <v>304.81919999999997</v>
      </c>
      <c r="J13" s="4">
        <f t="shared" si="5"/>
        <v>365.78303999999997</v>
      </c>
    </row>
    <row r="14" spans="1:17" x14ac:dyDescent="0.15">
      <c r="A14" s="2" t="s">
        <v>18</v>
      </c>
      <c r="B14" s="4">
        <v>44</v>
      </c>
      <c r="C14" s="4">
        <v>106</v>
      </c>
      <c r="D14" s="4">
        <f>SUM(Reports!B7:E7)</f>
        <v>226</v>
      </c>
      <c r="E14" s="4">
        <f>SUM(Reports!F7:I7)</f>
        <v>273</v>
      </c>
      <c r="F14" s="4">
        <f>E14*1.2</f>
        <v>327.59999999999997</v>
      </c>
      <c r="G14" s="4">
        <f t="shared" ref="G14:J14" si="6">F14*1.2</f>
        <v>393.11999999999995</v>
      </c>
      <c r="H14" s="4">
        <f t="shared" si="6"/>
        <v>471.74399999999991</v>
      </c>
      <c r="I14" s="4">
        <f t="shared" si="6"/>
        <v>566.0927999999999</v>
      </c>
      <c r="J14" s="4">
        <f t="shared" si="6"/>
        <v>679.31135999999981</v>
      </c>
    </row>
    <row r="15" spans="1:17" x14ac:dyDescent="0.15">
      <c r="B15" s="4"/>
      <c r="C15" s="4"/>
      <c r="D15" s="4"/>
      <c r="E15" s="4"/>
      <c r="F15" s="4"/>
      <c r="G15" s="4"/>
      <c r="H15" s="4"/>
      <c r="I15" s="4"/>
      <c r="J15" s="4"/>
    </row>
    <row r="16" spans="1:17" x14ac:dyDescent="0.15">
      <c r="A16" s="2" t="s">
        <v>80</v>
      </c>
      <c r="B16" s="4"/>
      <c r="C16" s="4"/>
      <c r="D16" s="4"/>
      <c r="E16" s="4"/>
      <c r="F16" s="4"/>
      <c r="G16" s="4"/>
      <c r="H16" s="4"/>
      <c r="I16" s="4"/>
      <c r="J16" s="4"/>
    </row>
    <row r="17" spans="1:56" x14ac:dyDescent="0.15">
      <c r="A17" s="2" t="s">
        <v>81</v>
      </c>
      <c r="B17" s="4"/>
      <c r="C17" s="4"/>
      <c r="D17" s="4"/>
      <c r="E17" s="4"/>
      <c r="F17" s="4"/>
      <c r="G17" s="4"/>
      <c r="H17" s="4"/>
      <c r="I17" s="4"/>
      <c r="J17" s="4"/>
    </row>
    <row r="19" spans="1:56" s="1" customFormat="1" x14ac:dyDescent="0.15">
      <c r="A19" s="1" t="s">
        <v>9</v>
      </c>
      <c r="B19" s="8">
        <f>SUM(B10:B14)</f>
        <v>1775</v>
      </c>
      <c r="C19" s="8">
        <f>SUM(C10:C14)</f>
        <v>2851</v>
      </c>
      <c r="D19" s="8">
        <f>SUM(D10:D14)</f>
        <v>4027</v>
      </c>
      <c r="E19" s="8">
        <f>SUM(E10:E14)</f>
        <v>4662</v>
      </c>
      <c r="F19" s="11">
        <f>SUM(F10:F14)</f>
        <v>5186.4000000000005</v>
      </c>
      <c r="G19" s="11">
        <f t="shared" ref="G19:J19" si="7">SUM(G10:G14)</f>
        <v>5800.75</v>
      </c>
      <c r="H19" s="11">
        <f t="shared" si="7"/>
        <v>6525.6705000000002</v>
      </c>
      <c r="I19" s="11">
        <f t="shared" si="7"/>
        <v>7387.224325000001</v>
      </c>
      <c r="J19" s="11">
        <f t="shared" si="7"/>
        <v>8418.4443712500015</v>
      </c>
      <c r="K19" s="11">
        <f>J19*1.05</f>
        <v>8839.3665898125018</v>
      </c>
      <c r="L19" s="11">
        <f t="shared" ref="L19:Q19" si="8">K19*1.05</f>
        <v>9281.3349193031281</v>
      </c>
      <c r="M19" s="11">
        <f t="shared" si="8"/>
        <v>9745.4016652682858</v>
      </c>
      <c r="N19" s="11">
        <f t="shared" si="8"/>
        <v>10232.6717485317</v>
      </c>
      <c r="O19" s="11">
        <f t="shared" si="8"/>
        <v>10744.305335958286</v>
      </c>
      <c r="P19" s="11">
        <f t="shared" si="8"/>
        <v>11281.520602756202</v>
      </c>
      <c r="Q19" s="11">
        <f t="shared" si="8"/>
        <v>11845.596632894012</v>
      </c>
    </row>
    <row r="20" spans="1:56" x14ac:dyDescent="0.15">
      <c r="A20" s="2" t="s">
        <v>29</v>
      </c>
      <c r="C20" s="2">
        <f>81+681</f>
        <v>762</v>
      </c>
      <c r="D20" s="4">
        <f>SUM(Reports!B13:E13)</f>
        <v>728</v>
      </c>
      <c r="E20" s="4">
        <f>SUM(Reports!F13:I13)</f>
        <v>968</v>
      </c>
      <c r="F20" s="4">
        <f>F19-F21</f>
        <v>1076.8844272844271</v>
      </c>
      <c r="G20" s="4">
        <f t="shared" ref="G20:Q20" si="9">G19-G21</f>
        <v>1204.4457314457313</v>
      </c>
      <c r="H20" s="4">
        <f t="shared" si="9"/>
        <v>1354.9654749034744</v>
      </c>
      <c r="I20" s="4">
        <f t="shared" si="9"/>
        <v>1533.8552438009438</v>
      </c>
      <c r="J20" s="4">
        <f t="shared" si="9"/>
        <v>1747.9738634427285</v>
      </c>
      <c r="K20" s="4">
        <f t="shared" si="9"/>
        <v>1835.3725566148651</v>
      </c>
      <c r="L20" s="4">
        <f t="shared" si="9"/>
        <v>1927.1411844456088</v>
      </c>
      <c r="M20" s="4">
        <f t="shared" si="9"/>
        <v>2023.4982436678893</v>
      </c>
      <c r="N20" s="4">
        <f t="shared" si="9"/>
        <v>2124.6731558512838</v>
      </c>
      <c r="O20" s="4">
        <f t="shared" si="9"/>
        <v>2230.9068136438473</v>
      </c>
      <c r="P20" s="4">
        <f t="shared" si="9"/>
        <v>2342.4521543260398</v>
      </c>
      <c r="Q20" s="4">
        <f t="shared" si="9"/>
        <v>2459.5747620423408</v>
      </c>
    </row>
    <row r="21" spans="1:56" x14ac:dyDescent="0.15">
      <c r="A21" s="2" t="s">
        <v>30</v>
      </c>
      <c r="C21" s="5">
        <f>C19-C20</f>
        <v>2089</v>
      </c>
      <c r="D21" s="5">
        <f>D19-D20</f>
        <v>3299</v>
      </c>
      <c r="E21" s="5">
        <f>E19-E20</f>
        <v>3694</v>
      </c>
      <c r="F21" s="4">
        <f>F19*E34</f>
        <v>4109.5155727155734</v>
      </c>
      <c r="G21" s="4">
        <f>G19*F34</f>
        <v>4596.3042685542687</v>
      </c>
      <c r="H21" s="4">
        <f t="shared" ref="H21:Q21" si="10">H19*G34</f>
        <v>5170.7050250965258</v>
      </c>
      <c r="I21" s="4">
        <f t="shared" si="10"/>
        <v>5853.3690811990573</v>
      </c>
      <c r="J21" s="4">
        <f t="shared" si="10"/>
        <v>6670.470507807273</v>
      </c>
      <c r="K21" s="4">
        <f t="shared" si="10"/>
        <v>7003.9940331976368</v>
      </c>
      <c r="L21" s="4">
        <f t="shared" si="10"/>
        <v>7354.1937348575193</v>
      </c>
      <c r="M21" s="4">
        <f t="shared" si="10"/>
        <v>7721.9034216003965</v>
      </c>
      <c r="N21" s="4">
        <f t="shared" si="10"/>
        <v>8107.9985926804166</v>
      </c>
      <c r="O21" s="4">
        <f t="shared" si="10"/>
        <v>8513.3985223144391</v>
      </c>
      <c r="P21" s="4">
        <f t="shared" si="10"/>
        <v>8939.0684484301619</v>
      </c>
      <c r="Q21" s="4">
        <f t="shared" si="10"/>
        <v>9386.0218708516713</v>
      </c>
    </row>
    <row r="22" spans="1:56" x14ac:dyDescent="0.15">
      <c r="A22" s="2" t="s">
        <v>31</v>
      </c>
      <c r="C22" s="2">
        <v>1107</v>
      </c>
      <c r="D22" s="4">
        <f>SUM(Reports!B15:E15)</f>
        <v>1232</v>
      </c>
      <c r="E22" s="4">
        <f>SUM(Reports!F15:I15)</f>
        <v>1442</v>
      </c>
      <c r="F22" s="4">
        <f>E22*1.1</f>
        <v>1586.2</v>
      </c>
      <c r="G22" s="4">
        <f t="shared" ref="G22:J22" si="11">F22*1.1</f>
        <v>1744.8200000000002</v>
      </c>
      <c r="H22" s="4">
        <f t="shared" si="11"/>
        <v>1919.3020000000004</v>
      </c>
      <c r="I22" s="4">
        <f t="shared" si="11"/>
        <v>2111.2322000000004</v>
      </c>
      <c r="J22" s="4">
        <f t="shared" si="11"/>
        <v>2322.3554200000008</v>
      </c>
      <c r="K22" s="4">
        <f>J22*0.98</f>
        <v>2275.9083116000006</v>
      </c>
      <c r="L22" s="4">
        <f t="shared" ref="L22:Q22" si="12">K22*0.98</f>
        <v>2230.3901453680005</v>
      </c>
      <c r="M22" s="4">
        <f t="shared" si="12"/>
        <v>2185.7823424606404</v>
      </c>
      <c r="N22" s="4">
        <f t="shared" si="12"/>
        <v>2142.0666956114273</v>
      </c>
      <c r="O22" s="4">
        <f t="shared" si="12"/>
        <v>2099.2253616991989</v>
      </c>
      <c r="P22" s="4">
        <f t="shared" si="12"/>
        <v>2057.2408544652149</v>
      </c>
      <c r="Q22" s="4">
        <f t="shared" si="12"/>
        <v>2016.0960373759106</v>
      </c>
    </row>
    <row r="23" spans="1:56" x14ac:dyDescent="0.15">
      <c r="A23" s="2" t="s">
        <v>32</v>
      </c>
      <c r="C23" s="2">
        <v>844</v>
      </c>
      <c r="D23" s="4">
        <f>SUM(Reports!B16:E16)</f>
        <v>1238</v>
      </c>
      <c r="E23" s="4">
        <f>SUM(Reports!F16:I16)</f>
        <v>1438</v>
      </c>
      <c r="F23" s="4">
        <f>E23*1.1</f>
        <v>1581.8000000000002</v>
      </c>
      <c r="G23" s="4">
        <f t="shared" ref="G23:J23" si="13">F23*1.1</f>
        <v>1739.9800000000002</v>
      </c>
      <c r="H23" s="4">
        <f t="shared" si="13"/>
        <v>1913.9780000000005</v>
      </c>
      <c r="I23" s="4">
        <f t="shared" si="13"/>
        <v>2105.3758000000007</v>
      </c>
      <c r="J23" s="4">
        <f t="shared" si="13"/>
        <v>2315.9133800000009</v>
      </c>
      <c r="K23" s="4">
        <f t="shared" ref="K23:Q23" si="14">J23*0.98</f>
        <v>2269.5951124000007</v>
      </c>
      <c r="L23" s="4">
        <f t="shared" si="14"/>
        <v>2224.2032101520008</v>
      </c>
      <c r="M23" s="4">
        <f t="shared" si="14"/>
        <v>2179.7191459489609</v>
      </c>
      <c r="N23" s="4">
        <f t="shared" si="14"/>
        <v>2136.1247630299818</v>
      </c>
      <c r="O23" s="4">
        <f t="shared" si="14"/>
        <v>2093.402267769382</v>
      </c>
      <c r="P23" s="4">
        <f t="shared" si="14"/>
        <v>2051.5342224139945</v>
      </c>
      <c r="Q23" s="4">
        <f t="shared" si="14"/>
        <v>2010.5035379657145</v>
      </c>
    </row>
    <row r="24" spans="1:56" x14ac:dyDescent="0.15">
      <c r="A24" s="2" t="s">
        <v>33</v>
      </c>
      <c r="C24" s="2">
        <v>363</v>
      </c>
      <c r="D24" s="4">
        <f>SUM(Reports!B17:E17)</f>
        <v>392</v>
      </c>
      <c r="E24" s="4">
        <f>SUM(Reports!F17:I17)</f>
        <v>423</v>
      </c>
      <c r="F24" s="4">
        <f>E24*1.05</f>
        <v>444.15000000000003</v>
      </c>
      <c r="G24" s="4">
        <f t="shared" ref="G24:J24" si="15">F24*1.05</f>
        <v>466.35750000000007</v>
      </c>
      <c r="H24" s="4">
        <f t="shared" si="15"/>
        <v>489.67537500000009</v>
      </c>
      <c r="I24" s="4">
        <f t="shared" si="15"/>
        <v>514.15914375000011</v>
      </c>
      <c r="J24" s="4">
        <f t="shared" si="15"/>
        <v>539.86710093750014</v>
      </c>
      <c r="K24" s="4">
        <f t="shared" ref="K24:Q24" si="16">J24*0.98</f>
        <v>529.06975891875015</v>
      </c>
      <c r="L24" s="4">
        <f t="shared" si="16"/>
        <v>518.48836374037512</v>
      </c>
      <c r="M24" s="4">
        <f t="shared" si="16"/>
        <v>508.11859646556763</v>
      </c>
      <c r="N24" s="4">
        <f t="shared" si="16"/>
        <v>497.95622453625629</v>
      </c>
      <c r="O24" s="4">
        <f t="shared" si="16"/>
        <v>487.99710004553117</v>
      </c>
      <c r="P24" s="4">
        <f t="shared" si="16"/>
        <v>478.23715804462051</v>
      </c>
      <c r="Q24" s="4">
        <f t="shared" si="16"/>
        <v>468.67241488372809</v>
      </c>
    </row>
    <row r="25" spans="1:56" x14ac:dyDescent="0.15">
      <c r="A25" s="2" t="s">
        <v>34</v>
      </c>
      <c r="C25" s="20">
        <f>SUM(C22:C24)</f>
        <v>2314</v>
      </c>
      <c r="D25" s="20">
        <f>SUM(D22:D24)</f>
        <v>2862</v>
      </c>
      <c r="E25" s="20">
        <f>SUM(E22:E24)</f>
        <v>3303</v>
      </c>
      <c r="F25" s="4">
        <f>SUM(F22:F24)</f>
        <v>3612.15</v>
      </c>
      <c r="G25" s="4">
        <f t="shared" ref="G25:Q25" si="17">SUM(G22:G24)</f>
        <v>3951.1575000000003</v>
      </c>
      <c r="H25" s="4">
        <f t="shared" si="17"/>
        <v>4322.9553750000005</v>
      </c>
      <c r="I25" s="4">
        <f t="shared" si="17"/>
        <v>4730.7671437500012</v>
      </c>
      <c r="J25" s="4">
        <f t="shared" si="17"/>
        <v>5178.1359009375019</v>
      </c>
      <c r="K25" s="4">
        <f t="shared" si="17"/>
        <v>5074.5731829187516</v>
      </c>
      <c r="L25" s="4">
        <f t="shared" si="17"/>
        <v>4973.0817192603763</v>
      </c>
      <c r="M25" s="4">
        <f t="shared" si="17"/>
        <v>4873.6200848751696</v>
      </c>
      <c r="N25" s="4">
        <f t="shared" si="17"/>
        <v>4776.1476831776654</v>
      </c>
      <c r="O25" s="4">
        <f t="shared" si="17"/>
        <v>4680.6247295141129</v>
      </c>
      <c r="P25" s="4">
        <f t="shared" si="17"/>
        <v>4587.01223492383</v>
      </c>
      <c r="Q25" s="4">
        <f t="shared" si="17"/>
        <v>4495.271990225353</v>
      </c>
    </row>
    <row r="26" spans="1:56" x14ac:dyDescent="0.15">
      <c r="A26" s="2" t="s">
        <v>35</v>
      </c>
      <c r="C26" s="5">
        <f>C21-C25</f>
        <v>-225</v>
      </c>
      <c r="D26" s="5">
        <f>D21-D25</f>
        <v>437</v>
      </c>
      <c r="E26" s="5">
        <f>E21-E25</f>
        <v>391</v>
      </c>
      <c r="F26" s="4">
        <f>F21-F25</f>
        <v>497.36557271557331</v>
      </c>
      <c r="G26" s="4">
        <f t="shared" ref="G26:Q26" si="18">G21-G25</f>
        <v>645.14676855426842</v>
      </c>
      <c r="H26" s="4">
        <f t="shared" si="18"/>
        <v>847.74965009652533</v>
      </c>
      <c r="I26" s="4">
        <f t="shared" si="18"/>
        <v>1122.6019374490561</v>
      </c>
      <c r="J26" s="4">
        <f t="shared" si="18"/>
        <v>1492.3346068697711</v>
      </c>
      <c r="K26" s="4">
        <f t="shared" si="18"/>
        <v>1929.4208502788852</v>
      </c>
      <c r="L26" s="4">
        <f t="shared" si="18"/>
        <v>2381.112015597143</v>
      </c>
      <c r="M26" s="4">
        <f t="shared" si="18"/>
        <v>2848.2833367252269</v>
      </c>
      <c r="N26" s="4">
        <f t="shared" si="18"/>
        <v>3331.8509095027512</v>
      </c>
      <c r="O26" s="4">
        <f t="shared" si="18"/>
        <v>3832.7737928003262</v>
      </c>
      <c r="P26" s="4">
        <f t="shared" si="18"/>
        <v>4352.0562135063319</v>
      </c>
      <c r="Q26" s="4">
        <f t="shared" si="18"/>
        <v>4890.7498806263184</v>
      </c>
    </row>
    <row r="27" spans="1:56" x14ac:dyDescent="0.15">
      <c r="A27" s="2" t="s">
        <v>36</v>
      </c>
      <c r="C27" s="2">
        <f>82-105-4+87</f>
        <v>60</v>
      </c>
      <c r="D27" s="4">
        <f>SUM(Reports!B20:E20)</f>
        <v>89</v>
      </c>
      <c r="E27" s="4">
        <f>SUM(Reports!F20:I20)</f>
        <v>-79</v>
      </c>
      <c r="F27" s="4">
        <f>E43*$F$3</f>
        <v>72.72</v>
      </c>
      <c r="G27" s="4">
        <f>F43*$F$3</f>
        <v>79.55371808319309</v>
      </c>
      <c r="H27" s="4">
        <f t="shared" ref="H27:Q27" si="19">G43*$F$3</f>
        <v>88.240832890962665</v>
      </c>
      <c r="I27" s="4">
        <f t="shared" si="19"/>
        <v>99.460718808825504</v>
      </c>
      <c r="J27" s="4">
        <f t="shared" si="19"/>
        <v>114.10980321396805</v>
      </c>
      <c r="K27" s="4">
        <f t="shared" si="19"/>
        <v>133.366540693818</v>
      </c>
      <c r="L27" s="4">
        <f t="shared" si="19"/>
        <v>158.09354339329846</v>
      </c>
      <c r="M27" s="4">
        <f t="shared" si="19"/>
        <v>188.53145618376081</v>
      </c>
      <c r="N27" s="4">
        <f t="shared" si="19"/>
        <v>224.93430017568267</v>
      </c>
      <c r="O27" s="4">
        <f t="shared" si="19"/>
        <v>267.57012288144341</v>
      </c>
      <c r="P27" s="4">
        <f t="shared" si="19"/>
        <v>316.72168135788513</v>
      </c>
      <c r="Q27" s="4">
        <f t="shared" si="19"/>
        <v>372.68715996939852</v>
      </c>
    </row>
    <row r="28" spans="1:56" x14ac:dyDescent="0.15">
      <c r="A28" s="2" t="s">
        <v>37</v>
      </c>
      <c r="C28" s="5">
        <f>C26+C27</f>
        <v>-165</v>
      </c>
      <c r="D28" s="5">
        <f>D26+D27</f>
        <v>526</v>
      </c>
      <c r="E28" s="5">
        <f>E26+E27</f>
        <v>312</v>
      </c>
      <c r="F28" s="4">
        <f>F26+F27</f>
        <v>570.08557271557333</v>
      </c>
      <c r="G28" s="4">
        <f t="shared" ref="G28:Q28" si="20">G26+G27</f>
        <v>724.70048663746149</v>
      </c>
      <c r="H28" s="4">
        <f t="shared" si="20"/>
        <v>935.99048298748801</v>
      </c>
      <c r="I28" s="4">
        <f t="shared" si="20"/>
        <v>1222.0626562578816</v>
      </c>
      <c r="J28" s="4">
        <f t="shared" si="20"/>
        <v>1606.4444100837391</v>
      </c>
      <c r="K28" s="4">
        <f t="shared" si="20"/>
        <v>2062.7873909727032</v>
      </c>
      <c r="L28" s="4">
        <f t="shared" si="20"/>
        <v>2539.2055589904417</v>
      </c>
      <c r="M28" s="4">
        <f t="shared" si="20"/>
        <v>3036.8147929089878</v>
      </c>
      <c r="N28" s="4">
        <f t="shared" si="20"/>
        <v>3556.7852096784336</v>
      </c>
      <c r="O28" s="4">
        <f t="shared" si="20"/>
        <v>4100.3439156817694</v>
      </c>
      <c r="P28" s="4">
        <f t="shared" si="20"/>
        <v>4668.7778948642172</v>
      </c>
      <c r="Q28" s="4">
        <f t="shared" si="20"/>
        <v>5263.437040595717</v>
      </c>
    </row>
    <row r="29" spans="1:56" x14ac:dyDescent="0.15">
      <c r="A29" s="2" t="s">
        <v>38</v>
      </c>
      <c r="C29" s="2">
        <v>69</v>
      </c>
      <c r="D29" s="4">
        <f>SUM(Reports!B22:E22)</f>
        <v>201</v>
      </c>
      <c r="E29" s="4">
        <f>SUM(Reports!F22:I22)</f>
        <v>125</v>
      </c>
      <c r="F29" s="4">
        <f>F28*E36</f>
        <v>228.39966855591882</v>
      </c>
      <c r="G29" s="4">
        <f>G28*F36</f>
        <v>290.34474624898297</v>
      </c>
      <c r="H29" s="4">
        <f t="shared" ref="H29:Q29" si="21">H28*G36</f>
        <v>374.99618709434617</v>
      </c>
      <c r="I29" s="4">
        <f t="shared" si="21"/>
        <v>489.6084360007539</v>
      </c>
      <c r="J29" s="4">
        <f t="shared" si="21"/>
        <v>643.60753609124163</v>
      </c>
      <c r="K29" s="4">
        <f t="shared" si="21"/>
        <v>826.43725599867923</v>
      </c>
      <c r="L29" s="4">
        <f t="shared" si="21"/>
        <v>1017.3099194673244</v>
      </c>
      <c r="M29" s="4">
        <f t="shared" si="21"/>
        <v>1216.6725933128957</v>
      </c>
      <c r="N29" s="4">
        <f t="shared" si="21"/>
        <v>1424.9940743903981</v>
      </c>
      <c r="O29" s="4">
        <f t="shared" si="21"/>
        <v>1642.7659918596833</v>
      </c>
      <c r="P29" s="4">
        <f t="shared" si="21"/>
        <v>1870.5039642885486</v>
      </c>
      <c r="Q29" s="4">
        <f t="shared" si="21"/>
        <v>2108.7488143412329</v>
      </c>
    </row>
    <row r="30" spans="1:56" s="1" customFormat="1" x14ac:dyDescent="0.15">
      <c r="A30" s="1" t="s">
        <v>20</v>
      </c>
      <c r="C30" s="8">
        <f>C28-C29</f>
        <v>-234</v>
      </c>
      <c r="D30" s="8">
        <f>D28-D29</f>
        <v>325</v>
      </c>
      <c r="E30" s="8">
        <f>E28-E29</f>
        <v>187</v>
      </c>
      <c r="F30" s="8">
        <f>F28-F29</f>
        <v>341.68590415965451</v>
      </c>
      <c r="G30" s="8">
        <f t="shared" ref="G30:Q30" si="22">G28-G29</f>
        <v>434.35574038847852</v>
      </c>
      <c r="H30" s="8">
        <f t="shared" si="22"/>
        <v>560.99429589314184</v>
      </c>
      <c r="I30" s="8">
        <f t="shared" si="22"/>
        <v>732.45422025712764</v>
      </c>
      <c r="J30" s="8">
        <f t="shared" si="22"/>
        <v>962.83687399249743</v>
      </c>
      <c r="K30" s="8">
        <f t="shared" si="22"/>
        <v>1236.3501349740241</v>
      </c>
      <c r="L30" s="8">
        <f t="shared" si="22"/>
        <v>1521.8956395231171</v>
      </c>
      <c r="M30" s="8">
        <f t="shared" si="22"/>
        <v>1820.142199596092</v>
      </c>
      <c r="N30" s="8">
        <f t="shared" si="22"/>
        <v>2131.7911352880355</v>
      </c>
      <c r="O30" s="8">
        <f t="shared" si="22"/>
        <v>2457.5779238220862</v>
      </c>
      <c r="P30" s="8">
        <f t="shared" si="22"/>
        <v>2798.2739305756686</v>
      </c>
      <c r="Q30" s="8">
        <f t="shared" si="22"/>
        <v>3154.6882262544841</v>
      </c>
      <c r="R30" s="8">
        <f>Q30*($F$2+1)</f>
        <v>3138.9147851232115</v>
      </c>
      <c r="S30" s="8">
        <f t="shared" ref="S30:BD30" si="23">R30*($F$2+1)</f>
        <v>3123.2202111975953</v>
      </c>
      <c r="T30" s="8">
        <f t="shared" si="23"/>
        <v>3107.6041101416072</v>
      </c>
      <c r="U30" s="8">
        <f t="shared" si="23"/>
        <v>3092.0660895908991</v>
      </c>
      <c r="V30" s="8">
        <f t="shared" si="23"/>
        <v>3076.6057591429444</v>
      </c>
      <c r="W30" s="8">
        <f t="shared" si="23"/>
        <v>3061.2227303472296</v>
      </c>
      <c r="X30" s="8">
        <f t="shared" si="23"/>
        <v>3045.9166166954933</v>
      </c>
      <c r="Y30" s="8">
        <f t="shared" si="23"/>
        <v>3030.687033612016</v>
      </c>
      <c r="Z30" s="8">
        <f t="shared" si="23"/>
        <v>3015.5335984439557</v>
      </c>
      <c r="AA30" s="8">
        <f t="shared" si="23"/>
        <v>3000.4559304517361</v>
      </c>
      <c r="AB30" s="8">
        <f t="shared" si="23"/>
        <v>2985.4536507994776</v>
      </c>
      <c r="AC30" s="8">
        <f t="shared" si="23"/>
        <v>2970.5263825454804</v>
      </c>
      <c r="AD30" s="8">
        <f t="shared" si="23"/>
        <v>2955.6737506327531</v>
      </c>
      <c r="AE30" s="8">
        <f t="shared" si="23"/>
        <v>2940.8953818795894</v>
      </c>
      <c r="AF30" s="8">
        <f t="shared" si="23"/>
        <v>2926.1909049701912</v>
      </c>
      <c r="AG30" s="8">
        <f t="shared" si="23"/>
        <v>2911.5599504453403</v>
      </c>
      <c r="AH30" s="8">
        <f t="shared" si="23"/>
        <v>2897.0021506931134</v>
      </c>
      <c r="AI30" s="8">
        <f t="shared" si="23"/>
        <v>2882.5171399396477</v>
      </c>
      <c r="AJ30" s="8">
        <f t="shared" si="23"/>
        <v>2868.1045542399493</v>
      </c>
      <c r="AK30" s="8">
        <f t="shared" si="23"/>
        <v>2853.7640314687496</v>
      </c>
      <c r="AL30" s="8">
        <f t="shared" si="23"/>
        <v>2839.4952113114059</v>
      </c>
      <c r="AM30" s="8">
        <f t="shared" si="23"/>
        <v>2825.2977352548487</v>
      </c>
      <c r="AN30" s="8">
        <f t="shared" si="23"/>
        <v>2811.1712465785745</v>
      </c>
      <c r="AO30" s="8">
        <f t="shared" si="23"/>
        <v>2797.1153903456816</v>
      </c>
      <c r="AP30" s="8">
        <f t="shared" si="23"/>
        <v>2783.1298133939531</v>
      </c>
      <c r="AQ30" s="8">
        <f t="shared" si="23"/>
        <v>2769.2141643269833</v>
      </c>
      <c r="AR30" s="8">
        <f t="shared" si="23"/>
        <v>2755.3680935053485</v>
      </c>
      <c r="AS30" s="8">
        <f t="shared" si="23"/>
        <v>2741.5912530378218</v>
      </c>
      <c r="AT30" s="8">
        <f t="shared" si="23"/>
        <v>2727.8832967726325</v>
      </c>
      <c r="AU30" s="8">
        <f t="shared" si="23"/>
        <v>2714.2438802887696</v>
      </c>
      <c r="AV30" s="8">
        <f t="shared" si="23"/>
        <v>2700.6726608873255</v>
      </c>
      <c r="AW30" s="8">
        <f t="shared" si="23"/>
        <v>2687.1692975828887</v>
      </c>
      <c r="AX30" s="8">
        <f t="shared" si="23"/>
        <v>2673.733451094974</v>
      </c>
      <c r="AY30" s="8">
        <f t="shared" si="23"/>
        <v>2660.3647838394991</v>
      </c>
      <c r="AZ30" s="8">
        <f t="shared" si="23"/>
        <v>2647.0629599203016</v>
      </c>
      <c r="BA30" s="8">
        <f t="shared" si="23"/>
        <v>2633.8276451207003</v>
      </c>
      <c r="BB30" s="8">
        <f t="shared" si="23"/>
        <v>2620.6585068950967</v>
      </c>
      <c r="BC30" s="8">
        <f t="shared" si="23"/>
        <v>2607.555214360621</v>
      </c>
      <c r="BD30" s="8">
        <f t="shared" si="23"/>
        <v>2594.5174382888181</v>
      </c>
    </row>
    <row r="31" spans="1:56" x14ac:dyDescent="0.15">
      <c r="A31" s="2" t="s">
        <v>39</v>
      </c>
      <c r="C31" s="7">
        <f>C30/C32</f>
        <v>-3.9549352369214095</v>
      </c>
      <c r="D31" s="7">
        <f>D30/D32</f>
        <v>4.4010910643293935</v>
      </c>
      <c r="E31" s="7">
        <f>E30/E32</f>
        <v>2.7196814709061274</v>
      </c>
      <c r="F31" s="3">
        <f>F30/F32</f>
        <v>4.9693947722610652</v>
      </c>
      <c r="G31" s="3">
        <f t="shared" ref="G31:Q31" si="24">G30/G32</f>
        <v>6.3171618123864022</v>
      </c>
      <c r="H31" s="3">
        <f t="shared" si="24"/>
        <v>8.1589614536075246</v>
      </c>
      <c r="I31" s="3">
        <f t="shared" si="24"/>
        <v>10.652631931124628</v>
      </c>
      <c r="J31" s="3">
        <f t="shared" si="24"/>
        <v>14.003259923543171</v>
      </c>
      <c r="K31" s="3">
        <f t="shared" si="24"/>
        <v>17.98116873604889</v>
      </c>
      <c r="L31" s="3">
        <f t="shared" si="24"/>
        <v>22.134071505154289</v>
      </c>
      <c r="M31" s="3">
        <f t="shared" si="24"/>
        <v>26.471695265539108</v>
      </c>
      <c r="N31" s="3">
        <f t="shared" si="24"/>
        <v>31.004239842164747</v>
      </c>
      <c r="O31" s="3">
        <f t="shared" si="24"/>
        <v>35.742401832764052</v>
      </c>
      <c r="P31" s="3">
        <f t="shared" si="24"/>
        <v>40.697399783456177</v>
      </c>
      <c r="Q31" s="3">
        <f t="shared" si="24"/>
        <v>45.881000617272925</v>
      </c>
    </row>
    <row r="32" spans="1:56" x14ac:dyDescent="0.15">
      <c r="A32" s="4" t="s">
        <v>3</v>
      </c>
      <c r="C32" s="4">
        <v>59.166581999999998</v>
      </c>
      <c r="D32" s="4">
        <f>Reports!E25</f>
        <v>73.845325000000003</v>
      </c>
      <c r="E32" s="4">
        <f>Reports!I25</f>
        <v>68.758052000000006</v>
      </c>
      <c r="F32" s="4">
        <f>E32</f>
        <v>68.758052000000006</v>
      </c>
      <c r="G32" s="4">
        <f t="shared" ref="G32:Q32" si="25">F32</f>
        <v>68.758052000000006</v>
      </c>
      <c r="H32" s="4">
        <f t="shared" si="25"/>
        <v>68.758052000000006</v>
      </c>
      <c r="I32" s="4">
        <f t="shared" si="25"/>
        <v>68.758052000000006</v>
      </c>
      <c r="J32" s="4">
        <f t="shared" si="25"/>
        <v>68.758052000000006</v>
      </c>
      <c r="K32" s="4">
        <f t="shared" si="25"/>
        <v>68.758052000000006</v>
      </c>
      <c r="L32" s="4">
        <f t="shared" si="25"/>
        <v>68.758052000000006</v>
      </c>
      <c r="M32" s="4">
        <f t="shared" si="25"/>
        <v>68.758052000000006</v>
      </c>
      <c r="N32" s="4">
        <f t="shared" si="25"/>
        <v>68.758052000000006</v>
      </c>
      <c r="O32" s="4">
        <f t="shared" si="25"/>
        <v>68.758052000000006</v>
      </c>
      <c r="P32" s="4">
        <f t="shared" si="25"/>
        <v>68.758052000000006</v>
      </c>
      <c r="Q32" s="4">
        <f t="shared" si="25"/>
        <v>68.758052000000006</v>
      </c>
    </row>
    <row r="33" spans="1:17" x14ac:dyDescent="0.15">
      <c r="A33" s="6" t="s">
        <v>92</v>
      </c>
      <c r="C33" s="4">
        <f>C32/0.125</f>
        <v>473.33265599999999</v>
      </c>
      <c r="D33" s="4">
        <f>D32/0.125</f>
        <v>590.76260000000002</v>
      </c>
      <c r="E33" s="4">
        <f>E32/0.125</f>
        <v>550.06441600000005</v>
      </c>
    </row>
    <row r="34" spans="1:17" x14ac:dyDescent="0.15">
      <c r="A34" s="2" t="s">
        <v>40</v>
      </c>
      <c r="C34" s="10">
        <f>C21/C19</f>
        <v>0.73272535952297435</v>
      </c>
      <c r="D34" s="10">
        <f>D21/D19</f>
        <v>0.81922026322324315</v>
      </c>
      <c r="E34" s="10">
        <f>E21/E19</f>
        <v>0.7923637923637924</v>
      </c>
      <c r="F34" s="10">
        <f t="shared" ref="F34:Q34" si="26">F21/F19</f>
        <v>0.7923637923637924</v>
      </c>
      <c r="G34" s="10">
        <f t="shared" si="26"/>
        <v>0.7923637923637924</v>
      </c>
      <c r="H34" s="10">
        <f t="shared" si="26"/>
        <v>0.7923637923637924</v>
      </c>
      <c r="I34" s="10">
        <f t="shared" si="26"/>
        <v>0.7923637923637924</v>
      </c>
      <c r="J34" s="10">
        <f t="shared" si="26"/>
        <v>0.7923637923637924</v>
      </c>
      <c r="K34" s="10">
        <f t="shared" si="26"/>
        <v>0.7923637923637924</v>
      </c>
      <c r="L34" s="10">
        <f t="shared" si="26"/>
        <v>0.7923637923637924</v>
      </c>
      <c r="M34" s="10">
        <f t="shared" si="26"/>
        <v>0.7923637923637924</v>
      </c>
      <c r="N34" s="10">
        <f t="shared" si="26"/>
        <v>0.7923637923637924</v>
      </c>
      <c r="O34" s="10">
        <f t="shared" si="26"/>
        <v>0.79236379236379251</v>
      </c>
      <c r="P34" s="10">
        <f t="shared" si="26"/>
        <v>0.79236379236379251</v>
      </c>
      <c r="Q34" s="10">
        <f t="shared" si="26"/>
        <v>0.79236379236379251</v>
      </c>
    </row>
    <row r="35" spans="1:17" x14ac:dyDescent="0.15">
      <c r="A35" s="2" t="s">
        <v>41</v>
      </c>
      <c r="C35" s="10">
        <f>C26/C19</f>
        <v>-7.8919677306208344E-2</v>
      </c>
      <c r="D35" s="10">
        <f>D26/D19</f>
        <v>0.10851750682890489</v>
      </c>
      <c r="E35" s="10">
        <f>E26/E19</f>
        <v>8.3869583869583875E-2</v>
      </c>
      <c r="F35" s="10">
        <f t="shared" ref="F35:Q35" si="27">F26/F19</f>
        <v>9.5898035769623108E-2</v>
      </c>
      <c r="G35" s="10">
        <f t="shared" si="27"/>
        <v>0.11121781986023677</v>
      </c>
      <c r="H35" s="10">
        <f t="shared" si="27"/>
        <v>0.12990996865326335</v>
      </c>
      <c r="I35" s="10">
        <f t="shared" si="27"/>
        <v>0.15196532392415957</v>
      </c>
      <c r="J35" s="10">
        <f t="shared" si="27"/>
        <v>0.1772696404535585</v>
      </c>
      <c r="K35" s="10">
        <f t="shared" si="27"/>
        <v>0.21827591724757411</v>
      </c>
      <c r="L35" s="10">
        <f t="shared" si="27"/>
        <v>0.25654844225532208</v>
      </c>
      <c r="M35" s="10">
        <f t="shared" si="27"/>
        <v>0.29226946559588679</v>
      </c>
      <c r="N35" s="10">
        <f t="shared" si="27"/>
        <v>0.32560908738041389</v>
      </c>
      <c r="O35" s="10">
        <f t="shared" si="27"/>
        <v>0.35672606771263921</v>
      </c>
      <c r="P35" s="10">
        <f t="shared" si="27"/>
        <v>0.38576858268938286</v>
      </c>
      <c r="Q35" s="10">
        <f t="shared" si="27"/>
        <v>0.41287493000101028</v>
      </c>
    </row>
    <row r="36" spans="1:17" x14ac:dyDescent="0.15">
      <c r="A36" s="2" t="s">
        <v>42</v>
      </c>
      <c r="C36" s="10">
        <f>C29/C28</f>
        <v>-0.41818181818181815</v>
      </c>
      <c r="D36" s="10">
        <f>D29/D28</f>
        <v>0.38212927756653992</v>
      </c>
      <c r="E36" s="10">
        <f>E29/E28</f>
        <v>0.40064102564102566</v>
      </c>
      <c r="F36" s="10">
        <f t="shared" ref="F36:Q36" si="28">F29/F28</f>
        <v>0.40064102564102566</v>
      </c>
      <c r="G36" s="10">
        <f t="shared" si="28"/>
        <v>0.40064102564102566</v>
      </c>
      <c r="H36" s="10">
        <f t="shared" si="28"/>
        <v>0.40064102564102566</v>
      </c>
      <c r="I36" s="10">
        <f t="shared" si="28"/>
        <v>0.40064102564102566</v>
      </c>
      <c r="J36" s="10">
        <f t="shared" si="28"/>
        <v>0.40064102564102566</v>
      </c>
      <c r="K36" s="10">
        <f t="shared" si="28"/>
        <v>0.40064102564102566</v>
      </c>
      <c r="L36" s="10">
        <f t="shared" si="28"/>
        <v>0.40064102564102566</v>
      </c>
      <c r="M36" s="10">
        <f t="shared" si="28"/>
        <v>0.40064102564102566</v>
      </c>
      <c r="N36" s="10">
        <f t="shared" si="28"/>
        <v>0.40064102564102566</v>
      </c>
      <c r="O36" s="10">
        <f t="shared" si="28"/>
        <v>0.40064102564102566</v>
      </c>
      <c r="P36" s="10">
        <f t="shared" si="28"/>
        <v>0.40064102564102566</v>
      </c>
      <c r="Q36" s="10">
        <f t="shared" si="28"/>
        <v>0.40064102564102566</v>
      </c>
    </row>
    <row r="38" spans="1:17" s="1" customFormat="1" x14ac:dyDescent="0.15">
      <c r="A38" s="1" t="s">
        <v>10</v>
      </c>
      <c r="C38" s="9">
        <f>C19/B19-1</f>
        <v>0.6061971830985915</v>
      </c>
      <c r="D38" s="9">
        <f>D19/C19-1</f>
        <v>0.412486846720449</v>
      </c>
      <c r="E38" s="9">
        <f>E19/D19-1</f>
        <v>0.15768562205115466</v>
      </c>
      <c r="F38" s="9">
        <f t="shared" ref="F38:I38" si="29">F19/E19-1</f>
        <v>0.11248391248391254</v>
      </c>
      <c r="G38" s="9">
        <f t="shared" si="29"/>
        <v>0.1184540336264075</v>
      </c>
      <c r="H38" s="9">
        <f t="shared" si="29"/>
        <v>0.12497013317243466</v>
      </c>
      <c r="I38" s="9">
        <f t="shared" si="29"/>
        <v>0.13202533364196078</v>
      </c>
      <c r="J38" s="9">
        <f t="shared" ref="J38" si="30">J19/I19-1</f>
        <v>0.1395950631633216</v>
      </c>
      <c r="K38" s="9">
        <f t="shared" ref="K38" si="31">K19/J19-1</f>
        <v>5.0000000000000044E-2</v>
      </c>
      <c r="L38" s="9">
        <f t="shared" ref="L38" si="32">L19/K19-1</f>
        <v>5.0000000000000044E-2</v>
      </c>
      <c r="M38" s="9">
        <f t="shared" ref="M38" si="33">M19/L19-1</f>
        <v>5.0000000000000044E-2</v>
      </c>
      <c r="N38" s="9">
        <f t="shared" ref="N38" si="34">N19/M19-1</f>
        <v>5.0000000000000044E-2</v>
      </c>
      <c r="O38" s="9">
        <f t="shared" ref="O38" si="35">O19/N19-1</f>
        <v>5.0000000000000044E-2</v>
      </c>
      <c r="P38" s="9">
        <f t="shared" ref="P38" si="36">P19/O19-1</f>
        <v>5.0000000000000044E-2</v>
      </c>
      <c r="Q38" s="9">
        <f t="shared" ref="Q38" si="37">Q19/P19-1</f>
        <v>5.0000000000000044E-2</v>
      </c>
    </row>
    <row r="39" spans="1:17" s="1" customFormat="1" x14ac:dyDescent="0.15">
      <c r="A39" s="2" t="s">
        <v>43</v>
      </c>
      <c r="C39" s="10"/>
      <c r="D39" s="10">
        <f>D22/C22-1</f>
        <v>0.11291779584462502</v>
      </c>
      <c r="E39" s="10">
        <f t="shared" ref="D39:E41" si="38">E22/D22-1</f>
        <v>0.17045454545454541</v>
      </c>
      <c r="F39" s="10">
        <f t="shared" ref="F39:Q39" si="39">F22/E22-1</f>
        <v>0.10000000000000009</v>
      </c>
      <c r="G39" s="10">
        <f t="shared" si="39"/>
        <v>0.10000000000000009</v>
      </c>
      <c r="H39" s="10">
        <f t="shared" si="39"/>
        <v>0.10000000000000009</v>
      </c>
      <c r="I39" s="10">
        <f t="shared" si="39"/>
        <v>0.10000000000000009</v>
      </c>
      <c r="J39" s="10">
        <f t="shared" si="39"/>
        <v>0.10000000000000009</v>
      </c>
      <c r="K39" s="10">
        <f t="shared" si="39"/>
        <v>-2.0000000000000018E-2</v>
      </c>
      <c r="L39" s="10">
        <f t="shared" si="39"/>
        <v>-2.0000000000000018E-2</v>
      </c>
      <c r="M39" s="10">
        <f t="shared" si="39"/>
        <v>-2.0000000000000018E-2</v>
      </c>
      <c r="N39" s="10">
        <f t="shared" si="39"/>
        <v>-2.0000000000000129E-2</v>
      </c>
      <c r="O39" s="10">
        <f t="shared" si="39"/>
        <v>-2.0000000000000018E-2</v>
      </c>
      <c r="P39" s="10">
        <f t="shared" si="39"/>
        <v>-2.0000000000000018E-2</v>
      </c>
      <c r="Q39" s="10">
        <f t="shared" si="39"/>
        <v>-2.0000000000000018E-2</v>
      </c>
    </row>
    <row r="40" spans="1:17" s="1" customFormat="1" x14ac:dyDescent="0.15">
      <c r="A40" s="2" t="s">
        <v>44</v>
      </c>
      <c r="C40" s="10"/>
      <c r="D40" s="10">
        <f t="shared" si="38"/>
        <v>0.46682464454976302</v>
      </c>
      <c r="E40" s="10">
        <f t="shared" si="38"/>
        <v>0.16155088852988686</v>
      </c>
      <c r="F40" s="10">
        <f t="shared" ref="F40:Q40" si="40">F23/E23-1</f>
        <v>0.10000000000000009</v>
      </c>
      <c r="G40" s="10">
        <f t="shared" si="40"/>
        <v>0.10000000000000009</v>
      </c>
      <c r="H40" s="10">
        <f t="shared" si="40"/>
        <v>0.10000000000000009</v>
      </c>
      <c r="I40" s="10">
        <f t="shared" si="40"/>
        <v>0.10000000000000009</v>
      </c>
      <c r="J40" s="10">
        <f t="shared" si="40"/>
        <v>0.10000000000000009</v>
      </c>
      <c r="K40" s="10">
        <f t="shared" si="40"/>
        <v>-2.0000000000000018E-2</v>
      </c>
      <c r="L40" s="10">
        <f t="shared" si="40"/>
        <v>-2.0000000000000018E-2</v>
      </c>
      <c r="M40" s="10">
        <f t="shared" si="40"/>
        <v>-1.9999999999999907E-2</v>
      </c>
      <c r="N40" s="10">
        <f t="shared" si="40"/>
        <v>-2.0000000000000018E-2</v>
      </c>
      <c r="O40" s="10">
        <f t="shared" si="40"/>
        <v>-2.0000000000000018E-2</v>
      </c>
      <c r="P40" s="10">
        <f t="shared" si="40"/>
        <v>-1.9999999999999907E-2</v>
      </c>
      <c r="Q40" s="10">
        <f t="shared" si="40"/>
        <v>-2.0000000000000018E-2</v>
      </c>
    </row>
    <row r="41" spans="1:17" s="1" customFormat="1" x14ac:dyDescent="0.15">
      <c r="A41" s="2" t="s">
        <v>45</v>
      </c>
      <c r="C41" s="10"/>
      <c r="D41" s="10">
        <f t="shared" si="38"/>
        <v>7.9889807162534465E-2</v>
      </c>
      <c r="E41" s="10">
        <f t="shared" si="38"/>
        <v>7.9081632653061229E-2</v>
      </c>
      <c r="F41" s="10">
        <f t="shared" ref="F41:Q41" si="41">F24/E24-1</f>
        <v>5.0000000000000044E-2</v>
      </c>
      <c r="G41" s="10">
        <f t="shared" si="41"/>
        <v>5.0000000000000044E-2</v>
      </c>
      <c r="H41" s="10">
        <f t="shared" si="41"/>
        <v>5.0000000000000044E-2</v>
      </c>
      <c r="I41" s="10">
        <f t="shared" si="41"/>
        <v>5.0000000000000044E-2</v>
      </c>
      <c r="J41" s="10">
        <f t="shared" si="41"/>
        <v>5.0000000000000044E-2</v>
      </c>
      <c r="K41" s="10">
        <f t="shared" si="41"/>
        <v>-2.0000000000000018E-2</v>
      </c>
      <c r="L41" s="10">
        <f t="shared" si="41"/>
        <v>-2.0000000000000018E-2</v>
      </c>
      <c r="M41" s="10">
        <f t="shared" si="41"/>
        <v>-2.0000000000000018E-2</v>
      </c>
      <c r="N41" s="10">
        <f t="shared" si="41"/>
        <v>-2.0000000000000018E-2</v>
      </c>
      <c r="O41" s="10">
        <f t="shared" si="41"/>
        <v>-2.0000000000000018E-2</v>
      </c>
      <c r="P41" s="10">
        <f t="shared" si="41"/>
        <v>-2.0000000000000018E-2</v>
      </c>
      <c r="Q41" s="10">
        <f t="shared" si="41"/>
        <v>-2.0000000000000018E-2</v>
      </c>
    </row>
    <row r="42" spans="1:17" s="1" customFormat="1" x14ac:dyDescent="0.15">
      <c r="C42" s="9"/>
      <c r="D42" s="9"/>
      <c r="E42" s="9"/>
      <c r="F42" s="9"/>
      <c r="G42" s="9"/>
      <c r="H42" s="9"/>
      <c r="I42" s="9"/>
    </row>
    <row r="43" spans="1:17" s="1" customFormat="1" x14ac:dyDescent="0.15">
      <c r="A43" s="1" t="s">
        <v>5</v>
      </c>
      <c r="D43" s="8">
        <f>D44-D45</f>
        <v>991</v>
      </c>
      <c r="E43" s="8">
        <f>E44-E45</f>
        <v>3636</v>
      </c>
      <c r="F43" s="11">
        <f>E43+F30</f>
        <v>3977.6859041596545</v>
      </c>
      <c r="G43" s="11">
        <f t="shared" ref="G43:Q43" si="42">F43+G30</f>
        <v>4412.0416445481333</v>
      </c>
      <c r="H43" s="11">
        <f t="shared" si="42"/>
        <v>4973.0359404412748</v>
      </c>
      <c r="I43" s="11">
        <f t="shared" si="42"/>
        <v>5705.4901606984022</v>
      </c>
      <c r="J43" s="11">
        <f t="shared" si="42"/>
        <v>6668.3270346908994</v>
      </c>
      <c r="K43" s="11">
        <f t="shared" si="42"/>
        <v>7904.677169664923</v>
      </c>
      <c r="L43" s="11">
        <f t="shared" si="42"/>
        <v>9426.572809188041</v>
      </c>
      <c r="M43" s="11">
        <f t="shared" si="42"/>
        <v>11246.715008784133</v>
      </c>
      <c r="N43" s="11">
        <f t="shared" si="42"/>
        <v>13378.506144072169</v>
      </c>
      <c r="O43" s="11">
        <f t="shared" si="42"/>
        <v>15836.084067894255</v>
      </c>
      <c r="P43" s="11">
        <f t="shared" si="42"/>
        <v>18634.357998469924</v>
      </c>
      <c r="Q43" s="11">
        <f t="shared" si="42"/>
        <v>21789.046224724407</v>
      </c>
    </row>
    <row r="44" spans="1:17" x14ac:dyDescent="0.15">
      <c r="A44" s="2" t="s">
        <v>46</v>
      </c>
      <c r="C44" s="10"/>
      <c r="D44" s="4">
        <f>Reports!E37</f>
        <v>7990</v>
      </c>
      <c r="E44" s="4">
        <f>Reports!I37</f>
        <v>12386</v>
      </c>
    </row>
    <row r="45" spans="1:17" x14ac:dyDescent="0.15">
      <c r="A45" s="2" t="s">
        <v>47</v>
      </c>
      <c r="C45" s="10"/>
      <c r="D45" s="4">
        <f>Reports!E38</f>
        <v>6999</v>
      </c>
      <c r="E45" s="4">
        <f>Reports!I38</f>
        <v>8750</v>
      </c>
    </row>
    <row r="47" spans="1:17" x14ac:dyDescent="0.15">
      <c r="A47" s="2" t="s">
        <v>48</v>
      </c>
      <c r="D47" s="4">
        <f>Reports!E40</f>
        <v>12576</v>
      </c>
      <c r="E47" s="4">
        <f>Reports!I40</f>
        <v>10435</v>
      </c>
    </row>
    <row r="48" spans="1:17" x14ac:dyDescent="0.15">
      <c r="A48" s="2" t="s">
        <v>49</v>
      </c>
      <c r="D48" s="4">
        <f>Reports!E41</f>
        <v>24906</v>
      </c>
      <c r="E48" s="4">
        <f>Reports!I41</f>
        <v>27028</v>
      </c>
    </row>
    <row r="49" spans="1:10" x14ac:dyDescent="0.15">
      <c r="A49" s="2" t="s">
        <v>50</v>
      </c>
      <c r="D49" s="4">
        <f>Reports!E42</f>
        <v>11616</v>
      </c>
      <c r="E49" s="4">
        <f>Reports!I42</f>
        <v>14123</v>
      </c>
    </row>
    <row r="51" spans="1:10" x14ac:dyDescent="0.15">
      <c r="A51" s="2" t="s">
        <v>51</v>
      </c>
      <c r="D51" s="5">
        <f>D48-D47-D44</f>
        <v>4340</v>
      </c>
      <c r="E51" s="5">
        <f>E48-E47-E44</f>
        <v>4207</v>
      </c>
    </row>
    <row r="52" spans="1:10" x14ac:dyDescent="0.15">
      <c r="A52" s="2" t="s">
        <v>52</v>
      </c>
      <c r="D52" s="5">
        <f>D48-D49</f>
        <v>13290</v>
      </c>
      <c r="E52" s="5">
        <f>E48-E49</f>
        <v>12905</v>
      </c>
    </row>
    <row r="54" spans="1:10" x14ac:dyDescent="0.15">
      <c r="A54" s="19" t="s">
        <v>53</v>
      </c>
      <c r="D54" s="10">
        <f>D30/D52</f>
        <v>2.4454477050413845E-2</v>
      </c>
      <c r="E54" s="10">
        <f>E30/E52</f>
        <v>1.4490507555211158E-2</v>
      </c>
    </row>
    <row r="55" spans="1:10" x14ac:dyDescent="0.15">
      <c r="A55" s="19" t="s">
        <v>54</v>
      </c>
      <c r="D55" s="10">
        <f>D30/D48</f>
        <v>1.3049064482454027E-2</v>
      </c>
      <c r="E55" s="10">
        <f>E30/E48</f>
        <v>6.9187509249667009E-3</v>
      </c>
    </row>
    <row r="56" spans="1:10" x14ac:dyDescent="0.15">
      <c r="A56" s="19" t="s">
        <v>55</v>
      </c>
      <c r="D56" s="10">
        <f>D30/(D52-D47)</f>
        <v>0.45518207282913165</v>
      </c>
      <c r="E56" s="10">
        <f>E30/(E52-E47)</f>
        <v>7.5708502024291496E-2</v>
      </c>
    </row>
    <row r="57" spans="1:10" x14ac:dyDescent="0.15">
      <c r="A57" s="19" t="s">
        <v>56</v>
      </c>
      <c r="D57" s="10">
        <f>D30/D51</f>
        <v>7.4884792626728106E-2</v>
      </c>
      <c r="E57" s="10">
        <f>E30/E51</f>
        <v>4.4449726646066078E-2</v>
      </c>
    </row>
    <row r="59" spans="1:10" x14ac:dyDescent="0.15">
      <c r="A59" s="2" t="s">
        <v>57</v>
      </c>
      <c r="C59" s="10">
        <f>C10/B10-1</f>
        <v>0.47685834502103797</v>
      </c>
      <c r="D59" s="10">
        <f>D10/C10-1</f>
        <v>0.35042735042735051</v>
      </c>
      <c r="E59" s="10">
        <f>E10/D10-1</f>
        <v>0.22081575246132212</v>
      </c>
      <c r="F59" s="10">
        <f t="shared" ref="F59:J59" si="43">F10/E10-1</f>
        <v>0.10000000000000009</v>
      </c>
      <c r="G59" s="10">
        <f t="shared" si="43"/>
        <v>0.10000000000000009</v>
      </c>
      <c r="H59" s="10">
        <f t="shared" si="43"/>
        <v>0.10000000000000009</v>
      </c>
      <c r="I59" s="10">
        <f t="shared" si="43"/>
        <v>0.10000000000000009</v>
      </c>
      <c r="J59" s="10">
        <f t="shared" si="43"/>
        <v>0.10000000000000009</v>
      </c>
    </row>
    <row r="60" spans="1:10" x14ac:dyDescent="0.15">
      <c r="A60" s="2" t="s">
        <v>58</v>
      </c>
      <c r="C60" s="10">
        <f t="shared" ref="C60" si="44">C11/B11-1</f>
        <v>0.84738372093023262</v>
      </c>
      <c r="D60" s="10">
        <f t="shared" ref="D60:E63" si="45">D11/C11-1</f>
        <v>0.43509047993705741</v>
      </c>
      <c r="E60" s="10">
        <f t="shared" si="45"/>
        <v>6.3596491228070207E-2</v>
      </c>
      <c r="F60" s="10">
        <f t="shared" ref="F60:J60" si="46">F11/E11-1</f>
        <v>5.0000000000000044E-2</v>
      </c>
      <c r="G60" s="10">
        <f t="shared" si="46"/>
        <v>5.0000000000000044E-2</v>
      </c>
      <c r="H60" s="10">
        <f t="shared" si="46"/>
        <v>5.0000000000000044E-2</v>
      </c>
      <c r="I60" s="10">
        <f t="shared" si="46"/>
        <v>5.0000000000000044E-2</v>
      </c>
      <c r="J60" s="10">
        <f t="shared" si="46"/>
        <v>5.0000000000000044E-2</v>
      </c>
    </row>
    <row r="61" spans="1:10" x14ac:dyDescent="0.15">
      <c r="A61" s="2" t="s">
        <v>59</v>
      </c>
      <c r="C61" s="10">
        <f t="shared" ref="C61" si="47">C12/B12-1</f>
        <v>0.29571984435797671</v>
      </c>
      <c r="D61" s="10">
        <f t="shared" si="45"/>
        <v>0.33033033033033044</v>
      </c>
      <c r="E61" s="10">
        <f t="shared" si="45"/>
        <v>0.27765237020316036</v>
      </c>
      <c r="F61" s="10">
        <f t="shared" ref="F61:J61" si="48">F12/E12-1</f>
        <v>0.30000000000000004</v>
      </c>
      <c r="G61" s="10">
        <f t="shared" si="48"/>
        <v>0.30000000000000004</v>
      </c>
      <c r="H61" s="10">
        <f t="shared" si="48"/>
        <v>0.30000000000000004</v>
      </c>
      <c r="I61" s="10">
        <f t="shared" si="48"/>
        <v>0.30000000000000004</v>
      </c>
      <c r="J61" s="10">
        <f t="shared" si="48"/>
        <v>0.30000000000000004</v>
      </c>
    </row>
    <row r="62" spans="1:10" x14ac:dyDescent="0.15">
      <c r="A62" s="2" t="s">
        <v>60</v>
      </c>
      <c r="C62" s="10">
        <f t="shared" ref="C62" si="49">C13/B13-1</f>
        <v>0.20547945205479445</v>
      </c>
      <c r="D62" s="10">
        <f t="shared" si="45"/>
        <v>0.27272727272727271</v>
      </c>
      <c r="E62" s="10">
        <f t="shared" si="45"/>
        <v>0.3125</v>
      </c>
      <c r="F62" s="10">
        <f t="shared" ref="F62:J62" si="50">F13/E13-1</f>
        <v>0.19999999999999996</v>
      </c>
      <c r="G62" s="10">
        <f t="shared" si="50"/>
        <v>0.19999999999999996</v>
      </c>
      <c r="H62" s="10">
        <f t="shared" si="50"/>
        <v>0.19999999999999996</v>
      </c>
      <c r="I62" s="10">
        <f t="shared" si="50"/>
        <v>0.19999999999999996</v>
      </c>
      <c r="J62" s="10">
        <f t="shared" si="50"/>
        <v>0.19999999999999996</v>
      </c>
    </row>
    <row r="63" spans="1:10" x14ac:dyDescent="0.15">
      <c r="A63" s="2" t="s">
        <v>61</v>
      </c>
      <c r="C63" s="10">
        <f t="shared" ref="C63" si="51">C14/B14-1</f>
        <v>1.4090909090909092</v>
      </c>
      <c r="D63" s="10">
        <f t="shared" si="45"/>
        <v>1.1320754716981134</v>
      </c>
      <c r="E63" s="10">
        <f t="shared" si="45"/>
        <v>0.20796460176991149</v>
      </c>
      <c r="F63" s="10">
        <f t="shared" ref="F63:J63" si="52">F14/E14-1</f>
        <v>0.19999999999999996</v>
      </c>
      <c r="G63" s="10">
        <f t="shared" si="52"/>
        <v>0.19999999999999996</v>
      </c>
      <c r="H63" s="10">
        <f t="shared" si="52"/>
        <v>0.19999999999999996</v>
      </c>
      <c r="I63" s="10">
        <f t="shared" si="52"/>
        <v>0.19999999999999996</v>
      </c>
      <c r="J63" s="10">
        <f t="shared" si="52"/>
        <v>0.19999999999999996</v>
      </c>
    </row>
    <row r="64" spans="1:10" x14ac:dyDescent="0.15">
      <c r="A64" s="10"/>
    </row>
    <row r="65" spans="1:1" x14ac:dyDescent="0.15">
      <c r="A65" s="2" t="s">
        <v>82</v>
      </c>
    </row>
    <row r="66" spans="1:1" x14ac:dyDescent="0.15">
      <c r="A66" s="2" t="s">
        <v>83</v>
      </c>
    </row>
  </sheetData>
  <hyperlinks>
    <hyperlink ref="A1" r:id="rId1"/>
    <hyperlink ref="A7" r:id="rId2"/>
    <hyperlink ref="A4" r:id="rId3"/>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pane xSplit="1" ySplit="2" topLeftCell="B3" activePane="bottomRight" state="frozen"/>
      <selection pane="topRight" activeCell="B1" sqref="B1"/>
      <selection pane="bottomLeft" activeCell="A4" sqref="A4"/>
      <selection pane="bottomRight" activeCell="C32" sqref="C32"/>
    </sheetView>
  </sheetViews>
  <sheetFormatPr baseColWidth="10" defaultRowHeight="13" x14ac:dyDescent="0.15"/>
  <cols>
    <col min="1" max="1" width="16.1640625" style="12" bestFit="1" customWidth="1"/>
    <col min="2" max="5" width="10.83203125" style="22"/>
    <col min="6" max="6" width="10.83203125" style="21"/>
    <col min="7" max="9" width="10.83203125" style="22"/>
    <col min="10" max="10" width="10.83203125" style="21"/>
    <col min="11" max="13" width="10.83203125" style="22"/>
    <col min="14" max="16384" width="10.83203125" style="12"/>
  </cols>
  <sheetData>
    <row r="1" spans="1:13" x14ac:dyDescent="0.15">
      <c r="A1" s="40" t="s">
        <v>0</v>
      </c>
      <c r="B1" s="22" t="s">
        <v>84</v>
      </c>
      <c r="C1" s="22" t="s">
        <v>85</v>
      </c>
      <c r="D1" s="22" t="s">
        <v>86</v>
      </c>
      <c r="E1" s="22" t="s">
        <v>87</v>
      </c>
      <c r="F1" s="21" t="s">
        <v>72</v>
      </c>
      <c r="G1" s="22" t="s">
        <v>73</v>
      </c>
      <c r="H1" s="22" t="s">
        <v>74</v>
      </c>
      <c r="I1" s="22" t="s">
        <v>62</v>
      </c>
      <c r="J1" s="21" t="s">
        <v>68</v>
      </c>
      <c r="K1" s="22" t="s">
        <v>69</v>
      </c>
      <c r="L1" s="22" t="s">
        <v>70</v>
      </c>
      <c r="M1" s="22" t="s">
        <v>71</v>
      </c>
    </row>
    <row r="2" spans="1:13" x14ac:dyDescent="0.15">
      <c r="B2" s="22" t="s">
        <v>88</v>
      </c>
      <c r="C2" s="22" t="s">
        <v>89</v>
      </c>
      <c r="D2" s="22" t="s">
        <v>90</v>
      </c>
      <c r="E2" s="22" t="s">
        <v>91</v>
      </c>
      <c r="F2" s="21" t="s">
        <v>75</v>
      </c>
      <c r="G2" s="22" t="s">
        <v>76</v>
      </c>
      <c r="H2" s="22" t="s">
        <v>77</v>
      </c>
      <c r="I2" s="22" t="s">
        <v>78</v>
      </c>
    </row>
    <row r="3" spans="1:13" x14ac:dyDescent="0.15">
      <c r="A3" s="12" t="s">
        <v>14</v>
      </c>
      <c r="B3" s="22">
        <v>301</v>
      </c>
      <c r="C3" s="22">
        <v>341</v>
      </c>
      <c r="D3" s="22">
        <v>424</v>
      </c>
      <c r="E3" s="22">
        <v>356</v>
      </c>
      <c r="F3" s="21">
        <v>397</v>
      </c>
      <c r="G3" s="22">
        <v>425</v>
      </c>
      <c r="H3" s="22">
        <v>528</v>
      </c>
      <c r="I3" s="22">
        <v>386</v>
      </c>
    </row>
    <row r="4" spans="1:13" x14ac:dyDescent="0.15">
      <c r="A4" s="12" t="s">
        <v>15</v>
      </c>
      <c r="B4" s="22">
        <v>418</v>
      </c>
      <c r="C4" s="22">
        <v>441</v>
      </c>
      <c r="D4" s="22">
        <v>515</v>
      </c>
      <c r="E4" s="22">
        <v>450</v>
      </c>
      <c r="F4" s="21">
        <v>460</v>
      </c>
      <c r="G4" s="22">
        <v>457</v>
      </c>
      <c r="H4" s="22">
        <v>527</v>
      </c>
      <c r="I4" s="22">
        <v>496</v>
      </c>
    </row>
    <row r="5" spans="1:13" x14ac:dyDescent="0.15">
      <c r="A5" s="12" t="s">
        <v>16</v>
      </c>
      <c r="B5" s="22">
        <v>102</v>
      </c>
      <c r="C5" s="22">
        <v>90</v>
      </c>
      <c r="D5" s="22">
        <v>155</v>
      </c>
      <c r="E5" s="22">
        <v>96</v>
      </c>
      <c r="F5" s="21">
        <v>133</v>
      </c>
      <c r="G5" s="22">
        <v>127</v>
      </c>
      <c r="H5" s="22">
        <v>201</v>
      </c>
      <c r="I5" s="22">
        <v>105</v>
      </c>
    </row>
    <row r="6" spans="1:13" x14ac:dyDescent="0.15">
      <c r="A6" s="12" t="s">
        <v>17</v>
      </c>
      <c r="B6" s="22">
        <v>21</v>
      </c>
      <c r="C6" s="22">
        <v>29</v>
      </c>
      <c r="D6" s="22">
        <v>30</v>
      </c>
      <c r="E6" s="22">
        <v>32</v>
      </c>
      <c r="F6" s="21">
        <v>29</v>
      </c>
      <c r="G6" s="22">
        <v>38</v>
      </c>
      <c r="H6" s="22">
        <v>39</v>
      </c>
      <c r="I6" s="22">
        <v>41</v>
      </c>
    </row>
    <row r="7" spans="1:13" x14ac:dyDescent="0.15">
      <c r="A7" s="12" t="s">
        <v>18</v>
      </c>
      <c r="B7" s="22">
        <v>50</v>
      </c>
      <c r="C7" s="22">
        <v>51</v>
      </c>
      <c r="D7" s="22">
        <v>71</v>
      </c>
      <c r="E7" s="22">
        <v>54</v>
      </c>
      <c r="F7" s="21">
        <v>60</v>
      </c>
      <c r="G7" s="22">
        <v>65</v>
      </c>
      <c r="H7" s="22">
        <v>73</v>
      </c>
      <c r="I7" s="22">
        <v>75</v>
      </c>
    </row>
    <row r="9" spans="1:13" x14ac:dyDescent="0.15">
      <c r="A9" s="12" t="s">
        <v>80</v>
      </c>
    </row>
    <row r="10" spans="1:13" x14ac:dyDescent="0.15">
      <c r="A10" s="12" t="s">
        <v>81</v>
      </c>
    </row>
    <row r="12" spans="1:13" s="15" customFormat="1" x14ac:dyDescent="0.15">
      <c r="A12" s="15" t="s">
        <v>9</v>
      </c>
      <c r="B12" s="25">
        <f t="shared" ref="B12:I12" si="0">SUM(B3:B7)</f>
        <v>892</v>
      </c>
      <c r="C12" s="25">
        <f t="shared" si="0"/>
        <v>952</v>
      </c>
      <c r="D12" s="25">
        <f t="shared" si="0"/>
        <v>1195</v>
      </c>
      <c r="E12" s="25">
        <f t="shared" si="0"/>
        <v>988</v>
      </c>
      <c r="F12" s="32">
        <f t="shared" si="0"/>
        <v>1079</v>
      </c>
      <c r="G12" s="25">
        <f t="shared" si="0"/>
        <v>1112</v>
      </c>
      <c r="H12" s="25">
        <f t="shared" si="0"/>
        <v>1368</v>
      </c>
      <c r="I12" s="25">
        <f t="shared" si="0"/>
        <v>1103</v>
      </c>
      <c r="J12" s="39"/>
      <c r="K12" s="23"/>
      <c r="L12" s="23"/>
      <c r="M12" s="23"/>
    </row>
    <row r="13" spans="1:13" x14ac:dyDescent="0.15">
      <c r="A13" s="12" t="s">
        <v>29</v>
      </c>
      <c r="B13" s="22">
        <f>7+173</f>
        <v>180</v>
      </c>
      <c r="C13" s="22">
        <f>7+166</f>
        <v>173</v>
      </c>
      <c r="D13" s="22">
        <f>9+196</f>
        <v>205</v>
      </c>
      <c r="E13" s="22">
        <f>7+163</f>
        <v>170</v>
      </c>
      <c r="F13" s="21">
        <f>6+198</f>
        <v>204</v>
      </c>
      <c r="G13" s="22">
        <f>6+222</f>
        <v>228</v>
      </c>
      <c r="H13" s="22">
        <f>6+290</f>
        <v>296</v>
      </c>
      <c r="I13" s="22">
        <f>4+236</f>
        <v>240</v>
      </c>
    </row>
    <row r="14" spans="1:13" x14ac:dyDescent="0.15">
      <c r="A14" s="12" t="s">
        <v>30</v>
      </c>
      <c r="B14" s="26">
        <f t="shared" ref="B14:I14" si="1">B12-B13</f>
        <v>712</v>
      </c>
      <c r="C14" s="26">
        <f t="shared" si="1"/>
        <v>779</v>
      </c>
      <c r="D14" s="26">
        <f t="shared" si="1"/>
        <v>990</v>
      </c>
      <c r="E14" s="26">
        <f t="shared" si="1"/>
        <v>818</v>
      </c>
      <c r="F14" s="33">
        <f t="shared" si="1"/>
        <v>875</v>
      </c>
      <c r="G14" s="26">
        <f t="shared" si="1"/>
        <v>884</v>
      </c>
      <c r="H14" s="26">
        <f t="shared" si="1"/>
        <v>1072</v>
      </c>
      <c r="I14" s="26">
        <f t="shared" si="1"/>
        <v>863</v>
      </c>
    </row>
    <row r="15" spans="1:13" x14ac:dyDescent="0.15">
      <c r="A15" s="12" t="s">
        <v>31</v>
      </c>
      <c r="B15" s="22">
        <v>285</v>
      </c>
      <c r="C15" s="22">
        <v>300</v>
      </c>
      <c r="D15" s="22">
        <v>328</v>
      </c>
      <c r="E15" s="22">
        <v>319</v>
      </c>
      <c r="F15" s="21">
        <v>344</v>
      </c>
      <c r="G15" s="22">
        <v>340</v>
      </c>
      <c r="H15" s="22">
        <v>363</v>
      </c>
      <c r="I15" s="22">
        <v>395</v>
      </c>
    </row>
    <row r="16" spans="1:13" x14ac:dyDescent="0.15">
      <c r="A16" s="12" t="s">
        <v>32</v>
      </c>
      <c r="B16" s="22">
        <v>273</v>
      </c>
      <c r="C16" s="22">
        <v>295</v>
      </c>
      <c r="D16" s="22">
        <v>357</v>
      </c>
      <c r="E16" s="22">
        <v>313</v>
      </c>
      <c r="F16" s="21">
        <v>333</v>
      </c>
      <c r="G16" s="22">
        <v>331</v>
      </c>
      <c r="H16" s="22">
        <v>394</v>
      </c>
      <c r="I16" s="22">
        <v>380</v>
      </c>
    </row>
    <row r="17" spans="1:9" x14ac:dyDescent="0.15">
      <c r="A17" s="12" t="s">
        <v>33</v>
      </c>
      <c r="B17" s="22">
        <v>93</v>
      </c>
      <c r="C17" s="22">
        <v>90</v>
      </c>
      <c r="D17" s="22">
        <v>101</v>
      </c>
      <c r="E17" s="22">
        <v>108</v>
      </c>
      <c r="F17" s="21">
        <v>103</v>
      </c>
      <c r="G17" s="22">
        <v>103</v>
      </c>
      <c r="H17" s="22">
        <v>100</v>
      </c>
      <c r="I17" s="22">
        <v>117</v>
      </c>
    </row>
    <row r="18" spans="1:9" x14ac:dyDescent="0.15">
      <c r="A18" s="12" t="s">
        <v>34</v>
      </c>
      <c r="B18" s="27">
        <f t="shared" ref="B18:I18" si="2">SUM(B15:B17)</f>
        <v>651</v>
      </c>
      <c r="C18" s="27">
        <f t="shared" si="2"/>
        <v>685</v>
      </c>
      <c r="D18" s="27">
        <f t="shared" si="2"/>
        <v>786</v>
      </c>
      <c r="E18" s="27">
        <f t="shared" si="2"/>
        <v>740</v>
      </c>
      <c r="F18" s="34">
        <f t="shared" si="2"/>
        <v>780</v>
      </c>
      <c r="G18" s="27">
        <f t="shared" si="2"/>
        <v>774</v>
      </c>
      <c r="H18" s="27">
        <f t="shared" si="2"/>
        <v>857</v>
      </c>
      <c r="I18" s="27">
        <f t="shared" si="2"/>
        <v>892</v>
      </c>
    </row>
    <row r="19" spans="1:9" x14ac:dyDescent="0.15">
      <c r="A19" s="12" t="s">
        <v>35</v>
      </c>
      <c r="B19" s="26">
        <f t="shared" ref="B19:I19" si="3">B14-B18</f>
        <v>61</v>
      </c>
      <c r="C19" s="26">
        <f t="shared" si="3"/>
        <v>94</v>
      </c>
      <c r="D19" s="26">
        <f t="shared" si="3"/>
        <v>204</v>
      </c>
      <c r="E19" s="26">
        <f t="shared" si="3"/>
        <v>78</v>
      </c>
      <c r="F19" s="33">
        <f t="shared" si="3"/>
        <v>95</v>
      </c>
      <c r="G19" s="26">
        <f t="shared" si="3"/>
        <v>110</v>
      </c>
      <c r="H19" s="26">
        <f t="shared" si="3"/>
        <v>215</v>
      </c>
      <c r="I19" s="26">
        <f t="shared" si="3"/>
        <v>-29</v>
      </c>
    </row>
    <row r="20" spans="1:9" x14ac:dyDescent="0.15">
      <c r="A20" s="12" t="s">
        <v>36</v>
      </c>
      <c r="B20" s="22">
        <f>19-38-13</f>
        <v>-32</v>
      </c>
      <c r="C20" s="22">
        <f>37-57+59</f>
        <v>39</v>
      </c>
      <c r="D20" s="22">
        <f>41-48+35</f>
        <v>28</v>
      </c>
      <c r="E20" s="22">
        <f>52-50+52</f>
        <v>54</v>
      </c>
      <c r="F20" s="21">
        <f>77-51+63</f>
        <v>89</v>
      </c>
      <c r="G20" s="22">
        <f>49-56+341</f>
        <v>334</v>
      </c>
      <c r="H20" s="22">
        <f>76-57-382</f>
        <v>-363</v>
      </c>
      <c r="I20" s="22">
        <f>83-61-161</f>
        <v>-139</v>
      </c>
    </row>
    <row r="21" spans="1:9" x14ac:dyDescent="0.15">
      <c r="A21" s="12" t="s">
        <v>37</v>
      </c>
      <c r="B21" s="26">
        <f t="shared" ref="B21:I21" si="4">B19+B20</f>
        <v>29</v>
      </c>
      <c r="C21" s="26">
        <f t="shared" si="4"/>
        <v>133</v>
      </c>
      <c r="D21" s="26">
        <f t="shared" si="4"/>
        <v>232</v>
      </c>
      <c r="E21" s="26">
        <f t="shared" si="4"/>
        <v>132</v>
      </c>
      <c r="F21" s="33">
        <f t="shared" si="4"/>
        <v>184</v>
      </c>
      <c r="G21" s="26">
        <f t="shared" si="4"/>
        <v>444</v>
      </c>
      <c r="H21" s="26">
        <f t="shared" si="4"/>
        <v>-148</v>
      </c>
      <c r="I21" s="26">
        <f t="shared" si="4"/>
        <v>-168</v>
      </c>
    </row>
    <row r="22" spans="1:9" x14ac:dyDescent="0.15">
      <c r="A22" s="12" t="s">
        <v>38</v>
      </c>
      <c r="B22" s="22">
        <f>22-4</f>
        <v>18</v>
      </c>
      <c r="C22" s="22">
        <f>78+4</f>
        <v>82</v>
      </c>
      <c r="D22" s="22">
        <f>47-5</f>
        <v>42</v>
      </c>
      <c r="E22" s="22">
        <f>44+15</f>
        <v>59</v>
      </c>
      <c r="F22" s="21">
        <f>29-12</f>
        <v>17</v>
      </c>
      <c r="G22" s="22">
        <f>49+32</f>
        <v>81</v>
      </c>
      <c r="H22" s="22">
        <f>37-25</f>
        <v>12</v>
      </c>
      <c r="I22" s="22">
        <f>5+10</f>
        <v>15</v>
      </c>
    </row>
    <row r="23" spans="1:9" x14ac:dyDescent="0.15">
      <c r="A23" s="15" t="s">
        <v>20</v>
      </c>
      <c r="B23" s="25">
        <f t="shared" ref="B23:I23" si="5">B21-B22</f>
        <v>11</v>
      </c>
      <c r="C23" s="25">
        <f t="shared" si="5"/>
        <v>51</v>
      </c>
      <c r="D23" s="25">
        <f t="shared" si="5"/>
        <v>190</v>
      </c>
      <c r="E23" s="25">
        <f t="shared" si="5"/>
        <v>73</v>
      </c>
      <c r="F23" s="32">
        <f t="shared" si="5"/>
        <v>167</v>
      </c>
      <c r="G23" s="25">
        <f t="shared" si="5"/>
        <v>363</v>
      </c>
      <c r="H23" s="25">
        <f t="shared" si="5"/>
        <v>-160</v>
      </c>
      <c r="I23" s="25">
        <f t="shared" si="5"/>
        <v>-183</v>
      </c>
    </row>
    <row r="24" spans="1:9" x14ac:dyDescent="0.15">
      <c r="A24" s="12" t="s">
        <v>39</v>
      </c>
      <c r="B24" s="28">
        <f t="shared" ref="B24:I24" si="6">B23/B25</f>
        <v>0.16062254260286613</v>
      </c>
      <c r="C24" s="28">
        <f t="shared" si="6"/>
        <v>0.73527630818630685</v>
      </c>
      <c r="D24" s="28">
        <f t="shared" si="6"/>
        <v>2.4163771359343134</v>
      </c>
      <c r="E24" s="28">
        <f t="shared" si="6"/>
        <v>0.9885527621416792</v>
      </c>
      <c r="F24" s="35">
        <f t="shared" si="6"/>
        <v>2.2015483212501947</v>
      </c>
      <c r="G24" s="28">
        <f t="shared" si="6"/>
        <v>4.5135545212953296</v>
      </c>
      <c r="H24" s="28">
        <f t="shared" si="6"/>
        <v>-2.3351357321725414</v>
      </c>
      <c r="I24" s="28">
        <f t="shared" si="6"/>
        <v>-2.6615064661808625</v>
      </c>
    </row>
    <row r="25" spans="1:9" x14ac:dyDescent="0.15">
      <c r="A25" s="24" t="s">
        <v>3</v>
      </c>
      <c r="B25" s="29">
        <v>68.483537999999996</v>
      </c>
      <c r="C25" s="29">
        <v>69.361680000000007</v>
      </c>
      <c r="D25" s="29">
        <v>78.630110000000002</v>
      </c>
      <c r="E25" s="29">
        <v>73.845325000000003</v>
      </c>
      <c r="F25" s="36">
        <v>75.855705</v>
      </c>
      <c r="G25" s="29">
        <v>80.424419</v>
      </c>
      <c r="H25" s="29">
        <v>68.518501000000001</v>
      </c>
      <c r="I25" s="29">
        <v>68.758052000000006</v>
      </c>
    </row>
    <row r="26" spans="1:9" x14ac:dyDescent="0.15">
      <c r="A26" s="17" t="s">
        <v>92</v>
      </c>
      <c r="E26" s="29">
        <f>E25/0.125</f>
        <v>590.76260000000002</v>
      </c>
      <c r="I26" s="29">
        <f>I25/0.125</f>
        <v>550.06441600000005</v>
      </c>
    </row>
    <row r="27" spans="1:9" x14ac:dyDescent="0.15">
      <c r="A27" s="12" t="s">
        <v>40</v>
      </c>
      <c r="B27" s="30">
        <f t="shared" ref="B27:I27" si="7">B14/B12</f>
        <v>0.7982062780269058</v>
      </c>
      <c r="C27" s="30">
        <f t="shared" si="7"/>
        <v>0.81827731092436973</v>
      </c>
      <c r="D27" s="30">
        <f t="shared" si="7"/>
        <v>0.82845188284518834</v>
      </c>
      <c r="E27" s="30">
        <f t="shared" si="7"/>
        <v>0.82793522267206476</v>
      </c>
      <c r="F27" s="37">
        <f t="shared" si="7"/>
        <v>0.81093605189990736</v>
      </c>
      <c r="G27" s="30">
        <f t="shared" si="7"/>
        <v>0.79496402877697847</v>
      </c>
      <c r="H27" s="30">
        <f t="shared" si="7"/>
        <v>0.783625730994152</v>
      </c>
      <c r="I27" s="30">
        <f t="shared" si="7"/>
        <v>0.78241160471441518</v>
      </c>
    </row>
    <row r="28" spans="1:9" x14ac:dyDescent="0.15">
      <c r="A28" s="12" t="s">
        <v>41</v>
      </c>
      <c r="B28" s="30">
        <f t="shared" ref="B28:I28" si="8">B19/B12</f>
        <v>6.838565022421525E-2</v>
      </c>
      <c r="C28" s="30">
        <f t="shared" si="8"/>
        <v>9.8739495798319324E-2</v>
      </c>
      <c r="D28" s="30">
        <f t="shared" si="8"/>
        <v>0.1707112970711297</v>
      </c>
      <c r="E28" s="30">
        <f t="shared" si="8"/>
        <v>7.8947368421052627E-2</v>
      </c>
      <c r="F28" s="37">
        <f t="shared" si="8"/>
        <v>8.8044485634847083E-2</v>
      </c>
      <c r="G28" s="30">
        <f t="shared" si="8"/>
        <v>9.8920863309352514E-2</v>
      </c>
      <c r="H28" s="30">
        <f t="shared" si="8"/>
        <v>0.15716374269005848</v>
      </c>
      <c r="I28" s="30">
        <f t="shared" si="8"/>
        <v>-2.6291931097008159E-2</v>
      </c>
    </row>
    <row r="29" spans="1:9" x14ac:dyDescent="0.15">
      <c r="A29" s="12" t="s">
        <v>42</v>
      </c>
      <c r="B29" s="30">
        <f t="shared" ref="B29:I29" si="9">B22/B21</f>
        <v>0.62068965517241381</v>
      </c>
      <c r="C29" s="30">
        <f t="shared" si="9"/>
        <v>0.61654135338345861</v>
      </c>
      <c r="D29" s="30">
        <f t="shared" si="9"/>
        <v>0.18103448275862069</v>
      </c>
      <c r="E29" s="30">
        <f t="shared" si="9"/>
        <v>0.44696969696969696</v>
      </c>
      <c r="F29" s="37">
        <f t="shared" si="9"/>
        <v>9.2391304347826081E-2</v>
      </c>
      <c r="G29" s="30">
        <f t="shared" si="9"/>
        <v>0.18243243243243243</v>
      </c>
      <c r="H29" s="30">
        <f t="shared" si="9"/>
        <v>-8.1081081081081086E-2</v>
      </c>
      <c r="I29" s="30">
        <f t="shared" si="9"/>
        <v>-8.9285714285714288E-2</v>
      </c>
    </row>
    <row r="31" spans="1:9" x14ac:dyDescent="0.15">
      <c r="A31" s="15" t="s">
        <v>10</v>
      </c>
      <c r="B31" s="31"/>
      <c r="C31" s="31"/>
      <c r="D31" s="31"/>
      <c r="E31" s="31"/>
      <c r="F31" s="38">
        <f>F12/B12-1</f>
        <v>0.20964125560538127</v>
      </c>
      <c r="G31" s="31">
        <f>G12/C12-1</f>
        <v>0.16806722689075637</v>
      </c>
      <c r="H31" s="31">
        <f>H12/D12-1</f>
        <v>0.14476987447698741</v>
      </c>
      <c r="I31" s="31">
        <f>I12/E12-1</f>
        <v>0.1163967611336032</v>
      </c>
    </row>
    <row r="32" spans="1:9" x14ac:dyDescent="0.15">
      <c r="A32" s="12" t="s">
        <v>43</v>
      </c>
      <c r="B32" s="30"/>
      <c r="C32" s="30"/>
      <c r="D32" s="30"/>
      <c r="E32" s="30"/>
      <c r="F32" s="37">
        <f>F15/B15-1</f>
        <v>0.2070175438596491</v>
      </c>
      <c r="G32" s="30">
        <f t="shared" ref="G32:H32" si="10">G15/C15-1</f>
        <v>0.1333333333333333</v>
      </c>
      <c r="H32" s="30">
        <f t="shared" si="10"/>
        <v>0.10670731707317072</v>
      </c>
      <c r="I32" s="30">
        <f>I15/E15-1</f>
        <v>0.23824451410658298</v>
      </c>
    </row>
    <row r="33" spans="1:13" x14ac:dyDescent="0.15">
      <c r="A33" s="12" t="s">
        <v>44</v>
      </c>
      <c r="B33" s="30"/>
      <c r="C33" s="30"/>
      <c r="D33" s="30"/>
      <c r="E33" s="30"/>
      <c r="F33" s="37">
        <f>F16/B16-1</f>
        <v>0.21978021978021989</v>
      </c>
      <c r="G33" s="30">
        <f t="shared" ref="G33:I33" si="11">G16/C16-1</f>
        <v>0.12203389830508482</v>
      </c>
      <c r="H33" s="30">
        <f>H16/D16-1</f>
        <v>0.10364145658263313</v>
      </c>
      <c r="I33" s="30">
        <f t="shared" si="11"/>
        <v>0.21405750798722045</v>
      </c>
    </row>
    <row r="34" spans="1:13" x14ac:dyDescent="0.15">
      <c r="A34" s="12" t="s">
        <v>45</v>
      </c>
      <c r="B34" s="30"/>
      <c r="C34" s="30"/>
      <c r="D34" s="30"/>
      <c r="E34" s="30"/>
      <c r="F34" s="37">
        <f>F17/B17-1</f>
        <v>0.10752688172043001</v>
      </c>
      <c r="G34" s="30">
        <f t="shared" ref="G34:H34" si="12">G17/C17-1</f>
        <v>0.14444444444444438</v>
      </c>
      <c r="H34" s="30">
        <f t="shared" si="12"/>
        <v>-9.9009900990099098E-3</v>
      </c>
      <c r="I34" s="30">
        <f>I17/E17-1</f>
        <v>8.3333333333333259E-2</v>
      </c>
    </row>
    <row r="35" spans="1:13" x14ac:dyDescent="0.15">
      <c r="A35" s="15"/>
      <c r="B35" s="31"/>
      <c r="C35" s="31"/>
      <c r="D35" s="31"/>
      <c r="E35" s="31"/>
      <c r="F35" s="38"/>
      <c r="G35" s="31"/>
      <c r="H35" s="31"/>
      <c r="I35" s="31"/>
    </row>
    <row r="36" spans="1:13" x14ac:dyDescent="0.15">
      <c r="A36" s="15" t="s">
        <v>5</v>
      </c>
      <c r="B36" s="25">
        <f t="shared" ref="B36:I36" si="13">B37-B38</f>
        <v>1497</v>
      </c>
      <c r="C36" s="25">
        <f t="shared" si="13"/>
        <v>2424</v>
      </c>
      <c r="D36" s="25">
        <f t="shared" si="13"/>
        <v>2940</v>
      </c>
      <c r="E36" s="25">
        <f t="shared" si="13"/>
        <v>991</v>
      </c>
      <c r="F36" s="32">
        <f t="shared" si="13"/>
        <v>4297</v>
      </c>
      <c r="G36" s="25">
        <f t="shared" si="13"/>
        <v>4210</v>
      </c>
      <c r="H36" s="25">
        <f t="shared" si="13"/>
        <v>3293</v>
      </c>
      <c r="I36" s="25">
        <f t="shared" si="13"/>
        <v>3636</v>
      </c>
    </row>
    <row r="37" spans="1:13" x14ac:dyDescent="0.15">
      <c r="A37" s="12" t="s">
        <v>46</v>
      </c>
      <c r="B37" s="29">
        <f>2749+2165+3120</f>
        <v>8034</v>
      </c>
      <c r="C37" s="29">
        <f>2389+3578+3270</f>
        <v>9237</v>
      </c>
      <c r="D37" s="29">
        <f>2754+4068+3398</f>
        <v>10220</v>
      </c>
      <c r="E37" s="29">
        <f>2804+4323+863</f>
        <v>7990</v>
      </c>
      <c r="F37" s="36">
        <f>2751+5440+4021</f>
        <v>12212</v>
      </c>
      <c r="G37" s="29">
        <f>3331+5014+4082</f>
        <v>12427</v>
      </c>
      <c r="H37" s="29">
        <f>3129+5503+3701</f>
        <v>12333</v>
      </c>
      <c r="I37" s="29">
        <f>3131+5346+3909</f>
        <v>12386</v>
      </c>
    </row>
    <row r="38" spans="1:13" x14ac:dyDescent="0.15">
      <c r="A38" s="12" t="s">
        <v>47</v>
      </c>
      <c r="B38" s="29">
        <f>1553+4984</f>
        <v>6537</v>
      </c>
      <c r="C38" s="29">
        <f>1562+5251</f>
        <v>6813</v>
      </c>
      <c r="D38" s="29">
        <f>2230+5050</f>
        <v>7280</v>
      </c>
      <c r="E38" s="29">
        <f>2508+4491</f>
        <v>6999</v>
      </c>
      <c r="F38" s="36">
        <f>3280+4635</f>
        <v>7915</v>
      </c>
      <c r="G38" s="29">
        <f>3697+4520</f>
        <v>8217</v>
      </c>
      <c r="H38" s="29">
        <f>5245+3795</f>
        <v>9040</v>
      </c>
      <c r="I38" s="29">
        <f>5238+3512</f>
        <v>8750</v>
      </c>
    </row>
    <row r="40" spans="1:13" x14ac:dyDescent="0.15">
      <c r="A40" s="12" t="s">
        <v>48</v>
      </c>
      <c r="B40" s="29">
        <f>3120+8138</f>
        <v>11258</v>
      </c>
      <c r="C40" s="29">
        <f>8293+2026</f>
        <v>10319</v>
      </c>
      <c r="D40" s="29">
        <f>3398+8457</f>
        <v>11855</v>
      </c>
      <c r="E40" s="29">
        <f>3931+8645</f>
        <v>12576</v>
      </c>
      <c r="F40" s="36">
        <f>9006+2186</f>
        <v>11192</v>
      </c>
      <c r="G40" s="29">
        <f>8713+2096</f>
        <v>10809</v>
      </c>
      <c r="H40" s="29">
        <f>8461+2005</f>
        <v>10466</v>
      </c>
      <c r="I40" s="29">
        <f>8439+1996</f>
        <v>10435</v>
      </c>
    </row>
    <row r="41" spans="1:13" x14ac:dyDescent="0.15">
      <c r="A41" s="12" t="s">
        <v>49</v>
      </c>
      <c r="B41" s="29">
        <v>21203</v>
      </c>
      <c r="C41" s="29">
        <v>22817</v>
      </c>
      <c r="D41" s="29">
        <v>24533</v>
      </c>
      <c r="E41" s="29">
        <v>24906</v>
      </c>
      <c r="F41" s="36">
        <v>26970</v>
      </c>
      <c r="G41" s="29">
        <v>27299</v>
      </c>
      <c r="H41" s="29">
        <v>27574</v>
      </c>
      <c r="I41" s="29">
        <v>27028</v>
      </c>
    </row>
    <row r="42" spans="1:13" x14ac:dyDescent="0.15">
      <c r="A42" s="12" t="s">
        <v>50</v>
      </c>
      <c r="B42" s="29">
        <v>10160</v>
      </c>
      <c r="C42" s="29">
        <v>10971</v>
      </c>
      <c r="D42" s="29">
        <v>11958</v>
      </c>
      <c r="E42" s="29">
        <v>11616</v>
      </c>
      <c r="F42" s="36">
        <v>12828</v>
      </c>
      <c r="G42" s="29">
        <v>13551</v>
      </c>
      <c r="H42" s="29">
        <v>14471</v>
      </c>
      <c r="I42" s="29">
        <v>14123</v>
      </c>
    </row>
    <row r="44" spans="1:13" x14ac:dyDescent="0.15">
      <c r="A44" s="12" t="s">
        <v>51</v>
      </c>
      <c r="B44" s="26">
        <f t="shared" ref="B44:I44" si="14">B41-B40-B37</f>
        <v>1911</v>
      </c>
      <c r="C44" s="26">
        <f t="shared" si="14"/>
        <v>3261</v>
      </c>
      <c r="D44" s="26">
        <f t="shared" si="14"/>
        <v>2458</v>
      </c>
      <c r="E44" s="26">
        <f t="shared" si="14"/>
        <v>4340</v>
      </c>
      <c r="F44" s="33">
        <f t="shared" si="14"/>
        <v>3566</v>
      </c>
      <c r="G44" s="26">
        <f t="shared" si="14"/>
        <v>4063</v>
      </c>
      <c r="H44" s="26">
        <f t="shared" si="14"/>
        <v>4775</v>
      </c>
      <c r="I44" s="26">
        <f t="shared" si="14"/>
        <v>4207</v>
      </c>
    </row>
    <row r="45" spans="1:13" x14ac:dyDescent="0.15">
      <c r="A45" s="12" t="s">
        <v>52</v>
      </c>
      <c r="B45" s="26">
        <f t="shared" ref="B45:I45" si="15">B41-B42</f>
        <v>11043</v>
      </c>
      <c r="C45" s="26">
        <f t="shared" si="15"/>
        <v>11846</v>
      </c>
      <c r="D45" s="26">
        <f t="shared" si="15"/>
        <v>12575</v>
      </c>
      <c r="E45" s="26">
        <f t="shared" si="15"/>
        <v>13290</v>
      </c>
      <c r="F45" s="33">
        <f t="shared" si="15"/>
        <v>14142</v>
      </c>
      <c r="G45" s="26">
        <f t="shared" si="15"/>
        <v>13748</v>
      </c>
      <c r="H45" s="26">
        <f t="shared" si="15"/>
        <v>13103</v>
      </c>
      <c r="I45" s="26">
        <f t="shared" si="15"/>
        <v>12905</v>
      </c>
    </row>
    <row r="47" spans="1:13" s="15" customFormat="1" x14ac:dyDescent="0.15">
      <c r="A47" s="15" t="s">
        <v>79</v>
      </c>
      <c r="B47" s="22"/>
      <c r="C47" s="22"/>
      <c r="D47" s="22"/>
      <c r="E47" s="25">
        <f>SUM(B23:E23)</f>
        <v>325</v>
      </c>
      <c r="F47" s="32">
        <f>SUM(C23:F23)</f>
        <v>481</v>
      </c>
      <c r="G47" s="25">
        <f>SUM(D23:G23)</f>
        <v>793</v>
      </c>
      <c r="H47" s="25">
        <f>SUM(E23:H23)</f>
        <v>443</v>
      </c>
      <c r="I47" s="25">
        <f>SUM(F23:I23)</f>
        <v>187</v>
      </c>
      <c r="J47" s="39"/>
      <c r="K47" s="23"/>
      <c r="L47" s="23"/>
      <c r="M47" s="23"/>
    </row>
    <row r="48" spans="1:13" x14ac:dyDescent="0.15">
      <c r="A48" s="19" t="s">
        <v>53</v>
      </c>
      <c r="E48" s="30">
        <f>E47/E45</f>
        <v>2.4454477050413845E-2</v>
      </c>
      <c r="F48" s="37">
        <f t="shared" ref="F48:I48" si="16">F47/F45</f>
        <v>3.4012162353273936E-2</v>
      </c>
      <c r="G48" s="30">
        <f t="shared" si="16"/>
        <v>5.7681117253418679E-2</v>
      </c>
      <c r="H48" s="30">
        <f t="shared" si="16"/>
        <v>3.3809051362283446E-2</v>
      </c>
      <c r="I48" s="30">
        <f t="shared" si="16"/>
        <v>1.4490507555211158E-2</v>
      </c>
    </row>
    <row r="49" spans="1:9" x14ac:dyDescent="0.15">
      <c r="A49" s="19" t="s">
        <v>54</v>
      </c>
      <c r="E49" s="30">
        <f>E47/E41</f>
        <v>1.3049064482454027E-2</v>
      </c>
      <c r="F49" s="37">
        <f t="shared" ref="F49:I49" si="17">F47/F41</f>
        <v>1.7834631071560993E-2</v>
      </c>
      <c r="G49" s="30">
        <f t="shared" si="17"/>
        <v>2.9048683101945125E-2</v>
      </c>
      <c r="H49" s="30">
        <f t="shared" si="17"/>
        <v>1.6065859142670631E-2</v>
      </c>
      <c r="I49" s="30">
        <f t="shared" si="17"/>
        <v>6.9187509249667009E-3</v>
      </c>
    </row>
    <row r="50" spans="1:9" x14ac:dyDescent="0.15">
      <c r="A50" s="19" t="s">
        <v>55</v>
      </c>
      <c r="E50" s="30">
        <f>E47/(E45-E40)</f>
        <v>0.45518207282913165</v>
      </c>
      <c r="F50" s="37">
        <f>F47/(F45-F40)</f>
        <v>0.16305084745762713</v>
      </c>
      <c r="G50" s="30">
        <f>G47/(G45-G40)</f>
        <v>0.2698196665532494</v>
      </c>
      <c r="H50" s="30">
        <f>H47/(H45-H40)</f>
        <v>0.16799393249905195</v>
      </c>
      <c r="I50" s="30">
        <f>I47/(I45-I40)</f>
        <v>7.5708502024291496E-2</v>
      </c>
    </row>
    <row r="51" spans="1:9" x14ac:dyDescent="0.15">
      <c r="A51" s="19" t="s">
        <v>56</v>
      </c>
      <c r="E51" s="30">
        <f>E47/E44</f>
        <v>7.4884792626728106E-2</v>
      </c>
      <c r="F51" s="37">
        <f t="shared" ref="F51:I51" si="18">F47/F44</f>
        <v>0.13488502523836232</v>
      </c>
      <c r="G51" s="30">
        <f t="shared" si="18"/>
        <v>0.19517597834112724</v>
      </c>
      <c r="H51" s="30">
        <f t="shared" si="18"/>
        <v>9.2774869109947644E-2</v>
      </c>
      <c r="I51" s="30">
        <f t="shared" si="18"/>
        <v>4.4449726646066078E-2</v>
      </c>
    </row>
    <row r="53" spans="1:9" x14ac:dyDescent="0.15">
      <c r="A53" s="12" t="s">
        <v>57</v>
      </c>
      <c r="F53" s="37">
        <f>F3/B3-1</f>
        <v>0.31893687707641205</v>
      </c>
      <c r="G53" s="30">
        <f t="shared" ref="G53:I53" si="19">G3/C3-1</f>
        <v>0.24633431085043989</v>
      </c>
      <c r="H53" s="30">
        <f t="shared" si="19"/>
        <v>0.24528301886792447</v>
      </c>
      <c r="I53" s="30">
        <f t="shared" si="19"/>
        <v>8.4269662921348409E-2</v>
      </c>
    </row>
    <row r="54" spans="1:9" x14ac:dyDescent="0.15">
      <c r="A54" s="12" t="s">
        <v>58</v>
      </c>
      <c r="F54" s="37">
        <f t="shared" ref="F54:I54" si="20">F4/B4-1</f>
        <v>0.1004784688995215</v>
      </c>
      <c r="G54" s="30">
        <f t="shared" si="20"/>
        <v>3.6281179138321962E-2</v>
      </c>
      <c r="H54" s="30">
        <f t="shared" si="20"/>
        <v>2.3300970873786353E-2</v>
      </c>
      <c r="I54" s="30">
        <f t="shared" si="20"/>
        <v>0.10222222222222221</v>
      </c>
    </row>
    <row r="55" spans="1:9" x14ac:dyDescent="0.15">
      <c r="A55" s="12" t="s">
        <v>59</v>
      </c>
      <c r="F55" s="37">
        <f t="shared" ref="F55:I55" si="21">F5/B5-1</f>
        <v>0.30392156862745101</v>
      </c>
      <c r="G55" s="30">
        <f t="shared" si="21"/>
        <v>0.4111111111111112</v>
      </c>
      <c r="H55" s="30">
        <f t="shared" si="21"/>
        <v>0.29677419354838719</v>
      </c>
      <c r="I55" s="30">
        <f t="shared" si="21"/>
        <v>9.375E-2</v>
      </c>
    </row>
    <row r="56" spans="1:9" x14ac:dyDescent="0.15">
      <c r="A56" s="12" t="s">
        <v>60</v>
      </c>
      <c r="F56" s="37">
        <f t="shared" ref="F56:I56" si="22">F6/B6-1</f>
        <v>0.38095238095238093</v>
      </c>
      <c r="G56" s="30">
        <f t="shared" si="22"/>
        <v>0.31034482758620685</v>
      </c>
      <c r="H56" s="30">
        <f t="shared" si="22"/>
        <v>0.30000000000000004</v>
      </c>
      <c r="I56" s="30">
        <f t="shared" si="22"/>
        <v>0.28125</v>
      </c>
    </row>
    <row r="57" spans="1:9" x14ac:dyDescent="0.15">
      <c r="A57" s="12" t="s">
        <v>61</v>
      </c>
      <c r="F57" s="37">
        <f t="shared" ref="F57:I57" si="23">F7/B7-1</f>
        <v>0.19999999999999996</v>
      </c>
      <c r="G57" s="30">
        <f>G7/C7-1</f>
        <v>0.27450980392156854</v>
      </c>
      <c r="H57" s="30">
        <f t="shared" si="23"/>
        <v>2.8169014084507005E-2</v>
      </c>
      <c r="I57" s="30">
        <f t="shared" si="23"/>
        <v>0.38888888888888884</v>
      </c>
    </row>
    <row r="59" spans="1:9" x14ac:dyDescent="0.15">
      <c r="A59" s="12" t="s">
        <v>82</v>
      </c>
    </row>
    <row r="60" spans="1:9" x14ac:dyDescent="0.15">
      <c r="A60" s="12" t="s">
        <v>83</v>
      </c>
    </row>
  </sheetData>
  <hyperlinks>
    <hyperlink ref="A1"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B27" sqref="B27"/>
    </sheetView>
  </sheetViews>
  <sheetFormatPr baseColWidth="10" defaultRowHeight="13" x14ac:dyDescent="0.15"/>
  <cols>
    <col min="1" max="16384" width="10.83203125" style="2"/>
  </cols>
  <sheetData>
    <row r="1" spans="1:1" x14ac:dyDescent="0.15">
      <c r="A1" s="1" t="s">
        <v>94</v>
      </c>
    </row>
    <row r="2" spans="1:1" x14ac:dyDescent="0.15">
      <c r="A2" s="2" t="s">
        <v>95</v>
      </c>
    </row>
    <row r="4" spans="1:1" x14ac:dyDescent="0.15">
      <c r="A4" s="1" t="s">
        <v>96</v>
      </c>
    </row>
    <row r="5" spans="1:1" x14ac:dyDescent="0.15">
      <c r="A5" s="2" t="s">
        <v>97</v>
      </c>
    </row>
    <row r="7" spans="1:1" x14ac:dyDescent="0.15">
      <c r="A7" s="1" t="s">
        <v>98</v>
      </c>
    </row>
    <row r="8" spans="1:1" x14ac:dyDescent="0.15">
      <c r="A8" s="2" t="s">
        <v>99</v>
      </c>
    </row>
    <row r="10" spans="1:1" x14ac:dyDescent="0.15">
      <c r="A10" s="1" t="s">
        <v>100</v>
      </c>
    </row>
    <row r="11" spans="1:1" x14ac:dyDescent="0.15">
      <c r="A11" s="2" t="s">
        <v>101</v>
      </c>
    </row>
    <row r="13" spans="1:1" x14ac:dyDescent="0.15">
      <c r="A13" s="1" t="s">
        <v>102</v>
      </c>
    </row>
    <row r="14" spans="1:1" x14ac:dyDescent="0.15">
      <c r="A14" s="2" t="s">
        <v>103</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Reports</vt:lpstr>
      <vt:lpstr>Products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2019-01-08T23:39:25Z</dcterms:created>
  <dcterms:modified xsi:type="dcterms:W3CDTF">2019-03-23T00:11:58Z</dcterms:modified>
</cp:coreProperties>
</file>