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51E1043D-40D1-304D-80A7-0442591456B8}" xr6:coauthVersionLast="45" xr6:coauthVersionMax="45" xr10:uidLastSave="{00000000-0000-0000-0000-000000000000}"/>
  <bookViews>
    <workbookView xWindow="16180" yWindow="460" windowWidth="19660" windowHeight="20320" tabRatio="500" xr2:uid="{00000000-000D-0000-FFFF-FFFF00000000}"/>
  </bookViews>
  <sheets>
    <sheet name="Main" sheetId="2" r:id="rId1"/>
    <sheet name="Reports" sheetId="1" r:id="rId2"/>
    <sheet name="Product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P15" i="2" s="1"/>
  <c r="Q15" i="2" s="1"/>
  <c r="R15" i="2" s="1"/>
  <c r="S15" i="2" s="1"/>
  <c r="T15" i="2" s="1"/>
  <c r="U15" i="2" s="1"/>
  <c r="L15" i="2"/>
  <c r="T27" i="1"/>
  <c r="S40" i="1" l="1"/>
  <c r="S41" i="1"/>
  <c r="C5" i="2"/>
  <c r="C3" i="2"/>
  <c r="S51" i="1"/>
  <c r="S50" i="1"/>
  <c r="S48" i="1"/>
  <c r="S46" i="1"/>
  <c r="S45" i="1"/>
  <c r="S44" i="1"/>
  <c r="S43" i="1"/>
  <c r="S36" i="1"/>
  <c r="S33" i="1"/>
  <c r="S32" i="1" s="1"/>
  <c r="S30" i="1"/>
  <c r="S29" i="1"/>
  <c r="S28" i="1"/>
  <c r="S27" i="1"/>
  <c r="S25" i="1"/>
  <c r="S24" i="1"/>
  <c r="S23" i="1"/>
  <c r="S19" i="1"/>
  <c r="S20" i="1" s="1"/>
  <c r="S17" i="1"/>
  <c r="S14" i="1"/>
  <c r="S15" i="1" s="1"/>
  <c r="S10" i="1"/>
  <c r="S8" i="1"/>
  <c r="S6" i="1"/>
  <c r="J40" i="2" l="1"/>
  <c r="I40" i="2"/>
  <c r="H40" i="2"/>
  <c r="G40" i="2"/>
  <c r="M19" i="2"/>
  <c r="N19" i="2" s="1"/>
  <c r="O19" i="2" s="1"/>
  <c r="P19" i="2" s="1"/>
  <c r="Q19" i="2" s="1"/>
  <c r="R19" i="2" s="1"/>
  <c r="S19" i="2" s="1"/>
  <c r="T19" i="2" s="1"/>
  <c r="U19" i="2" s="1"/>
  <c r="L19" i="2"/>
  <c r="H18" i="2"/>
  <c r="I18" i="2" s="1"/>
  <c r="J18" i="2" s="1"/>
  <c r="K18" i="2" s="1"/>
  <c r="G18" i="2"/>
  <c r="G15" i="2"/>
  <c r="K15" i="2"/>
  <c r="U37" i="2"/>
  <c r="U28" i="2"/>
  <c r="U20" i="2"/>
  <c r="U9" i="2"/>
  <c r="T37" i="2"/>
  <c r="T28" i="2"/>
  <c r="T20" i="2"/>
  <c r="T9" i="2"/>
  <c r="S28" i="2"/>
  <c r="S20" i="2"/>
  <c r="S37" i="2" s="1"/>
  <c r="S9" i="2"/>
  <c r="R28" i="2"/>
  <c r="R20" i="2"/>
  <c r="R37" i="2" s="1"/>
  <c r="R9" i="2"/>
  <c r="F38" i="2"/>
  <c r="E38" i="2"/>
  <c r="D38" i="2"/>
  <c r="C38" i="2"/>
  <c r="C56" i="2"/>
  <c r="F49" i="2"/>
  <c r="F48" i="2"/>
  <c r="F46" i="2"/>
  <c r="F45" i="2"/>
  <c r="F44" i="2"/>
  <c r="F42" i="2"/>
  <c r="F41" i="2"/>
  <c r="F40" i="2" s="1"/>
  <c r="F28" i="2"/>
  <c r="F21" i="2"/>
  <c r="F12" i="2"/>
  <c r="G12" i="2" s="1"/>
  <c r="F25" i="2"/>
  <c r="F23" i="2"/>
  <c r="F20" i="2"/>
  <c r="F19" i="2"/>
  <c r="F18" i="2"/>
  <c r="F16" i="2"/>
  <c r="F10" i="2"/>
  <c r="R46" i="1"/>
  <c r="R45" i="1"/>
  <c r="R44" i="1"/>
  <c r="R43" i="1"/>
  <c r="R36" i="1"/>
  <c r="R33" i="1"/>
  <c r="R16" i="1"/>
  <c r="R50" i="1"/>
  <c r="R48" i="1"/>
  <c r="R41" i="1"/>
  <c r="R40" i="1"/>
  <c r="R32" i="1"/>
  <c r="R30" i="1"/>
  <c r="R29" i="1"/>
  <c r="R28" i="1"/>
  <c r="R14" i="1"/>
  <c r="R6" i="1"/>
  <c r="R51" i="1" s="1"/>
  <c r="Q36" i="1"/>
  <c r="Q33" i="1"/>
  <c r="Q32" i="1" s="1"/>
  <c r="Q16" i="1"/>
  <c r="Q50" i="1"/>
  <c r="Q48" i="1"/>
  <c r="Q41" i="1"/>
  <c r="Q40" i="1"/>
  <c r="Q30" i="1"/>
  <c r="Q29" i="1"/>
  <c r="Q28" i="1"/>
  <c r="Q14" i="1"/>
  <c r="Q6" i="1"/>
  <c r="Q51" i="1" s="1"/>
  <c r="P36" i="1"/>
  <c r="P33" i="1"/>
  <c r="P51" i="1"/>
  <c r="P50" i="1"/>
  <c r="P48" i="1"/>
  <c r="P41" i="1"/>
  <c r="P40" i="1"/>
  <c r="P32" i="1"/>
  <c r="P30" i="1"/>
  <c r="P29" i="1"/>
  <c r="P28" i="1"/>
  <c r="P27" i="1"/>
  <c r="P14" i="1"/>
  <c r="P8" i="1"/>
  <c r="P10" i="1" s="1"/>
  <c r="P6" i="1"/>
  <c r="O36" i="1"/>
  <c r="O40" i="1" s="1"/>
  <c r="O33" i="1"/>
  <c r="O51" i="1"/>
  <c r="O50" i="1"/>
  <c r="O48" i="1"/>
  <c r="O41" i="1"/>
  <c r="O32" i="1"/>
  <c r="O30" i="1"/>
  <c r="O29" i="1"/>
  <c r="O28" i="1"/>
  <c r="O27" i="1"/>
  <c r="O25" i="1"/>
  <c r="O24" i="1"/>
  <c r="O23" i="1"/>
  <c r="O19" i="1"/>
  <c r="O20" i="1" s="1"/>
  <c r="O17" i="1"/>
  <c r="N17" i="1"/>
  <c r="O16" i="1"/>
  <c r="O14" i="1"/>
  <c r="O15" i="1" s="1"/>
  <c r="O10" i="1"/>
  <c r="O8" i="1"/>
  <c r="O6" i="1"/>
  <c r="H12" i="2" l="1"/>
  <c r="I12" i="2" s="1"/>
  <c r="J12" i="2" s="1"/>
  <c r="K12" i="2" s="1"/>
  <c r="F13" i="2"/>
  <c r="F15" i="2"/>
  <c r="F17" i="2" s="1"/>
  <c r="F22" i="2" s="1"/>
  <c r="F24" i="2" s="1"/>
  <c r="R8" i="1"/>
  <c r="Q8" i="1"/>
  <c r="P15" i="1"/>
  <c r="P23" i="1"/>
  <c r="R10" i="1" l="1"/>
  <c r="R27" i="1"/>
  <c r="Q27" i="1"/>
  <c r="Q10" i="1"/>
  <c r="P17" i="1"/>
  <c r="P24" i="1"/>
  <c r="R15" i="1" l="1"/>
  <c r="R23" i="1"/>
  <c r="Q15" i="1"/>
  <c r="Q23" i="1"/>
  <c r="P19" i="1"/>
  <c r="P20" i="1" s="1"/>
  <c r="P25" i="1"/>
  <c r="R17" i="1" l="1"/>
  <c r="R24" i="1"/>
  <c r="Q17" i="1"/>
  <c r="Q24" i="1"/>
  <c r="R19" i="1" l="1"/>
  <c r="R20" i="1" s="1"/>
  <c r="R25" i="1"/>
  <c r="Q19" i="1"/>
  <c r="Q20" i="1" s="1"/>
  <c r="Q25" i="1"/>
  <c r="N50" i="1" l="1"/>
  <c r="N36" i="1"/>
  <c r="N40" i="1" s="1"/>
  <c r="N33" i="1"/>
  <c r="N16" i="1"/>
  <c r="N6" i="1"/>
  <c r="N48" i="1"/>
  <c r="N41" i="1"/>
  <c r="N32" i="1"/>
  <c r="N30" i="1"/>
  <c r="N29" i="1"/>
  <c r="N28" i="1"/>
  <c r="N8" i="1"/>
  <c r="N27" i="1" s="1"/>
  <c r="N14" i="1"/>
  <c r="E25" i="2"/>
  <c r="E46" i="2"/>
  <c r="E45" i="2"/>
  <c r="E49" i="2" s="1"/>
  <c r="E42" i="2"/>
  <c r="E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E20" i="2"/>
  <c r="E19" i="2"/>
  <c r="E18" i="2"/>
  <c r="E21" i="2" s="1"/>
  <c r="E16" i="2"/>
  <c r="E12" i="2"/>
  <c r="E10" i="2"/>
  <c r="F56" i="2" s="1"/>
  <c r="M48" i="1"/>
  <c r="M41" i="1"/>
  <c r="M36" i="1"/>
  <c r="E44" i="2" s="1"/>
  <c r="M33" i="1"/>
  <c r="E41" i="2" s="1"/>
  <c r="E40" i="2" s="1"/>
  <c r="M16" i="1"/>
  <c r="M14" i="1"/>
  <c r="M8" i="1"/>
  <c r="M10" i="1" s="1"/>
  <c r="M6" i="1"/>
  <c r="E6" i="1"/>
  <c r="E8" i="1" s="1"/>
  <c r="E10" i="1" s="1"/>
  <c r="B8" i="1"/>
  <c r="B10" i="1" s="1"/>
  <c r="C8" i="1"/>
  <c r="C10" i="1" s="1"/>
  <c r="D8" i="1"/>
  <c r="D10" i="1" s="1"/>
  <c r="D15" i="1" s="1"/>
  <c r="B14" i="1"/>
  <c r="C14" i="1"/>
  <c r="D14" i="1"/>
  <c r="E14" i="1"/>
  <c r="C12" i="2"/>
  <c r="C58" i="2" s="1"/>
  <c r="B13" i="2"/>
  <c r="B15" i="2" s="1"/>
  <c r="B17" i="2" s="1"/>
  <c r="C37" i="2"/>
  <c r="C36" i="2"/>
  <c r="C35" i="2"/>
  <c r="B21" i="2"/>
  <c r="C23" i="2"/>
  <c r="B23" i="2"/>
  <c r="J6" i="1"/>
  <c r="J8" i="1"/>
  <c r="J10" i="1" s="1"/>
  <c r="K6" i="1"/>
  <c r="K8" i="1"/>
  <c r="K10" i="1" s="1"/>
  <c r="L6" i="1"/>
  <c r="L8" i="1" s="1"/>
  <c r="D12" i="2"/>
  <c r="D10" i="2"/>
  <c r="D56" i="2" s="1"/>
  <c r="D45" i="2"/>
  <c r="D46" i="2"/>
  <c r="D49" i="2"/>
  <c r="I36" i="1"/>
  <c r="D44" i="2" s="1"/>
  <c r="D41" i="2"/>
  <c r="D40" i="2" s="1"/>
  <c r="L33" i="1"/>
  <c r="L32" i="1"/>
  <c r="L16" i="1"/>
  <c r="J16" i="1"/>
  <c r="E23" i="2" s="1"/>
  <c r="K16" i="1"/>
  <c r="J41" i="1"/>
  <c r="J36" i="1"/>
  <c r="J33" i="1"/>
  <c r="I41" i="1"/>
  <c r="I40" i="1"/>
  <c r="K41" i="1"/>
  <c r="K36" i="1"/>
  <c r="K33" i="1"/>
  <c r="K32" i="1" s="1"/>
  <c r="K40" i="1"/>
  <c r="G6" i="1"/>
  <c r="G8" i="1" s="1"/>
  <c r="G10" i="1" s="1"/>
  <c r="I6" i="1"/>
  <c r="K48" i="1"/>
  <c r="J48" i="1"/>
  <c r="I48" i="1"/>
  <c r="H48" i="1"/>
  <c r="G48" i="1"/>
  <c r="F48" i="1"/>
  <c r="L48" i="1"/>
  <c r="L41" i="1"/>
  <c r="L36" i="1"/>
  <c r="L40" i="1" s="1"/>
  <c r="H6" i="1"/>
  <c r="H8" i="1" s="1"/>
  <c r="H27" i="1" s="1"/>
  <c r="F6" i="1"/>
  <c r="F8" i="1" s="1"/>
  <c r="L14" i="1"/>
  <c r="D42" i="2"/>
  <c r="D25" i="2"/>
  <c r="D28" i="2"/>
  <c r="F16" i="1"/>
  <c r="D23" i="2" s="1"/>
  <c r="G16" i="1"/>
  <c r="H16" i="1"/>
  <c r="D20" i="2"/>
  <c r="E37" i="2" s="1"/>
  <c r="D19" i="2"/>
  <c r="D36" i="2" s="1"/>
  <c r="D18" i="2"/>
  <c r="D35" i="2" s="1"/>
  <c r="J32" i="1"/>
  <c r="M50" i="1"/>
  <c r="J14" i="1"/>
  <c r="I50" i="1"/>
  <c r="L50" i="1"/>
  <c r="D16" i="2"/>
  <c r="C4" i="2"/>
  <c r="C21" i="2"/>
  <c r="I32" i="1"/>
  <c r="M30" i="1"/>
  <c r="M29" i="1"/>
  <c r="M28" i="1"/>
  <c r="L30" i="1"/>
  <c r="K30" i="1"/>
  <c r="J30" i="1"/>
  <c r="L29" i="1"/>
  <c r="K29" i="1"/>
  <c r="J29" i="1"/>
  <c r="L28" i="1"/>
  <c r="K28" i="1"/>
  <c r="J28" i="1"/>
  <c r="K50" i="1"/>
  <c r="K14" i="1"/>
  <c r="J50" i="1"/>
  <c r="H14" i="1"/>
  <c r="I14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H32" i="1"/>
  <c r="F32" i="1"/>
  <c r="G32" i="1"/>
  <c r="F14" i="1"/>
  <c r="G14" i="1"/>
  <c r="D48" i="2" l="1"/>
  <c r="E58" i="2"/>
  <c r="F58" i="2"/>
  <c r="D58" i="2"/>
  <c r="E15" i="1"/>
  <c r="E23" i="1"/>
  <c r="J40" i="1"/>
  <c r="K51" i="1"/>
  <c r="E13" i="2"/>
  <c r="G13" i="2" s="1"/>
  <c r="C6" i="2"/>
  <c r="C7" i="2" s="1"/>
  <c r="J51" i="1"/>
  <c r="L51" i="1"/>
  <c r="M40" i="1"/>
  <c r="E36" i="2"/>
  <c r="N51" i="1"/>
  <c r="I51" i="1"/>
  <c r="D21" i="2"/>
  <c r="E35" i="2"/>
  <c r="F10" i="1"/>
  <c r="F27" i="1"/>
  <c r="E24" i="1"/>
  <c r="E17" i="1"/>
  <c r="F37" i="2"/>
  <c r="G20" i="2"/>
  <c r="M23" i="1"/>
  <c r="M15" i="1"/>
  <c r="B22" i="2"/>
  <c r="B30" i="2"/>
  <c r="D24" i="1"/>
  <c r="D17" i="1"/>
  <c r="C15" i="1"/>
  <c r="C23" i="1"/>
  <c r="G15" i="1"/>
  <c r="G23" i="1"/>
  <c r="L10" i="1"/>
  <c r="L27" i="1"/>
  <c r="K15" i="1"/>
  <c r="K23" i="1"/>
  <c r="J23" i="1"/>
  <c r="J15" i="1"/>
  <c r="B23" i="1"/>
  <c r="B15" i="1"/>
  <c r="D23" i="1"/>
  <c r="E15" i="2"/>
  <c r="K27" i="1"/>
  <c r="E48" i="2"/>
  <c r="E56" i="2"/>
  <c r="C13" i="2"/>
  <c r="M51" i="1"/>
  <c r="I8" i="1"/>
  <c r="G27" i="1"/>
  <c r="H10" i="1"/>
  <c r="D37" i="2"/>
  <c r="D13" i="2"/>
  <c r="M32" i="1"/>
  <c r="N10" i="1"/>
  <c r="J27" i="1"/>
  <c r="H13" i="2" l="1"/>
  <c r="I13" i="2" s="1"/>
  <c r="J13" i="2" s="1"/>
  <c r="K13" i="2" s="1"/>
  <c r="K58" i="2"/>
  <c r="D25" i="1"/>
  <c r="D19" i="1"/>
  <c r="I27" i="1"/>
  <c r="I10" i="1"/>
  <c r="C17" i="1"/>
  <c r="C24" i="1"/>
  <c r="N15" i="1"/>
  <c r="N23" i="1"/>
  <c r="H15" i="1"/>
  <c r="H23" i="1"/>
  <c r="E34" i="2"/>
  <c r="E17" i="2"/>
  <c r="B17" i="1"/>
  <c r="B24" i="1"/>
  <c r="D15" i="2"/>
  <c r="D59" i="2"/>
  <c r="F59" i="2"/>
  <c r="F35" i="2"/>
  <c r="F36" i="2"/>
  <c r="G19" i="2"/>
  <c r="M27" i="1"/>
  <c r="K24" i="1"/>
  <c r="K17" i="1"/>
  <c r="E25" i="1"/>
  <c r="E19" i="1"/>
  <c r="C59" i="2"/>
  <c r="C15" i="2"/>
  <c r="B24" i="2"/>
  <c r="B31" i="2"/>
  <c r="M24" i="1"/>
  <c r="M17" i="1"/>
  <c r="J24" i="1"/>
  <c r="J17" i="1"/>
  <c r="G37" i="2"/>
  <c r="H20" i="2"/>
  <c r="E59" i="2"/>
  <c r="L23" i="1"/>
  <c r="L15" i="1"/>
  <c r="G24" i="1"/>
  <c r="G17" i="1"/>
  <c r="F23" i="1"/>
  <c r="F15" i="1"/>
  <c r="K59" i="2" l="1"/>
  <c r="B25" i="1"/>
  <c r="B19" i="1"/>
  <c r="H19" i="2"/>
  <c r="G36" i="2"/>
  <c r="F34" i="2"/>
  <c r="L24" i="1"/>
  <c r="L17" i="1"/>
  <c r="K19" i="1"/>
  <c r="K20" i="1" s="1"/>
  <c r="K25" i="1"/>
  <c r="E30" i="2"/>
  <c r="E22" i="2"/>
  <c r="H37" i="2"/>
  <c r="I20" i="2"/>
  <c r="M19" i="1"/>
  <c r="M20" i="1" s="1"/>
  <c r="M25" i="1"/>
  <c r="G35" i="2"/>
  <c r="G21" i="2"/>
  <c r="G38" i="2" s="1"/>
  <c r="N24" i="1"/>
  <c r="G58" i="2"/>
  <c r="I23" i="1"/>
  <c r="I15" i="1"/>
  <c r="G19" i="1"/>
  <c r="G20" i="1" s="1"/>
  <c r="G25" i="1"/>
  <c r="H17" i="1"/>
  <c r="H24" i="1"/>
  <c r="F24" i="1"/>
  <c r="F17" i="1"/>
  <c r="D34" i="2"/>
  <c r="D17" i="2"/>
  <c r="J19" i="1"/>
  <c r="J20" i="1" s="1"/>
  <c r="J25" i="1"/>
  <c r="G59" i="2"/>
  <c r="B26" i="2"/>
  <c r="B27" i="2" s="1"/>
  <c r="B32" i="2"/>
  <c r="C25" i="1"/>
  <c r="C19" i="1"/>
  <c r="C17" i="2"/>
  <c r="C34" i="2"/>
  <c r="E31" i="2" l="1"/>
  <c r="E24" i="2"/>
  <c r="I24" i="1"/>
  <c r="I17" i="1"/>
  <c r="N25" i="1"/>
  <c r="N19" i="1"/>
  <c r="N20" i="1" s="1"/>
  <c r="H19" i="1"/>
  <c r="H20" i="1" s="1"/>
  <c r="H25" i="1"/>
  <c r="C22" i="2"/>
  <c r="C30" i="2"/>
  <c r="H21" i="2"/>
  <c r="H38" i="2" s="1"/>
  <c r="H35" i="2"/>
  <c r="H59" i="2"/>
  <c r="I19" i="2"/>
  <c r="H36" i="2"/>
  <c r="J20" i="2"/>
  <c r="I37" i="2"/>
  <c r="H15" i="2"/>
  <c r="H58" i="2"/>
  <c r="L25" i="1"/>
  <c r="L19" i="1"/>
  <c r="L20" i="1" s="1"/>
  <c r="G34" i="2"/>
  <c r="D30" i="2"/>
  <c r="D22" i="2"/>
  <c r="F19" i="1"/>
  <c r="F20" i="1" s="1"/>
  <c r="F25" i="1"/>
  <c r="J59" i="2" l="1"/>
  <c r="I59" i="2"/>
  <c r="C24" i="2"/>
  <c r="C31" i="2"/>
  <c r="H34" i="2"/>
  <c r="I35" i="2"/>
  <c r="I21" i="2"/>
  <c r="I38" i="2" s="1"/>
  <c r="E26" i="2"/>
  <c r="E32" i="2"/>
  <c r="D24" i="2"/>
  <c r="D31" i="2"/>
  <c r="I58" i="2"/>
  <c r="I15" i="2"/>
  <c r="F30" i="2"/>
  <c r="G17" i="2" s="1"/>
  <c r="I19" i="1"/>
  <c r="I20" i="1" s="1"/>
  <c r="I25" i="1"/>
  <c r="K20" i="2"/>
  <c r="J37" i="2"/>
  <c r="J19" i="2"/>
  <c r="I36" i="2"/>
  <c r="D26" i="2" l="1"/>
  <c r="D27" i="2" s="1"/>
  <c r="D32" i="2"/>
  <c r="E27" i="2"/>
  <c r="G22" i="2"/>
  <c r="G30" i="2"/>
  <c r="H17" i="2" s="1"/>
  <c r="G16" i="2"/>
  <c r="J21" i="2"/>
  <c r="J38" i="2" s="1"/>
  <c r="J35" i="2"/>
  <c r="I34" i="2"/>
  <c r="K19" i="2"/>
  <c r="J36" i="2"/>
  <c r="L20" i="2"/>
  <c r="K37" i="2"/>
  <c r="F31" i="2"/>
  <c r="C26" i="2"/>
  <c r="C27" i="2" s="1"/>
  <c r="C32" i="2"/>
  <c r="J58" i="2"/>
  <c r="J15" i="2"/>
  <c r="K36" i="2" l="1"/>
  <c r="K21" i="2"/>
  <c r="K38" i="2" s="1"/>
  <c r="L18" i="2"/>
  <c r="K35" i="2"/>
  <c r="H22" i="2"/>
  <c r="H30" i="2"/>
  <c r="I17" i="2" s="1"/>
  <c r="H16" i="2"/>
  <c r="J34" i="2"/>
  <c r="G31" i="2"/>
  <c r="F32" i="2"/>
  <c r="M20" i="2"/>
  <c r="L37" i="2"/>
  <c r="F26" i="2" l="1"/>
  <c r="F27" i="2" s="1"/>
  <c r="K34" i="2"/>
  <c r="I22" i="2"/>
  <c r="I30" i="2"/>
  <c r="J17" i="2" s="1"/>
  <c r="I16" i="2"/>
  <c r="H31" i="2"/>
  <c r="L35" i="2"/>
  <c r="L21" i="2"/>
  <c r="L38" i="2" s="1"/>
  <c r="M18" i="2"/>
  <c r="N20" i="2"/>
  <c r="M37" i="2"/>
  <c r="L36" i="2"/>
  <c r="O20" i="2" l="1"/>
  <c r="N37" i="2"/>
  <c r="I31" i="2"/>
  <c r="M21" i="2"/>
  <c r="M38" i="2" s="1"/>
  <c r="M35" i="2"/>
  <c r="N18" i="2"/>
  <c r="J22" i="2"/>
  <c r="J30" i="2"/>
  <c r="K17" i="2" s="1"/>
  <c r="J16" i="2"/>
  <c r="L34" i="2"/>
  <c r="M36" i="2"/>
  <c r="G23" i="2"/>
  <c r="G24" i="2" s="1"/>
  <c r="N36" i="2" l="1"/>
  <c r="M34" i="2"/>
  <c r="K22" i="2"/>
  <c r="K30" i="2"/>
  <c r="L17" i="2" s="1"/>
  <c r="K16" i="2"/>
  <c r="J31" i="2"/>
  <c r="O18" i="2"/>
  <c r="N35" i="2"/>
  <c r="N21" i="2"/>
  <c r="N38" i="2" s="1"/>
  <c r="G25" i="2"/>
  <c r="G32" i="2" s="1"/>
  <c r="O37" i="2"/>
  <c r="P20" i="2"/>
  <c r="K31" i="2" l="1"/>
  <c r="L30" i="2"/>
  <c r="M17" i="2" s="1"/>
  <c r="L22" i="2"/>
  <c r="L16" i="2"/>
  <c r="N34" i="2"/>
  <c r="O36" i="2"/>
  <c r="G26" i="2"/>
  <c r="P18" i="2"/>
  <c r="O35" i="2"/>
  <c r="O21" i="2"/>
  <c r="O38" i="2" s="1"/>
  <c r="P37" i="2"/>
  <c r="Q20" i="2"/>
  <c r="Q37" i="2" s="1"/>
  <c r="Q18" i="2" l="1"/>
  <c r="R18" i="2" s="1"/>
  <c r="P21" i="2"/>
  <c r="P38" i="2" s="1"/>
  <c r="P35" i="2"/>
  <c r="O34" i="2"/>
  <c r="L31" i="2"/>
  <c r="G27" i="2"/>
  <c r="P36" i="2"/>
  <c r="M30" i="2"/>
  <c r="N17" i="2" s="1"/>
  <c r="M22" i="2"/>
  <c r="M16" i="2"/>
  <c r="Q36" i="2" l="1"/>
  <c r="R21" i="2"/>
  <c r="S18" i="2"/>
  <c r="R35" i="2"/>
  <c r="M31" i="2"/>
  <c r="N22" i="2"/>
  <c r="N30" i="2"/>
  <c r="O17" i="2" s="1"/>
  <c r="N16" i="2"/>
  <c r="H23" i="2"/>
  <c r="H24" i="2" s="1"/>
  <c r="P34" i="2"/>
  <c r="Q21" i="2"/>
  <c r="Q38" i="2" s="1"/>
  <c r="Q35" i="2"/>
  <c r="R34" i="2" l="1"/>
  <c r="R36" i="2"/>
  <c r="S21" i="2"/>
  <c r="T18" i="2"/>
  <c r="S35" i="2"/>
  <c r="R38" i="2"/>
  <c r="Q34" i="2"/>
  <c r="H25" i="2"/>
  <c r="H32" i="2" s="1"/>
  <c r="O30" i="2"/>
  <c r="P17" i="2" s="1"/>
  <c r="O22" i="2"/>
  <c r="O16" i="2"/>
  <c r="N31" i="2"/>
  <c r="S34" i="2" l="1"/>
  <c r="S36" i="2"/>
  <c r="T35" i="2"/>
  <c r="U18" i="2"/>
  <c r="S38" i="2"/>
  <c r="O31" i="2"/>
  <c r="P30" i="2"/>
  <c r="Q17" i="2" s="1"/>
  <c r="P22" i="2"/>
  <c r="P16" i="2"/>
  <c r="H26" i="2"/>
  <c r="T34" i="2" l="1"/>
  <c r="U36" i="2"/>
  <c r="T36" i="2"/>
  <c r="T21" i="2"/>
  <c r="U21" i="2"/>
  <c r="U35" i="2"/>
  <c r="T38" i="2"/>
  <c r="H27" i="2"/>
  <c r="P31" i="2"/>
  <c r="Q22" i="2"/>
  <c r="Q30" i="2"/>
  <c r="R17" i="2" s="1"/>
  <c r="Q16" i="2"/>
  <c r="R30" i="2" l="1"/>
  <c r="S17" i="2" s="1"/>
  <c r="R16" i="2"/>
  <c r="R22" i="2"/>
  <c r="R31" i="2" s="1"/>
  <c r="U34" i="2"/>
  <c r="U38" i="2"/>
  <c r="I23" i="2"/>
  <c r="I24" i="2" s="1"/>
  <c r="Q31" i="2"/>
  <c r="S30" i="2" l="1"/>
  <c r="T17" i="2" s="1"/>
  <c r="S16" i="2"/>
  <c r="S22" i="2"/>
  <c r="S31" i="2" s="1"/>
  <c r="I25" i="2"/>
  <c r="I32" i="2" s="1"/>
  <c r="T30" i="2" l="1"/>
  <c r="U17" i="2" s="1"/>
  <c r="T16" i="2"/>
  <c r="T22" i="2"/>
  <c r="T31" i="2" s="1"/>
  <c r="I26" i="2"/>
  <c r="I27" i="2"/>
  <c r="U30" i="2" l="1"/>
  <c r="U16" i="2"/>
  <c r="U22" i="2"/>
  <c r="U31" i="2" s="1"/>
  <c r="J23" i="2"/>
  <c r="J24" i="2" s="1"/>
  <c r="J25" i="2" l="1"/>
  <c r="J32" i="2" s="1"/>
  <c r="J26" i="2" l="1"/>
  <c r="J27" i="2"/>
  <c r="K23" i="2" l="1"/>
  <c r="K24" i="2" s="1"/>
  <c r="K25" i="2" l="1"/>
  <c r="K32" i="2" s="1"/>
  <c r="K26" i="2" l="1"/>
  <c r="K27" i="2" l="1"/>
  <c r="K40" i="2"/>
  <c r="L23" i="2" l="1"/>
  <c r="L24" i="2" s="1"/>
  <c r="L25" i="2" l="1"/>
  <c r="L32" i="2" s="1"/>
  <c r="L26" i="2"/>
  <c r="L27" i="2" l="1"/>
  <c r="L40" i="2"/>
  <c r="M23" i="2" l="1"/>
  <c r="M24" i="2" s="1"/>
  <c r="M25" i="2" l="1"/>
  <c r="M32" i="2" s="1"/>
  <c r="M26" i="2"/>
  <c r="M27" i="2" l="1"/>
  <c r="M40" i="2"/>
  <c r="N23" i="2" l="1"/>
  <c r="N24" i="2" s="1"/>
  <c r="N25" i="2" l="1"/>
  <c r="N32" i="2" s="1"/>
  <c r="N26" i="2"/>
  <c r="N27" i="2" l="1"/>
  <c r="N40" i="2"/>
  <c r="O23" i="2" l="1"/>
  <c r="O24" i="2" s="1"/>
  <c r="O25" i="2" l="1"/>
  <c r="O32" i="2" s="1"/>
  <c r="O26" i="2"/>
  <c r="O27" i="2" l="1"/>
  <c r="O40" i="2"/>
  <c r="P23" i="2" l="1"/>
  <c r="P24" i="2" s="1"/>
  <c r="P25" i="2" l="1"/>
  <c r="P32" i="2" s="1"/>
  <c r="P26" i="2"/>
  <c r="P27" i="2" l="1"/>
  <c r="P40" i="2"/>
  <c r="Q23" i="2" l="1"/>
  <c r="Q24" i="2" s="1"/>
  <c r="Q25" i="2" l="1"/>
  <c r="Q32" i="2" s="1"/>
  <c r="Q26" i="2" l="1"/>
  <c r="Q27" i="2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V26" i="2" s="1"/>
  <c r="U27" i="2" l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U40" i="2"/>
  <c r="DS26" i="2" l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F5" i="2"/>
  <c r="F6" i="2" s="1"/>
  <c r="F7" i="2" s="1"/>
  <c r="G7" i="2" s="1"/>
</calcChain>
</file>

<file path=xl/sharedStrings.xml><?xml version="1.0" encoding="utf-8"?>
<sst xmlns="http://schemas.openxmlformats.org/spreadsheetml/2006/main" count="144" uniqueCount="99">
  <si>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</si>
  <si>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</si>
  <si>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</si>
  <si>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</si>
  <si>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</si>
  <si>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</si>
  <si>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</si>
  <si>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</si>
  <si>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</si>
  <si>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</si>
  <si>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</si>
  <si>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</si>
  <si>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</si>
  <si>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</si>
  <si>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</si>
  <si>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</si>
  <si>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</si>
  <si>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</si>
  <si>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</si>
  <si>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</si>
  <si>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</si>
  <si>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</si>
  <si>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</si>
  <si>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</si>
  <si>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</si>
  <si>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</si>
  <si>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</si>
  <si>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</si>
  <si>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</si>
  <si>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</si>
  <si>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</si>
  <si>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</si>
  <si>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</si>
  <si>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</si>
  <si>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</si>
  <si>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</si>
  <si>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</si>
  <si>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</si>
  <si>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</si>
  <si>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</si>
  <si>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</si>
  <si>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</si>
  <si>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</si>
  <si>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</si>
  <si>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</si>
  <si>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</si>
  <si>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</si>
  <si>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</si>
  <si>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</si>
  <si>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</si>
  <si>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EDGAR</t>
  </si>
  <si>
    <t>CEO</t>
  </si>
  <si>
    <t>Founder</t>
  </si>
  <si>
    <t>Price</t>
  </si>
  <si>
    <t>Market Cap</t>
  </si>
  <si>
    <t>EV</t>
  </si>
  <si>
    <t>per share</t>
  </si>
  <si>
    <t>R&amp;D y/y</t>
  </si>
  <si>
    <t>S&amp;M y/y</t>
  </si>
  <si>
    <t>G&amp;A y/y</t>
  </si>
  <si>
    <t>ARPU</t>
  </si>
  <si>
    <t>ARPU y/y</t>
  </si>
  <si>
    <t>Dropbox Inc (DBX)</t>
  </si>
  <si>
    <t>Drew Houston</t>
  </si>
  <si>
    <t>Arash Ferdowsi</t>
  </si>
  <si>
    <t>Paying users</t>
  </si>
  <si>
    <t>Paying users y/y</t>
  </si>
  <si>
    <t>Subscriptions</t>
  </si>
  <si>
    <t>Investor Relations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</si>
  <si>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</si>
  <si>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</si>
  <si>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</si>
  <si>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</si>
  <si>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</si>
  <si>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</si>
  <si>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</si>
  <si>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</si>
  <si>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</si>
  <si>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Subscriptions y/y</t>
  </si>
  <si>
    <t>Paper</t>
  </si>
  <si>
    <t>Showcase</t>
  </si>
  <si>
    <t>Collaborative workspace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</si>
  <si>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</si>
  <si>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</si>
  <si>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</si>
  <si>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</si>
  <si>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</si>
  <si>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</si>
  <si>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</si>
  <si>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</si>
  <si>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</si>
  <si>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</si>
  <si>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</si>
  <si>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</si>
  <si>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</si>
  <si>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OE y/y</t>
  </si>
  <si>
    <t>Products</t>
  </si>
  <si>
    <t>Photo portfolio</t>
  </si>
  <si>
    <t>Q220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</si>
</sst>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0.0%"/>
    <numFmt numFmtId="166" formatCode="#,##0.00_ ;[Red]\-#,##0.00\ "/>
    <numFmt numFmtId="167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4" applyFont="1"/>
    <xf numFmtId="0" fontId="5" fillId="0" borderId="0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0" xfId="0" applyNumberFormat="1" applyFont="1" applyBorder="1"/>
    <xf numFmtId="3" fontId="5" fillId="0" borderId="0" xfId="0" applyNumberFormat="1" applyFont="1" applyFill="1" applyBorder="1"/>
    <xf numFmtId="167" fontId="5" fillId="0" borderId="0" xfId="0" applyNumberFormat="1" applyFont="1"/>
    <xf numFmtId="2" fontId="5" fillId="2" borderId="0" xfId="0" applyNumberFormat="1" applyFont="1" applyFill="1"/>
    <xf numFmtId="2" fontId="5" fillId="0" borderId="0" xfId="0" applyNumberFormat="1" applyFont="1" applyFill="1"/>
    <xf numFmtId="0" fontId="5" fillId="0" borderId="0" xfId="0" applyFont="1" applyFill="1" applyBorder="1"/>
    <xf numFmtId="0" fontId="6" fillId="0" borderId="0" xfId="0" applyFont="1"/>
    <xf numFmtId="3" fontId="6" fillId="2" borderId="0" xfId="0" applyNumberFormat="1" applyFont="1" applyFill="1" applyBorder="1"/>
    <xf numFmtId="3" fontId="6" fillId="0" borderId="0" xfId="0" applyNumberFormat="1" applyFont="1" applyFill="1" applyBorder="1"/>
    <xf numFmtId="3" fontId="5" fillId="2" borderId="0" xfId="0" applyNumberFormat="1" applyFont="1" applyFill="1" applyBorder="1"/>
    <xf numFmtId="2" fontId="5" fillId="0" borderId="0" xfId="0" applyNumberFormat="1" applyFont="1" applyFill="1" applyBorder="1"/>
    <xf numFmtId="2" fontId="5" fillId="2" borderId="0" xfId="0" applyNumberFormat="1" applyFont="1" applyFill="1" applyBorder="1"/>
    <xf numFmtId="9" fontId="5" fillId="0" borderId="0" xfId="0" applyNumberFormat="1" applyFont="1" applyFill="1" applyBorder="1"/>
    <xf numFmtId="9" fontId="5" fillId="0" borderId="0" xfId="1" applyFont="1" applyFill="1" applyBorder="1"/>
    <xf numFmtId="0" fontId="5" fillId="0" borderId="0" xfId="0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1" xfId="0" applyNumberFormat="1" applyFont="1" applyBorder="1" applyAlignment="1">
      <alignment horizontal="right"/>
    </xf>
    <xf numFmtId="167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0" fontId="7" fillId="0" borderId="0" xfId="0" applyFont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6" fillId="0" borderId="0" xfId="0" applyNumberFormat="1" applyFont="1" applyBorder="1"/>
    <xf numFmtId="2" fontId="5" fillId="0" borderId="0" xfId="0" applyNumberFormat="1" applyFont="1" applyBorder="1"/>
    <xf numFmtId="0" fontId="6" fillId="0" borderId="0" xfId="0" applyFont="1" applyFill="1" applyBorder="1"/>
    <xf numFmtId="9" fontId="6" fillId="0" borderId="0" xfId="1" applyFont="1" applyFill="1" applyBorder="1"/>
    <xf numFmtId="9" fontId="5" fillId="0" borderId="0" xfId="1" applyFont="1" applyBorder="1"/>
    <xf numFmtId="9" fontId="5" fillId="0" borderId="0" xfId="0" applyNumberFormat="1" applyFont="1" applyBorder="1"/>
    <xf numFmtId="165" fontId="5" fillId="0" borderId="0" xfId="0" applyNumberFormat="1" applyFont="1"/>
    <xf numFmtId="9" fontId="5" fillId="0" borderId="0" xfId="0" applyNumberFormat="1" applyFont="1" applyAlignment="1">
      <alignment horizontal="right"/>
    </xf>
    <xf numFmtId="9" fontId="5" fillId="0" borderId="1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5" fillId="0" borderId="0" xfId="0" applyNumberFormat="1" applyFont="1"/>
    <xf numFmtId="9" fontId="7" fillId="0" borderId="0" xfId="1" applyFont="1" applyFill="1" applyBorder="1"/>
    <xf numFmtId="9" fontId="7" fillId="0" borderId="0" xfId="1" applyFont="1" applyBorder="1"/>
    <xf numFmtId="14" fontId="5" fillId="0" borderId="1" xfId="0" applyNumberFormat="1" applyFont="1" applyBorder="1" applyAlignment="1">
      <alignment horizontal="right"/>
    </xf>
    <xf numFmtId="3" fontId="6" fillId="0" borderId="0" xfId="0" applyNumberFormat="1" applyFont="1"/>
    <xf numFmtId="3" fontId="5" fillId="2" borderId="0" xfId="0" applyNumberFormat="1" applyFont="1" applyFill="1" applyAlignment="1">
      <alignment horizontal="right"/>
    </xf>
    <xf numFmtId="9" fontId="5" fillId="0" borderId="0" xfId="0" applyNumberFormat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0" fontId="4" fillId="0" borderId="0" xfId="4" applyFont="1" applyAlignment="1">
      <alignment horizontal="left"/>
    </xf>
    <xf numFmtId="0" fontId="5" fillId="0" borderId="0" xfId="0" applyFont="1" applyAlignment="1">
      <alignment horizontal="left"/>
    </xf>
    <xf numFmtId="167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 applyFill="1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0</xdr:rowOff>
    </xdr:from>
    <xdr:to>
      <xdr:col>6</xdr:col>
      <xdr:colOff>165100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00700" y="1320800"/>
          <a:ext cx="0" cy="8420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165100</xdr:colOff>
      <xdr:row>1</xdr:row>
      <xdr:rowOff>12700</xdr:rowOff>
    </xdr:from>
    <xdr:to>
      <xdr:col>19</xdr:col>
      <xdr:colOff>165100</xdr:colOff>
      <xdr:row>51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256000" y="177800"/>
          <a:ext cx="0" cy="8394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rash_Ferdowsi" TargetMode="External"/><Relationship Id="rId2" Type="http://schemas.openxmlformats.org/officeDocument/2006/relationships/hyperlink" Target="https://en.wikipedia.org/wiki/Drew_Houston" TargetMode="External"/><Relationship Id="rId1" Type="http://schemas.openxmlformats.org/officeDocument/2006/relationships/hyperlink" Target="https://dropbox.gcs-web.com/investor-relation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en.wikipedia.org/wiki/Drew_Houst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dropbo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8" sqref="I48"/>
    </sheetView>
  </sheetViews>
  <sheetFormatPr baseColWidth="10" defaultRowHeight="13" x14ac:dyDescent="0.15"/>
  <cols>
    <col min="1" max="1" width="17.1640625" style="3" bestFit="1" customWidth="1"/>
    <col min="2" max="16384" width="10.83203125" style="3"/>
  </cols>
  <sheetData>
    <row r="1" spans="1:22" x14ac:dyDescent="0.15">
      <c r="A1" s="1" t="s">
        <v>68</v>
      </c>
      <c r="B1" s="15" t="s">
        <v>62</v>
      </c>
      <c r="K1" s="15"/>
    </row>
    <row r="2" spans="1:22" x14ac:dyDescent="0.15">
      <c r="B2" s="3" t="s">
        <v>53</v>
      </c>
      <c r="C2" s="72">
        <v>20.57</v>
      </c>
      <c r="D2" s="86">
        <v>44069</v>
      </c>
      <c r="E2" s="2" t="s">
        <v>37</v>
      </c>
      <c r="F2" s="51">
        <v>-5.0000000000000001E-3</v>
      </c>
      <c r="I2" s="53"/>
      <c r="L2" s="52"/>
    </row>
    <row r="3" spans="1:22" x14ac:dyDescent="0.15">
      <c r="A3" s="15" t="s">
        <v>51</v>
      </c>
      <c r="B3" s="3" t="s">
        <v>17</v>
      </c>
      <c r="C3" s="53">
        <f>Reports!S21</f>
        <v>420.5</v>
      </c>
      <c r="D3" s="81" t="s">
        <v>98</v>
      </c>
      <c r="E3" s="2" t="s">
        <v>38</v>
      </c>
      <c r="F3" s="51">
        <v>0.02</v>
      </c>
      <c r="G3" s="50" t="s">
        <v>90</v>
      </c>
      <c r="I3" s="53"/>
    </row>
    <row r="4" spans="1:22" x14ac:dyDescent="0.15">
      <c r="A4" s="1" t="s">
        <v>63</v>
      </c>
      <c r="B4" s="3" t="s">
        <v>54</v>
      </c>
      <c r="C4" s="54">
        <f>C3*C2</f>
        <v>8649.6849999999995</v>
      </c>
      <c r="D4" s="81"/>
      <c r="E4" s="2" t="s">
        <v>39</v>
      </c>
      <c r="F4" s="51">
        <v>7.0000000000000007E-2</v>
      </c>
      <c r="G4" s="50" t="s">
        <v>91</v>
      </c>
      <c r="I4" s="61"/>
      <c r="L4" s="1" t="s">
        <v>92</v>
      </c>
    </row>
    <row r="5" spans="1:22" x14ac:dyDescent="0.15">
      <c r="B5" s="3" t="s">
        <v>33</v>
      </c>
      <c r="C5" s="53">
        <f>Reports!S32</f>
        <v>1118</v>
      </c>
      <c r="D5" s="81" t="s">
        <v>98</v>
      </c>
      <c r="E5" s="2" t="s">
        <v>40</v>
      </c>
      <c r="F5" s="55">
        <f>NPV(F4,G26:DR26)</f>
        <v>9553.0584923009574</v>
      </c>
      <c r="G5" s="50" t="s">
        <v>93</v>
      </c>
      <c r="I5" s="61"/>
    </row>
    <row r="6" spans="1:22" x14ac:dyDescent="0.15">
      <c r="A6" s="15" t="s">
        <v>52</v>
      </c>
      <c r="B6" s="3" t="s">
        <v>55</v>
      </c>
      <c r="C6" s="54">
        <f>C4-C5</f>
        <v>7531.6849999999995</v>
      </c>
      <c r="D6" s="81"/>
      <c r="E6" s="56" t="s">
        <v>41</v>
      </c>
      <c r="F6" s="57">
        <f>F5+C5</f>
        <v>10671.058492300957</v>
      </c>
      <c r="I6" s="61"/>
    </row>
    <row r="7" spans="1:22" x14ac:dyDescent="0.15">
      <c r="A7" s="1" t="s">
        <v>63</v>
      </c>
      <c r="B7" s="50" t="s">
        <v>56</v>
      </c>
      <c r="C7" s="58">
        <f>C6/C3</f>
        <v>17.911260404280618</v>
      </c>
      <c r="D7" s="81"/>
      <c r="E7" s="59" t="s">
        <v>56</v>
      </c>
      <c r="F7" s="60">
        <f>F6/C3</f>
        <v>25.377071325329268</v>
      </c>
      <c r="G7" s="61">
        <f>F7/C2-1</f>
        <v>0.23369330701649327</v>
      </c>
    </row>
    <row r="8" spans="1:22" x14ac:dyDescent="0.15">
      <c r="A8" s="1" t="s">
        <v>64</v>
      </c>
    </row>
    <row r="9" spans="1:22" x14ac:dyDescent="0.15">
      <c r="B9" s="3">
        <v>2015</v>
      </c>
      <c r="C9" s="3">
        <v>2016</v>
      </c>
      <c r="D9" s="3">
        <v>2017</v>
      </c>
      <c r="E9" s="3">
        <f>D9+1</f>
        <v>2018</v>
      </c>
      <c r="F9" s="3">
        <f t="shared" ref="F9:U9" si="0">E9+1</f>
        <v>2019</v>
      </c>
      <c r="G9" s="3">
        <f t="shared" si="0"/>
        <v>2020</v>
      </c>
      <c r="H9" s="3">
        <f t="shared" si="0"/>
        <v>2021</v>
      </c>
      <c r="I9" s="3">
        <f t="shared" si="0"/>
        <v>2022</v>
      </c>
      <c r="J9" s="3">
        <f t="shared" si="0"/>
        <v>2023</v>
      </c>
      <c r="K9" s="3">
        <f t="shared" si="0"/>
        <v>2024</v>
      </c>
      <c r="L9" s="3">
        <f t="shared" si="0"/>
        <v>2025</v>
      </c>
      <c r="M9" s="3">
        <f t="shared" si="0"/>
        <v>2026</v>
      </c>
      <c r="N9" s="3">
        <f t="shared" si="0"/>
        <v>2027</v>
      </c>
      <c r="O9" s="3">
        <f t="shared" si="0"/>
        <v>2028</v>
      </c>
      <c r="P9" s="3">
        <f t="shared" si="0"/>
        <v>2029</v>
      </c>
      <c r="Q9" s="3">
        <f t="shared" si="0"/>
        <v>2030</v>
      </c>
      <c r="R9" s="3">
        <f t="shared" si="0"/>
        <v>2031</v>
      </c>
      <c r="S9" s="3">
        <f t="shared" si="0"/>
        <v>2032</v>
      </c>
      <c r="T9" s="3">
        <f t="shared" si="0"/>
        <v>2033</v>
      </c>
      <c r="U9" s="3">
        <f t="shared" si="0"/>
        <v>2034</v>
      </c>
    </row>
    <row r="10" spans="1:22" x14ac:dyDescent="0.15">
      <c r="A10" s="3" t="s">
        <v>67</v>
      </c>
      <c r="B10" s="9">
        <v>604</v>
      </c>
      <c r="C10" s="9">
        <v>845</v>
      </c>
      <c r="D10" s="53">
        <f>SUM(Reports!F3:I3)</f>
        <v>1106.8</v>
      </c>
      <c r="E10" s="53">
        <f>SUM(Reports!J3:M3)</f>
        <v>1391.6999999999998</v>
      </c>
      <c r="F10" s="53">
        <f>SUM(Reports!N3:Q3)</f>
        <v>1661.1</v>
      </c>
      <c r="G10" s="53"/>
      <c r="H10" s="53"/>
      <c r="I10" s="53"/>
    </row>
    <row r="12" spans="1:22" x14ac:dyDescent="0.15">
      <c r="A12" s="3" t="s">
        <v>65</v>
      </c>
      <c r="B12" s="11">
        <v>6.5</v>
      </c>
      <c r="C12" s="11">
        <f>Reports!E5</f>
        <v>8.8000000000000007</v>
      </c>
      <c r="D12" s="11">
        <f>Reports!I5</f>
        <v>11</v>
      </c>
      <c r="E12" s="11">
        <f>Reports!M5</f>
        <v>12.7</v>
      </c>
      <c r="F12" s="11">
        <f>Reports!R5</f>
        <v>14.6</v>
      </c>
      <c r="G12" s="11">
        <f>F12*1.1</f>
        <v>16.060000000000002</v>
      </c>
      <c r="H12" s="11">
        <f t="shared" ref="H12:K12" si="1">G12*1.1</f>
        <v>17.666000000000004</v>
      </c>
      <c r="I12" s="11">
        <f t="shared" si="1"/>
        <v>19.432600000000004</v>
      </c>
      <c r="J12" s="11">
        <f t="shared" si="1"/>
        <v>21.375860000000007</v>
      </c>
      <c r="K12" s="11">
        <f t="shared" si="1"/>
        <v>23.513446000000009</v>
      </c>
    </row>
    <row r="13" spans="1:22" x14ac:dyDescent="0.15">
      <c r="A13" s="3" t="s">
        <v>60</v>
      </c>
      <c r="B13" s="12">
        <f>B10/B12</f>
        <v>92.92307692307692</v>
      </c>
      <c r="C13" s="12">
        <f>C10/C12</f>
        <v>96.022727272727266</v>
      </c>
      <c r="D13" s="12">
        <f t="shared" ref="D13:F13" si="2">D10/D12</f>
        <v>100.61818181818181</v>
      </c>
      <c r="E13" s="12">
        <f t="shared" si="2"/>
        <v>109.58267716535433</v>
      </c>
      <c r="F13" s="12">
        <f t="shared" si="2"/>
        <v>113.77397260273972</v>
      </c>
      <c r="G13" s="13">
        <f t="shared" ref="G13:K13" si="3">F13*1.05</f>
        <v>119.46267123287672</v>
      </c>
      <c r="H13" s="13">
        <f t="shared" si="3"/>
        <v>125.43580479452055</v>
      </c>
      <c r="I13" s="13">
        <f t="shared" si="3"/>
        <v>131.70759503424659</v>
      </c>
      <c r="J13" s="13">
        <f t="shared" si="3"/>
        <v>138.29297478595893</v>
      </c>
      <c r="K13" s="13">
        <f t="shared" si="3"/>
        <v>145.20762352525688</v>
      </c>
    </row>
    <row r="14" spans="1:22" s="88" customFormat="1" x14ac:dyDescent="0.15">
      <c r="B14" s="89"/>
      <c r="E14" s="87"/>
      <c r="G14" s="88">
        <v>1891</v>
      </c>
    </row>
    <row r="15" spans="1:22" x14ac:dyDescent="0.15">
      <c r="A15" s="15" t="s">
        <v>4</v>
      </c>
      <c r="B15" s="16">
        <f>B12*B13</f>
        <v>604</v>
      </c>
      <c r="C15" s="16">
        <f>C12*C13</f>
        <v>845</v>
      </c>
      <c r="D15" s="16">
        <f t="shared" ref="D15" si="4">D12*D13</f>
        <v>1106.8</v>
      </c>
      <c r="E15" s="16">
        <f>E12*E13</f>
        <v>1391.6999999999998</v>
      </c>
      <c r="F15" s="16">
        <f>F12*F13</f>
        <v>1661.1</v>
      </c>
      <c r="G15" s="62">
        <f>G12*G13</f>
        <v>1918.5705000000003</v>
      </c>
      <c r="H15" s="62">
        <f t="shared" ref="H15:J15" si="5">H12*H13</f>
        <v>2215.9489275000005</v>
      </c>
      <c r="I15" s="62">
        <f t="shared" si="5"/>
        <v>2559.421011262501</v>
      </c>
      <c r="J15" s="62">
        <f t="shared" si="5"/>
        <v>2956.1312680081892</v>
      </c>
      <c r="K15" s="62">
        <f>K12*K13</f>
        <v>3414.3316145494587</v>
      </c>
      <c r="L15" s="62">
        <f>K15*1.05</f>
        <v>3585.0481952769319</v>
      </c>
      <c r="M15" s="62">
        <f t="shared" ref="M15:U15" si="6">L15*1.05</f>
        <v>3764.3006050407785</v>
      </c>
      <c r="N15" s="62">
        <f t="shared" si="6"/>
        <v>3952.5156352928175</v>
      </c>
      <c r="O15" s="62">
        <f t="shared" si="6"/>
        <v>4150.141417057459</v>
      </c>
      <c r="P15" s="62">
        <f t="shared" si="6"/>
        <v>4357.6484879103318</v>
      </c>
      <c r="Q15" s="62">
        <f t="shared" si="6"/>
        <v>4575.5309123058487</v>
      </c>
      <c r="R15" s="62">
        <f t="shared" si="6"/>
        <v>4804.3074579211416</v>
      </c>
      <c r="S15" s="62">
        <f t="shared" si="6"/>
        <v>5044.5228308171991</v>
      </c>
      <c r="T15" s="62">
        <f t="shared" si="6"/>
        <v>5296.7489723580593</v>
      </c>
      <c r="U15" s="62">
        <f t="shared" si="6"/>
        <v>5561.5864209759629</v>
      </c>
      <c r="V15" s="9"/>
    </row>
    <row r="16" spans="1:22" x14ac:dyDescent="0.15">
      <c r="A16" s="3" t="s">
        <v>5</v>
      </c>
      <c r="B16" s="9">
        <v>407</v>
      </c>
      <c r="C16" s="9">
        <v>391</v>
      </c>
      <c r="D16" s="9">
        <f>SUM(Reports!F9:I9)</f>
        <v>368.9</v>
      </c>
      <c r="E16" s="9">
        <f>SUM(Reports!J9:M9)</f>
        <v>394.70000000000005</v>
      </c>
      <c r="F16" s="53">
        <f>SUM(Reports!N9:Q9)</f>
        <v>411.4</v>
      </c>
      <c r="G16" s="9">
        <f t="shared" ref="G16" si="7">G15-G17</f>
        <v>475.16700000000014</v>
      </c>
      <c r="H16" s="9">
        <f t="shared" ref="H16:Q16" si="8">H15-H17</f>
        <v>548.81788500000039</v>
      </c>
      <c r="I16" s="9">
        <f t="shared" si="8"/>
        <v>633.88465717500048</v>
      </c>
      <c r="J16" s="9">
        <f t="shared" si="8"/>
        <v>732.13677903712551</v>
      </c>
      <c r="K16" s="9">
        <f t="shared" si="8"/>
        <v>845.61797978788036</v>
      </c>
      <c r="L16" s="9">
        <f t="shared" si="8"/>
        <v>887.89887877727415</v>
      </c>
      <c r="M16" s="9">
        <f t="shared" si="8"/>
        <v>932.29382271613804</v>
      </c>
      <c r="N16" s="9">
        <f t="shared" si="8"/>
        <v>978.90851385194492</v>
      </c>
      <c r="O16" s="9">
        <f t="shared" si="8"/>
        <v>1027.8539395445423</v>
      </c>
      <c r="P16" s="9">
        <f t="shared" si="8"/>
        <v>1079.2466365217692</v>
      </c>
      <c r="Q16" s="9">
        <f t="shared" si="8"/>
        <v>1133.208968347858</v>
      </c>
      <c r="R16" s="9">
        <f t="shared" ref="R16:U16" si="9">R15-R17</f>
        <v>1189.8694167652511</v>
      </c>
      <c r="S16" s="9">
        <f t="shared" si="9"/>
        <v>1249.3628876035136</v>
      </c>
      <c r="T16" s="9">
        <f t="shared" si="9"/>
        <v>1311.8310319836892</v>
      </c>
      <c r="U16" s="9">
        <f t="shared" si="9"/>
        <v>1377.4225835828738</v>
      </c>
      <c r="V16" s="9"/>
    </row>
    <row r="17" spans="1:145" x14ac:dyDescent="0.15">
      <c r="A17" s="3" t="s">
        <v>6</v>
      </c>
      <c r="B17" s="18">
        <f>B15-B16</f>
        <v>197</v>
      </c>
      <c r="C17" s="18">
        <f>C15-C16</f>
        <v>454</v>
      </c>
      <c r="D17" s="18">
        <f>D15-D16</f>
        <v>737.9</v>
      </c>
      <c r="E17" s="18">
        <f>E15-E16</f>
        <v>996.99999999999977</v>
      </c>
      <c r="F17" s="18">
        <f>F15-F16</f>
        <v>1249.6999999999998</v>
      </c>
      <c r="G17" s="9">
        <f t="shared" ref="G17:U17" si="10">G15*F30</f>
        <v>1443.4035000000001</v>
      </c>
      <c r="H17" s="9">
        <f t="shared" si="10"/>
        <v>1667.1310425000001</v>
      </c>
      <c r="I17" s="9">
        <f t="shared" si="10"/>
        <v>1925.5363540875005</v>
      </c>
      <c r="J17" s="9">
        <f t="shared" si="10"/>
        <v>2223.9944889710637</v>
      </c>
      <c r="K17" s="9">
        <f t="shared" si="10"/>
        <v>2568.7136347615783</v>
      </c>
      <c r="L17" s="9">
        <f t="shared" si="10"/>
        <v>2697.1493164996577</v>
      </c>
      <c r="M17" s="9">
        <f t="shared" si="10"/>
        <v>2832.0067823246404</v>
      </c>
      <c r="N17" s="9">
        <f t="shared" si="10"/>
        <v>2973.6071214408726</v>
      </c>
      <c r="O17" s="9">
        <f t="shared" si="10"/>
        <v>3122.2874775129167</v>
      </c>
      <c r="P17" s="9">
        <f t="shared" si="10"/>
        <v>3278.4018513885626</v>
      </c>
      <c r="Q17" s="9">
        <f t="shared" si="10"/>
        <v>3442.3219439579907</v>
      </c>
      <c r="R17" s="9">
        <f t="shared" si="10"/>
        <v>3614.4380411558905</v>
      </c>
      <c r="S17" s="9">
        <f t="shared" si="10"/>
        <v>3795.1599432136854</v>
      </c>
      <c r="T17" s="9">
        <f t="shared" si="10"/>
        <v>3984.9179403743701</v>
      </c>
      <c r="U17" s="9">
        <f t="shared" si="10"/>
        <v>4184.1638373930891</v>
      </c>
      <c r="V17" s="9"/>
    </row>
    <row r="18" spans="1:145" x14ac:dyDescent="0.15">
      <c r="A18" s="3" t="s">
        <v>7</v>
      </c>
      <c r="B18" s="9">
        <v>202</v>
      </c>
      <c r="C18" s="9">
        <v>290</v>
      </c>
      <c r="D18" s="9">
        <f>SUM(Reports!F11:I11)</f>
        <v>380.3</v>
      </c>
      <c r="E18" s="9">
        <f>SUM(Reports!J11:M11)</f>
        <v>768.2</v>
      </c>
      <c r="F18" s="53">
        <f>SUM(Reports!N11:Q11)</f>
        <v>662</v>
      </c>
      <c r="G18" s="9">
        <f>F18*1.15</f>
        <v>761.3</v>
      </c>
      <c r="H18" s="9">
        <f t="shared" ref="H18:K18" si="11">G18*1.15</f>
        <v>875.49499999999989</v>
      </c>
      <c r="I18" s="9">
        <f t="shared" si="11"/>
        <v>1006.8192499999998</v>
      </c>
      <c r="J18" s="9">
        <f t="shared" si="11"/>
        <v>1157.8421374999996</v>
      </c>
      <c r="K18" s="9">
        <f t="shared" si="11"/>
        <v>1331.5184581249994</v>
      </c>
      <c r="L18" s="9">
        <f t="shared" ref="L18:U19" si="12">K18*1.02</f>
        <v>1358.1488272874994</v>
      </c>
      <c r="M18" s="9">
        <f t="shared" si="12"/>
        <v>1385.3118038332495</v>
      </c>
      <c r="N18" s="9">
        <f t="shared" si="12"/>
        <v>1413.0180399099145</v>
      </c>
      <c r="O18" s="9">
        <f t="shared" si="12"/>
        <v>1441.2784007081127</v>
      </c>
      <c r="P18" s="9">
        <f t="shared" si="12"/>
        <v>1470.1039687222749</v>
      </c>
      <c r="Q18" s="9">
        <f t="shared" si="12"/>
        <v>1499.5060480967204</v>
      </c>
      <c r="R18" s="9">
        <f t="shared" si="12"/>
        <v>1529.4961690586549</v>
      </c>
      <c r="S18" s="9">
        <f t="shared" si="12"/>
        <v>1560.086092439828</v>
      </c>
      <c r="T18" s="9">
        <f t="shared" si="12"/>
        <v>1591.2878142886245</v>
      </c>
      <c r="U18" s="9">
        <f t="shared" si="12"/>
        <v>1623.113570574397</v>
      </c>
      <c r="V18" s="9"/>
    </row>
    <row r="19" spans="1:145" x14ac:dyDescent="0.15">
      <c r="A19" s="3" t="s">
        <v>8</v>
      </c>
      <c r="B19" s="9">
        <v>193</v>
      </c>
      <c r="C19" s="9">
        <v>251</v>
      </c>
      <c r="D19" s="9">
        <f>SUM(Reports!F12:I12)</f>
        <v>314</v>
      </c>
      <c r="E19" s="9">
        <f>SUM(Reports!J12:M12)</f>
        <v>439.59999999999997</v>
      </c>
      <c r="F19" s="53">
        <f>SUM(Reports!N12:Q12)</f>
        <v>422.5</v>
      </c>
      <c r="G19" s="9">
        <f t="shared" ref="G19:J19" si="13">F19*1.1</f>
        <v>464.75000000000006</v>
      </c>
      <c r="H19" s="9">
        <f t="shared" si="13"/>
        <v>511.22500000000008</v>
      </c>
      <c r="I19" s="9">
        <f t="shared" si="13"/>
        <v>562.34750000000008</v>
      </c>
      <c r="J19" s="9">
        <f t="shared" si="13"/>
        <v>618.58225000000016</v>
      </c>
      <c r="K19" s="9">
        <f t="shared" ref="K19:U20" si="14">J19*0.98</f>
        <v>606.2106050000001</v>
      </c>
      <c r="L19" s="9">
        <f>K19*1.02</f>
        <v>618.33481710000012</v>
      </c>
      <c r="M19" s="9">
        <f t="shared" si="12"/>
        <v>630.70151344200019</v>
      </c>
      <c r="N19" s="9">
        <f t="shared" si="12"/>
        <v>643.31554371084019</v>
      </c>
      <c r="O19" s="9">
        <f t="shared" si="12"/>
        <v>656.18185458505695</v>
      </c>
      <c r="P19" s="9">
        <f t="shared" si="12"/>
        <v>669.30549167675815</v>
      </c>
      <c r="Q19" s="9">
        <f t="shared" si="12"/>
        <v>682.69160151029337</v>
      </c>
      <c r="R19" s="9">
        <f t="shared" si="12"/>
        <v>696.34543354049924</v>
      </c>
      <c r="S19" s="9">
        <f t="shared" si="12"/>
        <v>710.27234221130925</v>
      </c>
      <c r="T19" s="9">
        <f t="shared" si="12"/>
        <v>724.47778905553548</v>
      </c>
      <c r="U19" s="9">
        <f t="shared" si="12"/>
        <v>738.96734483664625</v>
      </c>
      <c r="V19" s="9"/>
    </row>
    <row r="20" spans="1:145" x14ac:dyDescent="0.15">
      <c r="A20" s="3" t="s">
        <v>9</v>
      </c>
      <c r="B20" s="9">
        <v>108</v>
      </c>
      <c r="C20" s="9">
        <v>107</v>
      </c>
      <c r="D20" s="9">
        <f>SUM(Reports!F13:I13)</f>
        <v>157.30000000000001</v>
      </c>
      <c r="E20" s="9">
        <f>SUM(Reports!J13:M13)</f>
        <v>283.2</v>
      </c>
      <c r="F20" s="53">
        <f>SUM(Reports!N13:Q13)</f>
        <v>246</v>
      </c>
      <c r="G20" s="9">
        <f>F20*1.2</f>
        <v>295.2</v>
      </c>
      <c r="H20" s="9">
        <f t="shared" ref="H20:J20" si="15">G20*1.2</f>
        <v>354.23999999999995</v>
      </c>
      <c r="I20" s="9">
        <f t="shared" si="15"/>
        <v>425.08799999999991</v>
      </c>
      <c r="J20" s="9">
        <f t="shared" si="15"/>
        <v>510.10559999999987</v>
      </c>
      <c r="K20" s="9">
        <f>J20*0.98</f>
        <v>499.90348799999987</v>
      </c>
      <c r="L20" s="9">
        <f t="shared" si="14"/>
        <v>489.90541823999985</v>
      </c>
      <c r="M20" s="9">
        <f t="shared" si="14"/>
        <v>480.10730987519986</v>
      </c>
      <c r="N20" s="9">
        <f t="shared" si="14"/>
        <v>470.50516367769586</v>
      </c>
      <c r="O20" s="9">
        <f t="shared" si="14"/>
        <v>461.09506040414192</v>
      </c>
      <c r="P20" s="9">
        <f t="shared" si="14"/>
        <v>451.87315919605908</v>
      </c>
      <c r="Q20" s="9">
        <f t="shared" si="14"/>
        <v>442.83569601213787</v>
      </c>
      <c r="R20" s="9">
        <f t="shared" si="14"/>
        <v>433.97898209189509</v>
      </c>
      <c r="S20" s="9">
        <f t="shared" si="14"/>
        <v>425.29940245005719</v>
      </c>
      <c r="T20" s="9">
        <f t="shared" si="14"/>
        <v>416.79341440105605</v>
      </c>
      <c r="U20" s="9">
        <f t="shared" si="14"/>
        <v>408.45754611303494</v>
      </c>
      <c r="V20" s="9"/>
    </row>
    <row r="21" spans="1:145" x14ac:dyDescent="0.15">
      <c r="A21" s="3" t="s">
        <v>10</v>
      </c>
      <c r="B21" s="18">
        <f>SUM(B18:B20)</f>
        <v>503</v>
      </c>
      <c r="C21" s="18">
        <f>SUM(C18:C20)</f>
        <v>648</v>
      </c>
      <c r="D21" s="18">
        <f>SUM(D18:D20)</f>
        <v>851.59999999999991</v>
      </c>
      <c r="E21" s="18">
        <f>SUM(E18:E20)</f>
        <v>1491</v>
      </c>
      <c r="F21" s="18">
        <f>SUM(F18:F20)</f>
        <v>1330.5</v>
      </c>
      <c r="G21" s="10">
        <f t="shared" ref="G21" si="16">SUM(G18:G20)</f>
        <v>1521.25</v>
      </c>
      <c r="H21" s="10">
        <f t="shared" ref="H21:Q21" si="17">SUM(H18:H20)</f>
        <v>1740.96</v>
      </c>
      <c r="I21" s="10">
        <f t="shared" si="17"/>
        <v>1994.2547499999998</v>
      </c>
      <c r="J21" s="10">
        <f t="shared" si="17"/>
        <v>2286.5299874999996</v>
      </c>
      <c r="K21" s="10">
        <f t="shared" si="17"/>
        <v>2437.6325511249993</v>
      </c>
      <c r="L21" s="10">
        <f t="shared" si="17"/>
        <v>2466.3890626274997</v>
      </c>
      <c r="M21" s="10">
        <f t="shared" si="17"/>
        <v>2496.1206271504498</v>
      </c>
      <c r="N21" s="10">
        <f t="shared" si="17"/>
        <v>2526.8387472984505</v>
      </c>
      <c r="O21" s="10">
        <f t="shared" si="17"/>
        <v>2558.5553156973115</v>
      </c>
      <c r="P21" s="10">
        <f t="shared" si="17"/>
        <v>2591.282619595092</v>
      </c>
      <c r="Q21" s="10">
        <f t="shared" si="17"/>
        <v>2625.0333456191515</v>
      </c>
      <c r="R21" s="10">
        <f t="shared" ref="R21:U21" si="18">SUM(R18:R20)</f>
        <v>2659.8205846910491</v>
      </c>
      <c r="S21" s="10">
        <f t="shared" si="18"/>
        <v>2695.6578371011942</v>
      </c>
      <c r="T21" s="10">
        <f t="shared" si="18"/>
        <v>2732.5590177452159</v>
      </c>
      <c r="U21" s="10">
        <f t="shared" si="18"/>
        <v>2770.5384615240782</v>
      </c>
      <c r="V21" s="9"/>
    </row>
    <row r="22" spans="1:145" x14ac:dyDescent="0.15">
      <c r="A22" s="3" t="s">
        <v>11</v>
      </c>
      <c r="B22" s="18">
        <f t="shared" ref="B22:G22" si="19">B17-B21</f>
        <v>-306</v>
      </c>
      <c r="C22" s="18">
        <f t="shared" si="19"/>
        <v>-194</v>
      </c>
      <c r="D22" s="18">
        <f t="shared" si="19"/>
        <v>-113.69999999999993</v>
      </c>
      <c r="E22" s="18">
        <f t="shared" si="19"/>
        <v>-494.00000000000023</v>
      </c>
      <c r="F22" s="18">
        <f t="shared" si="19"/>
        <v>-80.800000000000182</v>
      </c>
      <c r="G22" s="10">
        <f t="shared" si="19"/>
        <v>-77.846499999999878</v>
      </c>
      <c r="H22" s="10">
        <f t="shared" ref="H22:Q22" si="20">H17-H21</f>
        <v>-73.828957499999888</v>
      </c>
      <c r="I22" s="10">
        <f t="shared" si="20"/>
        <v>-68.718395912499318</v>
      </c>
      <c r="J22" s="10">
        <f t="shared" si="20"/>
        <v>-62.535498528935932</v>
      </c>
      <c r="K22" s="10">
        <f t="shared" si="20"/>
        <v>131.08108363657902</v>
      </c>
      <c r="L22" s="10">
        <f t="shared" si="20"/>
        <v>230.76025387215805</v>
      </c>
      <c r="M22" s="10">
        <f t="shared" si="20"/>
        <v>335.88615517419066</v>
      </c>
      <c r="N22" s="10">
        <f t="shared" si="20"/>
        <v>446.76837414242209</v>
      </c>
      <c r="O22" s="10">
        <f t="shared" si="20"/>
        <v>563.7321618156052</v>
      </c>
      <c r="P22" s="10">
        <f t="shared" si="20"/>
        <v>687.11923179347059</v>
      </c>
      <c r="Q22" s="10">
        <f t="shared" si="20"/>
        <v>817.28859833883917</v>
      </c>
      <c r="R22" s="10">
        <f t="shared" ref="R22:U22" si="21">R17-R21</f>
        <v>954.61745646484133</v>
      </c>
      <c r="S22" s="10">
        <f t="shared" si="21"/>
        <v>1099.5021061124912</v>
      </c>
      <c r="T22" s="10">
        <f t="shared" si="21"/>
        <v>1252.3589226291542</v>
      </c>
      <c r="U22" s="10">
        <f t="shared" si="21"/>
        <v>1413.6253758690109</v>
      </c>
      <c r="V22" s="9"/>
    </row>
    <row r="23" spans="1:145" x14ac:dyDescent="0.15">
      <c r="A23" s="3" t="s">
        <v>12</v>
      </c>
      <c r="B23" s="9">
        <f>-15-4</f>
        <v>-19</v>
      </c>
      <c r="C23" s="9">
        <f>-16+5</f>
        <v>-11</v>
      </c>
      <c r="D23" s="9">
        <f>SUM(Reports!F16:I16)</f>
        <v>3.5999999999999996</v>
      </c>
      <c r="E23" s="9">
        <f>SUM(Reports!J16:M16)</f>
        <v>13.9</v>
      </c>
      <c r="F23" s="53">
        <f>SUM(Reports!N16:Q16)</f>
        <v>28.9</v>
      </c>
      <c r="G23" s="10">
        <f>F40*$F$3</f>
        <v>23.18</v>
      </c>
      <c r="H23" s="10">
        <f t="shared" ref="H23:U23" si="22">G40*$F$3</f>
        <v>22.086670000000005</v>
      </c>
      <c r="I23" s="10">
        <f>H40*$F$3</f>
        <v>21.051824250000006</v>
      </c>
      <c r="J23" s="10">
        <f t="shared" si="22"/>
        <v>20.098492816750017</v>
      </c>
      <c r="K23" s="10">
        <f>J40*$F$3</f>
        <v>19.249752702506299</v>
      </c>
      <c r="L23" s="10">
        <f t="shared" si="22"/>
        <v>22.256369429288007</v>
      </c>
      <c r="M23" s="10">
        <f t="shared" si="22"/>
        <v>26.55765202541259</v>
      </c>
      <c r="N23" s="10">
        <f t="shared" si="22"/>
        <v>32.719196747805846</v>
      </c>
      <c r="O23" s="10">
        <f t="shared" si="22"/>
        <v>40.870485452939718</v>
      </c>
      <c r="P23" s="10">
        <f t="shared" si="22"/>
        <v>51.148730456504985</v>
      </c>
      <c r="Q23" s="10">
        <f t="shared" si="22"/>
        <v>63.699285814754568</v>
      </c>
      <c r="R23" s="10">
        <f t="shared" si="22"/>
        <v>78.676079845365663</v>
      </c>
      <c r="S23" s="10">
        <f t="shared" si="22"/>
        <v>96.242069962639178</v>
      </c>
      <c r="T23" s="10">
        <f t="shared" si="22"/>
        <v>116.56972095591641</v>
      </c>
      <c r="U23" s="10">
        <f t="shared" si="22"/>
        <v>139.84150789686259</v>
      </c>
      <c r="V23" s="9"/>
    </row>
    <row r="24" spans="1:145" x14ac:dyDescent="0.15">
      <c r="A24" s="3" t="s">
        <v>13</v>
      </c>
      <c r="B24" s="18">
        <f t="shared" ref="B24:G24" si="23">B22+B23</f>
        <v>-325</v>
      </c>
      <c r="C24" s="18">
        <f t="shared" si="23"/>
        <v>-205</v>
      </c>
      <c r="D24" s="18">
        <f t="shared" si="23"/>
        <v>-110.09999999999994</v>
      </c>
      <c r="E24" s="18">
        <f t="shared" si="23"/>
        <v>-480.10000000000025</v>
      </c>
      <c r="F24" s="18">
        <f t="shared" si="23"/>
        <v>-51.900000000000183</v>
      </c>
      <c r="G24" s="10">
        <f t="shared" si="23"/>
        <v>-54.666499999999878</v>
      </c>
      <c r="H24" s="10">
        <f t="shared" ref="H24:P24" si="24">H22+H23</f>
        <v>-51.742287499999883</v>
      </c>
      <c r="I24" s="10">
        <f t="shared" si="24"/>
        <v>-47.666571662499308</v>
      </c>
      <c r="J24" s="10">
        <f t="shared" si="24"/>
        <v>-42.437005712185915</v>
      </c>
      <c r="K24" s="10">
        <f t="shared" si="24"/>
        <v>150.33083633908532</v>
      </c>
      <c r="L24" s="10">
        <f t="shared" si="24"/>
        <v>253.01662330144606</v>
      </c>
      <c r="M24" s="10">
        <f t="shared" si="24"/>
        <v>362.44380719960327</v>
      </c>
      <c r="N24" s="10">
        <f t="shared" si="24"/>
        <v>479.48757089022791</v>
      </c>
      <c r="O24" s="10">
        <f t="shared" si="24"/>
        <v>604.60264726854496</v>
      </c>
      <c r="P24" s="10">
        <f t="shared" si="24"/>
        <v>738.26796224997554</v>
      </c>
      <c r="Q24" s="10">
        <f>Q22+Q23</f>
        <v>880.98788415359377</v>
      </c>
      <c r="R24" s="10">
        <f>R22+R23</f>
        <v>1033.2935363102069</v>
      </c>
      <c r="S24" s="10">
        <f>S22+S23</f>
        <v>1195.7441760751303</v>
      </c>
      <c r="T24" s="10">
        <f>T22+T23</f>
        <v>1368.9286435850706</v>
      </c>
      <c r="U24" s="10">
        <f>U22+U23</f>
        <v>1553.4668837658735</v>
      </c>
      <c r="V24" s="9"/>
    </row>
    <row r="25" spans="1:145" x14ac:dyDescent="0.15">
      <c r="A25" s="3" t="s">
        <v>14</v>
      </c>
      <c r="B25" s="9">
        <v>0</v>
      </c>
      <c r="C25" s="9">
        <v>5</v>
      </c>
      <c r="D25" s="9">
        <f>SUM(Reports!F18:I18)</f>
        <v>1.2</v>
      </c>
      <c r="E25" s="9">
        <f>SUM(Reports!J18:M18)</f>
        <v>4.8000000000000007</v>
      </c>
      <c r="F25" s="53">
        <f>SUM(Reports!N18:Q18)</f>
        <v>1.2999999999999998</v>
      </c>
      <c r="G25" s="10">
        <f t="shared" ref="G25:K25" si="25">G24*0</f>
        <v>0</v>
      </c>
      <c r="H25" s="10">
        <f t="shared" si="25"/>
        <v>0</v>
      </c>
      <c r="I25" s="10">
        <f t="shared" si="25"/>
        <v>0</v>
      </c>
      <c r="J25" s="10">
        <f t="shared" si="25"/>
        <v>0</v>
      </c>
      <c r="K25" s="10">
        <f t="shared" si="25"/>
        <v>0</v>
      </c>
      <c r="L25" s="10">
        <f t="shared" ref="L25:Q25" si="26">L24*0.15</f>
        <v>37.952493495216906</v>
      </c>
      <c r="M25" s="10">
        <f t="shared" si="26"/>
        <v>54.366571079940492</v>
      </c>
      <c r="N25" s="10">
        <f t="shared" si="26"/>
        <v>71.923135633534187</v>
      </c>
      <c r="O25" s="10">
        <f t="shared" si="26"/>
        <v>90.690397090281735</v>
      </c>
      <c r="P25" s="10">
        <f t="shared" si="26"/>
        <v>110.74019433749633</v>
      </c>
      <c r="Q25" s="10">
        <f t="shared" si="26"/>
        <v>132.14818262303905</v>
      </c>
      <c r="R25" s="10">
        <f t="shared" ref="R25:U25" si="27">R24*0.15</f>
        <v>154.99403044653104</v>
      </c>
      <c r="S25" s="10">
        <f t="shared" si="27"/>
        <v>179.36162641126955</v>
      </c>
      <c r="T25" s="10">
        <f t="shared" si="27"/>
        <v>205.33929653776059</v>
      </c>
      <c r="U25" s="10">
        <f t="shared" si="27"/>
        <v>233.02003256488101</v>
      </c>
      <c r="V25" s="9"/>
    </row>
    <row r="26" spans="1:145" s="15" customFormat="1" x14ac:dyDescent="0.15">
      <c r="A26" s="15" t="s">
        <v>15</v>
      </c>
      <c r="B26" s="16">
        <f>B24-B25</f>
        <v>-325</v>
      </c>
      <c r="C26" s="16">
        <f>C24-C25</f>
        <v>-210</v>
      </c>
      <c r="D26" s="16">
        <f>D24-D25</f>
        <v>-111.29999999999994</v>
      </c>
      <c r="E26" s="16">
        <f>E24-E25</f>
        <v>-484.90000000000026</v>
      </c>
      <c r="F26" s="16">
        <f>F24-F25</f>
        <v>-53.20000000000018</v>
      </c>
      <c r="G26" s="16">
        <f t="shared" ref="G26" si="28">G24-G25</f>
        <v>-54.666499999999878</v>
      </c>
      <c r="H26" s="16">
        <f t="shared" ref="H26:P26" si="29">H24-H25</f>
        <v>-51.742287499999883</v>
      </c>
      <c r="I26" s="16">
        <f t="shared" si="29"/>
        <v>-47.666571662499308</v>
      </c>
      <c r="J26" s="16">
        <f t="shared" si="29"/>
        <v>-42.437005712185915</v>
      </c>
      <c r="K26" s="16">
        <f t="shared" si="29"/>
        <v>150.33083633908532</v>
      </c>
      <c r="L26" s="16">
        <f t="shared" si="29"/>
        <v>215.06412980622915</v>
      </c>
      <c r="M26" s="16">
        <f t="shared" si="29"/>
        <v>308.07723611966276</v>
      </c>
      <c r="N26" s="16">
        <f t="shared" si="29"/>
        <v>407.56443525669374</v>
      </c>
      <c r="O26" s="16">
        <f t="shared" si="29"/>
        <v>513.91225017826321</v>
      </c>
      <c r="P26" s="16">
        <f t="shared" si="29"/>
        <v>627.52776791247925</v>
      </c>
      <c r="Q26" s="16">
        <f>Q24-Q25</f>
        <v>748.83970153055475</v>
      </c>
      <c r="R26" s="16">
        <f>R24-R25</f>
        <v>878.2995058636759</v>
      </c>
      <c r="S26" s="16">
        <f>S24-S25</f>
        <v>1016.3825496638608</v>
      </c>
      <c r="T26" s="16">
        <f>T24-T25</f>
        <v>1163.58934704731</v>
      </c>
      <c r="U26" s="16">
        <f>U24-U25</f>
        <v>1320.4468512009926</v>
      </c>
      <c r="V26" s="16">
        <f>U26*($F$2+1)</f>
        <v>1313.8446169449876</v>
      </c>
      <c r="W26" s="16">
        <f t="shared" ref="W26:CD26" si="30">V26*($F$2+1)</f>
        <v>1307.2753938602627</v>
      </c>
      <c r="X26" s="16">
        <f t="shared" si="30"/>
        <v>1300.7390168909615</v>
      </c>
      <c r="Y26" s="16">
        <f t="shared" si="30"/>
        <v>1294.2353218065066</v>
      </c>
      <c r="Z26" s="16">
        <f t="shared" si="30"/>
        <v>1287.7641451974741</v>
      </c>
      <c r="AA26" s="16">
        <f t="shared" si="30"/>
        <v>1281.3253244714867</v>
      </c>
      <c r="AB26" s="16">
        <f t="shared" si="30"/>
        <v>1274.9186978491293</v>
      </c>
      <c r="AC26" s="16">
        <f t="shared" si="30"/>
        <v>1268.5441043598837</v>
      </c>
      <c r="AD26" s="16">
        <f t="shared" si="30"/>
        <v>1262.2013838380842</v>
      </c>
      <c r="AE26" s="16">
        <f t="shared" si="30"/>
        <v>1255.8903769188937</v>
      </c>
      <c r="AF26" s="16">
        <f t="shared" si="30"/>
        <v>1249.6109250342993</v>
      </c>
      <c r="AG26" s="16">
        <f t="shared" si="30"/>
        <v>1243.3628704091277</v>
      </c>
      <c r="AH26" s="16">
        <f t="shared" si="30"/>
        <v>1237.146056057082</v>
      </c>
      <c r="AI26" s="16">
        <f t="shared" si="30"/>
        <v>1230.9603257767965</v>
      </c>
      <c r="AJ26" s="16">
        <f t="shared" si="30"/>
        <v>1224.8055241479126</v>
      </c>
      <c r="AK26" s="16">
        <f t="shared" si="30"/>
        <v>1218.6814965271731</v>
      </c>
      <c r="AL26" s="16">
        <f t="shared" si="30"/>
        <v>1212.5880890445371</v>
      </c>
      <c r="AM26" s="16">
        <f t="shared" si="30"/>
        <v>1206.5251485993144</v>
      </c>
      <c r="AN26" s="16">
        <f t="shared" si="30"/>
        <v>1200.4925228563179</v>
      </c>
      <c r="AO26" s="16">
        <f t="shared" si="30"/>
        <v>1194.4900602420364</v>
      </c>
      <c r="AP26" s="16">
        <f t="shared" si="30"/>
        <v>1188.5176099408263</v>
      </c>
      <c r="AQ26" s="16">
        <f t="shared" si="30"/>
        <v>1182.5750218911221</v>
      </c>
      <c r="AR26" s="16">
        <f t="shared" si="30"/>
        <v>1176.6621467816665</v>
      </c>
      <c r="AS26" s="16">
        <f t="shared" si="30"/>
        <v>1170.7788360477582</v>
      </c>
      <c r="AT26" s="16">
        <f t="shared" si="30"/>
        <v>1164.9249418675195</v>
      </c>
      <c r="AU26" s="16">
        <f t="shared" si="30"/>
        <v>1159.100317158182</v>
      </c>
      <c r="AV26" s="16">
        <f t="shared" si="30"/>
        <v>1153.3048155723911</v>
      </c>
      <c r="AW26" s="16">
        <f t="shared" si="30"/>
        <v>1147.5382914945292</v>
      </c>
      <c r="AX26" s="16">
        <f t="shared" si="30"/>
        <v>1141.8006000370565</v>
      </c>
      <c r="AY26" s="16">
        <f t="shared" si="30"/>
        <v>1136.0915970368712</v>
      </c>
      <c r="AZ26" s="16">
        <f t="shared" si="30"/>
        <v>1130.4111390516869</v>
      </c>
      <c r="BA26" s="16">
        <f t="shared" si="30"/>
        <v>1124.7590833564284</v>
      </c>
      <c r="BB26" s="16">
        <f t="shared" si="30"/>
        <v>1119.1352879396463</v>
      </c>
      <c r="BC26" s="16">
        <f t="shared" si="30"/>
        <v>1113.539611499948</v>
      </c>
      <c r="BD26" s="16">
        <f t="shared" si="30"/>
        <v>1107.9719134424483</v>
      </c>
      <c r="BE26" s="16">
        <f t="shared" si="30"/>
        <v>1102.4320538752361</v>
      </c>
      <c r="BF26" s="16">
        <f t="shared" si="30"/>
        <v>1096.9198936058599</v>
      </c>
      <c r="BG26" s="16">
        <f t="shared" si="30"/>
        <v>1091.4352941378306</v>
      </c>
      <c r="BH26" s="16">
        <f t="shared" si="30"/>
        <v>1085.9781176671415</v>
      </c>
      <c r="BI26" s="16">
        <f t="shared" si="30"/>
        <v>1080.5482270788059</v>
      </c>
      <c r="BJ26" s="16">
        <f t="shared" si="30"/>
        <v>1075.1454859434118</v>
      </c>
      <c r="BK26" s="16">
        <f t="shared" si="30"/>
        <v>1069.7697585136948</v>
      </c>
      <c r="BL26" s="16">
        <f t="shared" si="30"/>
        <v>1064.4209097211262</v>
      </c>
      <c r="BM26" s="16">
        <f t="shared" si="30"/>
        <v>1059.0988051725205</v>
      </c>
      <c r="BN26" s="16">
        <f t="shared" si="30"/>
        <v>1053.803311146658</v>
      </c>
      <c r="BO26" s="16">
        <f t="shared" si="30"/>
        <v>1048.5342945909247</v>
      </c>
      <c r="BP26" s="16">
        <f t="shared" si="30"/>
        <v>1043.2916231179699</v>
      </c>
      <c r="BQ26" s="16">
        <f t="shared" si="30"/>
        <v>1038.0751650023801</v>
      </c>
      <c r="BR26" s="16">
        <f t="shared" si="30"/>
        <v>1032.8847891773682</v>
      </c>
      <c r="BS26" s="16">
        <f t="shared" si="30"/>
        <v>1027.7203652314813</v>
      </c>
      <c r="BT26" s="16">
        <f t="shared" si="30"/>
        <v>1022.581763405324</v>
      </c>
      <c r="BU26" s="16">
        <f t="shared" si="30"/>
        <v>1017.4688545882973</v>
      </c>
      <c r="BV26" s="16">
        <f t="shared" si="30"/>
        <v>1012.3815103153559</v>
      </c>
      <c r="BW26" s="16">
        <f t="shared" si="30"/>
        <v>1007.319602763779</v>
      </c>
      <c r="BX26" s="16">
        <f t="shared" si="30"/>
        <v>1002.2830047499601</v>
      </c>
      <c r="BY26" s="16">
        <f t="shared" si="30"/>
        <v>997.27158972621032</v>
      </c>
      <c r="BZ26" s="16">
        <f t="shared" si="30"/>
        <v>992.28523177757927</v>
      </c>
      <c r="CA26" s="16">
        <f t="shared" si="30"/>
        <v>987.32380561869138</v>
      </c>
      <c r="CB26" s="16">
        <f t="shared" si="30"/>
        <v>982.38718659059793</v>
      </c>
      <c r="CC26" s="16">
        <f t="shared" si="30"/>
        <v>977.47525065764489</v>
      </c>
      <c r="CD26" s="16">
        <f t="shared" si="30"/>
        <v>972.58787440435663</v>
      </c>
      <c r="CE26" s="16">
        <f t="shared" ref="CE26:DR26" si="31">CD26*($F$2+1)</f>
        <v>967.72493503233488</v>
      </c>
      <c r="CF26" s="16">
        <f t="shared" si="31"/>
        <v>962.88631035717322</v>
      </c>
      <c r="CG26" s="16">
        <f t="shared" si="31"/>
        <v>958.07187880538731</v>
      </c>
      <c r="CH26" s="16">
        <f t="shared" si="31"/>
        <v>953.28151941136036</v>
      </c>
      <c r="CI26" s="16">
        <f t="shared" si="31"/>
        <v>948.51511181430351</v>
      </c>
      <c r="CJ26" s="16">
        <f t="shared" si="31"/>
        <v>943.77253625523201</v>
      </c>
      <c r="CK26" s="16">
        <f t="shared" si="31"/>
        <v>939.05367357395585</v>
      </c>
      <c r="CL26" s="16">
        <f t="shared" si="31"/>
        <v>934.3584052060861</v>
      </c>
      <c r="CM26" s="16">
        <f t="shared" si="31"/>
        <v>929.6866131800557</v>
      </c>
      <c r="CN26" s="16">
        <f t="shared" si="31"/>
        <v>925.03818011415547</v>
      </c>
      <c r="CO26" s="16">
        <f t="shared" si="31"/>
        <v>920.41298921358464</v>
      </c>
      <c r="CP26" s="16">
        <f t="shared" si="31"/>
        <v>915.81092426751673</v>
      </c>
      <c r="CQ26" s="16">
        <f t="shared" si="31"/>
        <v>911.23186964617912</v>
      </c>
      <c r="CR26" s="16">
        <f t="shared" si="31"/>
        <v>906.67571029794817</v>
      </c>
      <c r="CS26" s="16">
        <f t="shared" si="31"/>
        <v>902.14233174645847</v>
      </c>
      <c r="CT26" s="16">
        <f t="shared" si="31"/>
        <v>897.63162008772622</v>
      </c>
      <c r="CU26" s="16">
        <f t="shared" si="31"/>
        <v>893.14346198728754</v>
      </c>
      <c r="CV26" s="16">
        <f t="shared" si="31"/>
        <v>888.67774467735114</v>
      </c>
      <c r="CW26" s="16">
        <f t="shared" si="31"/>
        <v>884.23435595396438</v>
      </c>
      <c r="CX26" s="16">
        <f t="shared" si="31"/>
        <v>879.81318417419459</v>
      </c>
      <c r="CY26" s="16">
        <f t="shared" si="31"/>
        <v>875.41411825332364</v>
      </c>
      <c r="CZ26" s="16">
        <f t="shared" si="31"/>
        <v>871.03704766205703</v>
      </c>
      <c r="DA26" s="16">
        <f t="shared" si="31"/>
        <v>866.68186242374679</v>
      </c>
      <c r="DB26" s="16">
        <f t="shared" si="31"/>
        <v>862.34845311162803</v>
      </c>
      <c r="DC26" s="16">
        <f t="shared" si="31"/>
        <v>858.03671084606992</v>
      </c>
      <c r="DD26" s="16">
        <f t="shared" si="31"/>
        <v>853.74652729183958</v>
      </c>
      <c r="DE26" s="16">
        <f t="shared" si="31"/>
        <v>849.47779465538042</v>
      </c>
      <c r="DF26" s="16">
        <f t="shared" si="31"/>
        <v>845.23040568210354</v>
      </c>
      <c r="DG26" s="16">
        <f t="shared" si="31"/>
        <v>841.00425365369301</v>
      </c>
      <c r="DH26" s="16">
        <f t="shared" si="31"/>
        <v>836.79923238542449</v>
      </c>
      <c r="DI26" s="16">
        <f t="shared" si="31"/>
        <v>832.61523622349739</v>
      </c>
      <c r="DJ26" s="16">
        <f t="shared" si="31"/>
        <v>828.45216004237989</v>
      </c>
      <c r="DK26" s="16">
        <f t="shared" si="31"/>
        <v>824.30989924216794</v>
      </c>
      <c r="DL26" s="16">
        <f t="shared" si="31"/>
        <v>820.18834974595711</v>
      </c>
      <c r="DM26" s="16">
        <f t="shared" si="31"/>
        <v>816.08740799722727</v>
      </c>
      <c r="DN26" s="16">
        <f t="shared" si="31"/>
        <v>812.00697095724115</v>
      </c>
      <c r="DO26" s="16">
        <f t="shared" si="31"/>
        <v>807.94693610245497</v>
      </c>
      <c r="DP26" s="16">
        <f t="shared" si="31"/>
        <v>803.90720142194266</v>
      </c>
      <c r="DQ26" s="16">
        <f t="shared" si="31"/>
        <v>799.8876654148329</v>
      </c>
      <c r="DR26" s="16">
        <f t="shared" si="31"/>
        <v>795.88822708775876</v>
      </c>
      <c r="DS26" s="16">
        <f t="shared" ref="DS26" si="32">DR26*($F$2+1)</f>
        <v>791.90878595231993</v>
      </c>
      <c r="DT26" s="16">
        <f t="shared" ref="DT26" si="33">DS26*($F$2+1)</f>
        <v>787.94924202255834</v>
      </c>
      <c r="DU26" s="16">
        <f t="shared" ref="DU26" si="34">DT26*($F$2+1)</f>
        <v>784.00949581244549</v>
      </c>
      <c r="DV26" s="16">
        <f t="shared" ref="DV26" si="35">DU26*($F$2+1)</f>
        <v>780.0894483333833</v>
      </c>
      <c r="DW26" s="16">
        <f t="shared" ref="DW26" si="36">DV26*($F$2+1)</f>
        <v>776.18900109171636</v>
      </c>
      <c r="DX26" s="16">
        <f t="shared" ref="DX26" si="37">DW26*($F$2+1)</f>
        <v>772.30805608625781</v>
      </c>
      <c r="DY26" s="16">
        <f t="shared" ref="DY26" si="38">DX26*($F$2+1)</f>
        <v>768.44651580582649</v>
      </c>
      <c r="DZ26" s="16">
        <f t="shared" ref="DZ26" si="39">DY26*($F$2+1)</f>
        <v>764.60428322679741</v>
      </c>
      <c r="EA26" s="16">
        <f t="shared" ref="EA26" si="40">DZ26*($F$2+1)</f>
        <v>760.78126181066341</v>
      </c>
      <c r="EB26" s="16">
        <f t="shared" ref="EB26" si="41">EA26*($F$2+1)</f>
        <v>756.97735550161008</v>
      </c>
      <c r="EC26" s="16">
        <f t="shared" ref="EC26" si="42">EB26*($F$2+1)</f>
        <v>753.19246872410201</v>
      </c>
      <c r="ED26" s="16">
        <f t="shared" ref="ED26" si="43">EC26*($F$2+1)</f>
        <v>749.42650638048156</v>
      </c>
      <c r="EE26" s="16">
        <f t="shared" ref="EE26" si="44">ED26*($F$2+1)</f>
        <v>745.67937384857919</v>
      </c>
      <c r="EF26" s="16">
        <f t="shared" ref="EF26" si="45">EE26*($F$2+1)</f>
        <v>741.95097697933625</v>
      </c>
      <c r="EG26" s="16">
        <f t="shared" ref="EG26" si="46">EF26*($F$2+1)</f>
        <v>738.24122209443954</v>
      </c>
      <c r="EH26" s="16">
        <f t="shared" ref="EH26" si="47">EG26*($F$2+1)</f>
        <v>734.55001598396734</v>
      </c>
      <c r="EI26" s="16">
        <f t="shared" ref="EI26" si="48">EH26*($F$2+1)</f>
        <v>730.87726590404748</v>
      </c>
      <c r="EJ26" s="16">
        <f t="shared" ref="EJ26" si="49">EI26*($F$2+1)</f>
        <v>727.22287957452727</v>
      </c>
      <c r="EK26" s="16">
        <f t="shared" ref="EK26" si="50">EJ26*($F$2+1)</f>
        <v>723.58676517665458</v>
      </c>
      <c r="EL26" s="16">
        <f t="shared" ref="EL26" si="51">EK26*($F$2+1)</f>
        <v>719.96883135077132</v>
      </c>
      <c r="EM26" s="16">
        <f t="shared" ref="EM26" si="52">EL26*($F$2+1)</f>
        <v>716.36898719401745</v>
      </c>
      <c r="EN26" s="16">
        <f t="shared" ref="EN26" si="53">EM26*($F$2+1)</f>
        <v>712.78714225804731</v>
      </c>
      <c r="EO26" s="16">
        <f t="shared" ref="EO26" si="54">EN26*($F$2+1)</f>
        <v>709.22320654675707</v>
      </c>
    </row>
    <row r="27" spans="1:145" x14ac:dyDescent="0.15">
      <c r="A27" s="3" t="s">
        <v>16</v>
      </c>
      <c r="B27" s="20">
        <f>B26/B28</f>
        <v>-1.1741329479768785</v>
      </c>
      <c r="C27" s="20">
        <f>C26/C28</f>
        <v>-0.74021854071201976</v>
      </c>
      <c r="D27" s="20">
        <f>D26/D28</f>
        <v>-0.5644016227180525</v>
      </c>
      <c r="E27" s="20">
        <f>E26/E28</f>
        <v>-1.1884803921568634</v>
      </c>
      <c r="F27" s="20">
        <f>F26/F28</f>
        <v>-0.1281927710843378</v>
      </c>
      <c r="G27" s="19">
        <f t="shared" ref="G27" si="55">G26/G28</f>
        <v>-0.13172650602409608</v>
      </c>
      <c r="H27" s="19">
        <f>H26/H28</f>
        <v>-0.1246802108433732</v>
      </c>
      <c r="I27" s="19">
        <f t="shared" ref="I27:Q27" si="56">I26/I28</f>
        <v>-0.11485920882529954</v>
      </c>
      <c r="J27" s="19">
        <f t="shared" si="56"/>
        <v>-0.10225784508960462</v>
      </c>
      <c r="K27" s="19">
        <f t="shared" si="56"/>
        <v>0.3622429791303261</v>
      </c>
      <c r="L27" s="19">
        <f t="shared" si="56"/>
        <v>0.51822681881019073</v>
      </c>
      <c r="M27" s="19">
        <f t="shared" si="56"/>
        <v>0.74235478583051262</v>
      </c>
      <c r="N27" s="19">
        <f t="shared" si="56"/>
        <v>0.98208297652215359</v>
      </c>
      <c r="O27" s="19">
        <f t="shared" si="56"/>
        <v>1.2383427715138873</v>
      </c>
      <c r="P27" s="19">
        <f t="shared" si="56"/>
        <v>1.5121151034035645</v>
      </c>
      <c r="Q27" s="19">
        <f t="shared" si="56"/>
        <v>1.8044330157362765</v>
      </c>
      <c r="R27" s="19">
        <f t="shared" ref="R27:U27" si="57">R26/R28</f>
        <v>2.1163843514787373</v>
      </c>
      <c r="S27" s="19">
        <f t="shared" si="57"/>
        <v>2.4491145775032792</v>
      </c>
      <c r="T27" s="19">
        <f t="shared" si="57"/>
        <v>2.8038297519212287</v>
      </c>
      <c r="U27" s="19">
        <f t="shared" si="57"/>
        <v>3.1817996414481748</v>
      </c>
      <c r="V27" s="63"/>
    </row>
    <row r="28" spans="1:145" x14ac:dyDescent="0.15">
      <c r="A28" s="3" t="s">
        <v>17</v>
      </c>
      <c r="B28" s="9">
        <v>276.8</v>
      </c>
      <c r="C28" s="9">
        <v>283.7</v>
      </c>
      <c r="D28" s="9">
        <f>Reports!H21</f>
        <v>197.2</v>
      </c>
      <c r="E28" s="9">
        <f>Reports!M21</f>
        <v>408</v>
      </c>
      <c r="F28" s="9">
        <f>Reports!Q21</f>
        <v>415</v>
      </c>
      <c r="G28" s="9">
        <f t="shared" ref="G28" si="58">F28</f>
        <v>415</v>
      </c>
      <c r="H28" s="9">
        <f t="shared" ref="H28" si="59">G28</f>
        <v>415</v>
      </c>
      <c r="I28" s="9">
        <f t="shared" ref="I28" si="60">H28</f>
        <v>415</v>
      </c>
      <c r="J28" s="9">
        <f t="shared" ref="J28" si="61">I28</f>
        <v>415</v>
      </c>
      <c r="K28" s="9">
        <f t="shared" ref="K28" si="62">J28</f>
        <v>415</v>
      </c>
      <c r="L28" s="9">
        <f t="shared" ref="L28" si="63">K28</f>
        <v>415</v>
      </c>
      <c r="M28" s="9">
        <f t="shared" ref="M28" si="64">L28</f>
        <v>415</v>
      </c>
      <c r="N28" s="9">
        <f t="shared" ref="N28" si="65">M28</f>
        <v>415</v>
      </c>
      <c r="O28" s="9">
        <f t="shared" ref="O28" si="66">N28</f>
        <v>415</v>
      </c>
      <c r="P28" s="9">
        <f t="shared" ref="P28" si="67">O28</f>
        <v>415</v>
      </c>
      <c r="Q28" s="9">
        <f t="shared" ref="Q28:U28" si="68">P28</f>
        <v>415</v>
      </c>
      <c r="R28" s="9">
        <f t="shared" si="68"/>
        <v>415</v>
      </c>
      <c r="S28" s="9">
        <f t="shared" si="68"/>
        <v>415</v>
      </c>
      <c r="T28" s="9">
        <f t="shared" si="68"/>
        <v>415</v>
      </c>
      <c r="U28" s="9">
        <f t="shared" si="68"/>
        <v>415</v>
      </c>
      <c r="V28" s="9"/>
    </row>
    <row r="29" spans="1:145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145" x14ac:dyDescent="0.15">
      <c r="A30" s="3" t="s">
        <v>19</v>
      </c>
      <c r="B30" s="21">
        <f t="shared" ref="B30" si="69">IFERROR(B17/B15,0)</f>
        <v>0.32615894039735099</v>
      </c>
      <c r="C30" s="21">
        <f t="shared" ref="C30:Q30" si="70">IFERROR(C17/C15,0)</f>
        <v>0.53727810650887575</v>
      </c>
      <c r="D30" s="21">
        <f t="shared" si="70"/>
        <v>0.66669678352005779</v>
      </c>
      <c r="E30" s="21">
        <f>IFERROR(E17/E15,0)</f>
        <v>0.71639002658618944</v>
      </c>
      <c r="F30" s="21">
        <f t="shared" si="70"/>
        <v>0.75233279152368904</v>
      </c>
      <c r="G30" s="21">
        <f t="shared" si="70"/>
        <v>0.75233279152368904</v>
      </c>
      <c r="H30" s="21">
        <f t="shared" si="70"/>
        <v>0.75233279152368904</v>
      </c>
      <c r="I30" s="21">
        <f t="shared" si="70"/>
        <v>0.75233279152368904</v>
      </c>
      <c r="J30" s="21">
        <f t="shared" si="70"/>
        <v>0.75233279152368904</v>
      </c>
      <c r="K30" s="21">
        <f t="shared" si="70"/>
        <v>0.75233279152368904</v>
      </c>
      <c r="L30" s="21">
        <f t="shared" si="70"/>
        <v>0.75233279152368904</v>
      </c>
      <c r="M30" s="21">
        <f t="shared" si="70"/>
        <v>0.75233279152368904</v>
      </c>
      <c r="N30" s="21">
        <f t="shared" si="70"/>
        <v>0.75233279152368904</v>
      </c>
      <c r="O30" s="21">
        <f t="shared" si="70"/>
        <v>0.75233279152368904</v>
      </c>
      <c r="P30" s="21">
        <f t="shared" si="70"/>
        <v>0.75233279152368904</v>
      </c>
      <c r="Q30" s="21">
        <f t="shared" si="70"/>
        <v>0.75233279152368904</v>
      </c>
      <c r="R30" s="21">
        <f t="shared" ref="R30:U30" si="71">IFERROR(R17/R15,0)</f>
        <v>0.75233279152368904</v>
      </c>
      <c r="S30" s="21">
        <f t="shared" si="71"/>
        <v>0.75233279152368904</v>
      </c>
      <c r="T30" s="21">
        <f t="shared" si="71"/>
        <v>0.75233279152368904</v>
      </c>
      <c r="U30" s="21">
        <f t="shared" si="71"/>
        <v>0.75233279152368904</v>
      </c>
      <c r="V30" s="67"/>
    </row>
    <row r="31" spans="1:145" x14ac:dyDescent="0.15">
      <c r="A31" s="3" t="s">
        <v>20</v>
      </c>
      <c r="B31" s="22">
        <f>IFERROR(B22/B15,0)</f>
        <v>-0.50662251655629142</v>
      </c>
      <c r="C31" s="22">
        <f t="shared" ref="C31:Q31" si="72">IFERROR(C22/C15,0)</f>
        <v>-0.22958579881656804</v>
      </c>
      <c r="D31" s="22">
        <f t="shared" si="72"/>
        <v>-0.10272858691723882</v>
      </c>
      <c r="E31" s="22">
        <f t="shared" si="72"/>
        <v>-0.35496155780699884</v>
      </c>
      <c r="F31" s="22">
        <f t="shared" si="72"/>
        <v>-4.864246583589199E-2</v>
      </c>
      <c r="G31" s="22">
        <f t="shared" si="72"/>
        <v>-4.0575261633596406E-2</v>
      </c>
      <c r="H31" s="22">
        <f t="shared" si="72"/>
        <v>-3.3317084425448638E-2</v>
      </c>
      <c r="I31" s="22">
        <f t="shared" si="72"/>
        <v>-2.6849195818159741E-2</v>
      </c>
      <c r="J31" s="22">
        <f t="shared" si="72"/>
        <v>-2.1154506637004557E-2</v>
      </c>
      <c r="K31" s="22">
        <f t="shared" si="72"/>
        <v>3.83914330635034E-2</v>
      </c>
      <c r="L31" s="22">
        <f t="shared" si="72"/>
        <v>6.4367406322785203E-2</v>
      </c>
      <c r="M31" s="22">
        <f t="shared" si="72"/>
        <v>8.9229365668726135E-2</v>
      </c>
      <c r="N31" s="22">
        <f t="shared" si="72"/>
        <v>0.1130339296201984</v>
      </c>
      <c r="O31" s="22">
        <f t="shared" si="72"/>
        <v>0.13583444638744471</v>
      </c>
      <c r="P31" s="22">
        <f t="shared" si="72"/>
        <v>0.15768119748524553</v>
      </c>
      <c r="Q31" s="22">
        <f t="shared" si="72"/>
        <v>0.17862158818351526</v>
      </c>
      <c r="R31" s="22">
        <f t="shared" ref="R31:U31" si="73">IFERROR(R22/R15,0)</f>
        <v>0.19870032566107065</v>
      </c>
      <c r="S31" s="22">
        <f t="shared" si="73"/>
        <v>0.21795958567093546</v>
      </c>
      <c r="T31" s="22">
        <f t="shared" si="73"/>
        <v>0.23643916847198002</v>
      </c>
      <c r="U31" s="22">
        <f t="shared" si="73"/>
        <v>0.25417664473169221</v>
      </c>
      <c r="V31" s="66"/>
    </row>
    <row r="32" spans="1:145" x14ac:dyDescent="0.15">
      <c r="A32" s="3" t="s">
        <v>21</v>
      </c>
      <c r="B32" s="22">
        <f t="shared" ref="B32" si="74">IFERROR(B25/B24,0)</f>
        <v>0</v>
      </c>
      <c r="C32" s="22">
        <f t="shared" ref="C32:Q32" si="75">IFERROR(C25/C24,0)</f>
        <v>-2.4390243902439025E-2</v>
      </c>
      <c r="D32" s="22">
        <f t="shared" si="75"/>
        <v>-1.0899182561307908E-2</v>
      </c>
      <c r="E32" s="22">
        <f t="shared" si="75"/>
        <v>-9.9979171006040375E-3</v>
      </c>
      <c r="F32" s="22">
        <f t="shared" si="75"/>
        <v>-2.5048169556839986E-2</v>
      </c>
      <c r="G32" s="22">
        <f t="shared" si="75"/>
        <v>0</v>
      </c>
      <c r="H32" s="22">
        <f t="shared" si="75"/>
        <v>0</v>
      </c>
      <c r="I32" s="22">
        <f t="shared" si="75"/>
        <v>0</v>
      </c>
      <c r="J32" s="22">
        <f t="shared" si="75"/>
        <v>0</v>
      </c>
      <c r="K32" s="22">
        <f t="shared" si="75"/>
        <v>0</v>
      </c>
      <c r="L32" s="22">
        <f t="shared" si="75"/>
        <v>0.15</v>
      </c>
      <c r="M32" s="22">
        <f t="shared" si="75"/>
        <v>0.15</v>
      </c>
      <c r="N32" s="22">
        <f t="shared" si="75"/>
        <v>0.15</v>
      </c>
      <c r="O32" s="22">
        <f t="shared" si="75"/>
        <v>0.15</v>
      </c>
      <c r="P32" s="22">
        <f t="shared" si="75"/>
        <v>0.15</v>
      </c>
      <c r="Q32" s="22">
        <f t="shared" si="75"/>
        <v>0.15</v>
      </c>
      <c r="R32" s="22">
        <f t="shared" ref="R32:U32" si="76">IFERROR(R25/R24,0)</f>
        <v>0.15</v>
      </c>
      <c r="S32" s="22">
        <f t="shared" si="76"/>
        <v>0.15</v>
      </c>
      <c r="T32" s="22">
        <f t="shared" si="76"/>
        <v>0.15</v>
      </c>
      <c r="U32" s="22">
        <f t="shared" si="76"/>
        <v>0.15</v>
      </c>
      <c r="V32" s="66"/>
    </row>
    <row r="33" spans="1:22" x14ac:dyDescent="0.15">
      <c r="B33" s="6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15">
      <c r="A34" s="15" t="s">
        <v>18</v>
      </c>
      <c r="B34" s="64"/>
      <c r="C34" s="65">
        <f>C15/B15-1</f>
        <v>0.39900662251655628</v>
      </c>
      <c r="D34" s="65">
        <f>D15/C15-1</f>
        <v>0.30982248520710054</v>
      </c>
      <c r="E34" s="65">
        <f>E15/D15-1</f>
        <v>0.25740874593422469</v>
      </c>
      <c r="F34" s="65">
        <f>F15/E15-1</f>
        <v>0.19357620176762236</v>
      </c>
      <c r="G34" s="65">
        <f t="shared" ref="G34:U34" si="77">G15/F15-1</f>
        <v>0.15500000000000025</v>
      </c>
      <c r="H34" s="65">
        <f t="shared" si="77"/>
        <v>0.15500000000000003</v>
      </c>
      <c r="I34" s="65">
        <f t="shared" si="77"/>
        <v>0.15500000000000025</v>
      </c>
      <c r="J34" s="65">
        <f t="shared" si="77"/>
        <v>0.15500000000000025</v>
      </c>
      <c r="K34" s="65">
        <f t="shared" si="77"/>
        <v>0.15500000000000003</v>
      </c>
      <c r="L34" s="65">
        <f t="shared" si="77"/>
        <v>5.0000000000000044E-2</v>
      </c>
      <c r="M34" s="65">
        <f t="shared" si="77"/>
        <v>5.0000000000000044E-2</v>
      </c>
      <c r="N34" s="65">
        <f t="shared" si="77"/>
        <v>5.0000000000000044E-2</v>
      </c>
      <c r="O34" s="65">
        <f t="shared" si="77"/>
        <v>5.0000000000000044E-2</v>
      </c>
      <c r="P34" s="65">
        <f t="shared" si="77"/>
        <v>5.0000000000000044E-2</v>
      </c>
      <c r="Q34" s="65">
        <f t="shared" si="77"/>
        <v>5.0000000000000044E-2</v>
      </c>
      <c r="R34" s="65">
        <f t="shared" si="77"/>
        <v>5.0000000000000044E-2</v>
      </c>
      <c r="S34" s="65">
        <f t="shared" si="77"/>
        <v>5.0000000000000044E-2</v>
      </c>
      <c r="T34" s="65">
        <f t="shared" si="77"/>
        <v>5.0000000000000044E-2</v>
      </c>
      <c r="U34" s="65">
        <f t="shared" si="77"/>
        <v>5.0000000000000044E-2</v>
      </c>
      <c r="V34" s="66"/>
    </row>
    <row r="35" spans="1:22" x14ac:dyDescent="0.15">
      <c r="A35" s="3" t="s">
        <v>57</v>
      </c>
      <c r="B35" s="14"/>
      <c r="C35" s="22">
        <f t="shared" ref="C35:U35" si="78">C18/B18-1</f>
        <v>0.43564356435643559</v>
      </c>
      <c r="D35" s="22">
        <f t="shared" si="78"/>
        <v>0.31137931034482769</v>
      </c>
      <c r="E35" s="22">
        <f t="shared" si="78"/>
        <v>1.0199842229818565</v>
      </c>
      <c r="F35" s="22">
        <f t="shared" si="78"/>
        <v>-0.13824524863316845</v>
      </c>
      <c r="G35" s="22">
        <f t="shared" si="78"/>
        <v>0.14999999999999991</v>
      </c>
      <c r="H35" s="22">
        <f t="shared" si="78"/>
        <v>0.14999999999999991</v>
      </c>
      <c r="I35" s="22">
        <f t="shared" si="78"/>
        <v>0.14999999999999991</v>
      </c>
      <c r="J35" s="22">
        <f t="shared" si="78"/>
        <v>0.14999999999999991</v>
      </c>
      <c r="K35" s="22">
        <f t="shared" si="78"/>
        <v>0.14999999999999991</v>
      </c>
      <c r="L35" s="22">
        <f t="shared" si="78"/>
        <v>2.0000000000000018E-2</v>
      </c>
      <c r="M35" s="22">
        <f t="shared" si="78"/>
        <v>2.0000000000000018E-2</v>
      </c>
      <c r="N35" s="22">
        <f t="shared" si="78"/>
        <v>2.0000000000000018E-2</v>
      </c>
      <c r="O35" s="22">
        <f t="shared" si="78"/>
        <v>2.0000000000000018E-2</v>
      </c>
      <c r="P35" s="22">
        <f t="shared" si="78"/>
        <v>2.0000000000000018E-2</v>
      </c>
      <c r="Q35" s="22">
        <f t="shared" si="78"/>
        <v>2.0000000000000018E-2</v>
      </c>
      <c r="R35" s="22">
        <f t="shared" si="78"/>
        <v>2.0000000000000018E-2</v>
      </c>
      <c r="S35" s="22">
        <f t="shared" si="78"/>
        <v>2.0000000000000018E-2</v>
      </c>
      <c r="T35" s="22">
        <f t="shared" si="78"/>
        <v>2.0000000000000018E-2</v>
      </c>
      <c r="U35" s="22">
        <f t="shared" si="78"/>
        <v>2.0000000000000018E-2</v>
      </c>
      <c r="V35" s="66"/>
    </row>
    <row r="36" spans="1:22" x14ac:dyDescent="0.15">
      <c r="A36" s="3" t="s">
        <v>58</v>
      </c>
      <c r="B36" s="14"/>
      <c r="C36" s="22">
        <f t="shared" ref="C36:U36" si="79">C19/B19-1</f>
        <v>0.30051813471502586</v>
      </c>
      <c r="D36" s="22">
        <f t="shared" si="79"/>
        <v>0.25099601593625498</v>
      </c>
      <c r="E36" s="22">
        <f t="shared" si="79"/>
        <v>0.39999999999999991</v>
      </c>
      <c r="F36" s="22">
        <f t="shared" si="79"/>
        <v>-3.8898999090081765E-2</v>
      </c>
      <c r="G36" s="22">
        <f t="shared" si="79"/>
        <v>0.10000000000000009</v>
      </c>
      <c r="H36" s="22">
        <f t="shared" si="79"/>
        <v>0.10000000000000009</v>
      </c>
      <c r="I36" s="22">
        <f t="shared" si="79"/>
        <v>0.10000000000000009</v>
      </c>
      <c r="J36" s="22">
        <f t="shared" si="79"/>
        <v>0.10000000000000009</v>
      </c>
      <c r="K36" s="22">
        <f t="shared" si="79"/>
        <v>-2.0000000000000129E-2</v>
      </c>
      <c r="L36" s="22">
        <f t="shared" si="79"/>
        <v>2.0000000000000018E-2</v>
      </c>
      <c r="M36" s="22">
        <f t="shared" si="79"/>
        <v>2.0000000000000018E-2</v>
      </c>
      <c r="N36" s="22">
        <f t="shared" si="79"/>
        <v>2.0000000000000018E-2</v>
      </c>
      <c r="O36" s="22">
        <f t="shared" si="79"/>
        <v>2.0000000000000018E-2</v>
      </c>
      <c r="P36" s="22">
        <f t="shared" si="79"/>
        <v>2.0000000000000018E-2</v>
      </c>
      <c r="Q36" s="22">
        <f t="shared" si="79"/>
        <v>2.0000000000000018E-2</v>
      </c>
      <c r="R36" s="22">
        <f t="shared" si="79"/>
        <v>2.0000000000000018E-2</v>
      </c>
      <c r="S36" s="22">
        <f t="shared" si="79"/>
        <v>2.0000000000000018E-2</v>
      </c>
      <c r="T36" s="22">
        <f t="shared" si="79"/>
        <v>2.0000000000000018E-2</v>
      </c>
      <c r="U36" s="22">
        <f t="shared" si="79"/>
        <v>2.0000000000000018E-2</v>
      </c>
      <c r="V36" s="66"/>
    </row>
    <row r="37" spans="1:22" x14ac:dyDescent="0.15">
      <c r="A37" s="3" t="s">
        <v>59</v>
      </c>
      <c r="B37" s="14"/>
      <c r="C37" s="22">
        <f t="shared" ref="C37:U37" si="80">C20/B20-1</f>
        <v>-9.2592592592593004E-3</v>
      </c>
      <c r="D37" s="22">
        <f t="shared" si="80"/>
        <v>0.47009345794392532</v>
      </c>
      <c r="E37" s="22">
        <f t="shared" si="80"/>
        <v>0.800381436745073</v>
      </c>
      <c r="F37" s="22">
        <f t="shared" si="80"/>
        <v>-0.13135593220338981</v>
      </c>
      <c r="G37" s="22">
        <f t="shared" si="80"/>
        <v>0.19999999999999996</v>
      </c>
      <c r="H37" s="22">
        <f t="shared" si="80"/>
        <v>0.19999999999999996</v>
      </c>
      <c r="I37" s="22">
        <f t="shared" si="80"/>
        <v>0.19999999999999996</v>
      </c>
      <c r="J37" s="22">
        <f t="shared" si="80"/>
        <v>0.19999999999999996</v>
      </c>
      <c r="K37" s="22">
        <f t="shared" si="80"/>
        <v>-2.0000000000000018E-2</v>
      </c>
      <c r="L37" s="22">
        <f t="shared" si="80"/>
        <v>-2.0000000000000018E-2</v>
      </c>
      <c r="M37" s="22">
        <f t="shared" si="80"/>
        <v>-2.0000000000000018E-2</v>
      </c>
      <c r="N37" s="22">
        <f t="shared" si="80"/>
        <v>-2.0000000000000018E-2</v>
      </c>
      <c r="O37" s="22">
        <f t="shared" si="80"/>
        <v>-2.0000000000000018E-2</v>
      </c>
      <c r="P37" s="22">
        <f t="shared" si="80"/>
        <v>-2.0000000000000018E-2</v>
      </c>
      <c r="Q37" s="22">
        <f t="shared" si="80"/>
        <v>-2.0000000000000018E-2</v>
      </c>
      <c r="R37" s="22">
        <f t="shared" si="80"/>
        <v>-2.0000000000000018E-2</v>
      </c>
      <c r="S37" s="22">
        <f t="shared" si="80"/>
        <v>-2.0000000000000018E-2</v>
      </c>
      <c r="T37" s="22">
        <f t="shared" si="80"/>
        <v>-2.0000000000000018E-2</v>
      </c>
      <c r="U37" s="22">
        <f t="shared" si="80"/>
        <v>-2.0000000000000018E-2</v>
      </c>
      <c r="V37" s="66"/>
    </row>
    <row r="38" spans="1:22" s="50" customFormat="1" x14ac:dyDescent="0.15">
      <c r="A38" s="50" t="s">
        <v>95</v>
      </c>
      <c r="B38" s="59"/>
      <c r="C38" s="73">
        <f>C21/B21-1</f>
        <v>0.28827037773359843</v>
      </c>
      <c r="D38" s="73">
        <f>D21/C21-1</f>
        <v>0.31419753086419733</v>
      </c>
      <c r="E38" s="73">
        <f>E21/D21-1</f>
        <v>0.75082198215124496</v>
      </c>
      <c r="F38" s="73">
        <f t="shared" ref="F38:Q38" si="81">F21/E21-1</f>
        <v>-0.10764587525150904</v>
      </c>
      <c r="G38" s="73">
        <f t="shared" si="81"/>
        <v>0.14336715520481014</v>
      </c>
      <c r="H38" s="73">
        <f t="shared" si="81"/>
        <v>0.14442728019720619</v>
      </c>
      <c r="I38" s="73">
        <f t="shared" si="81"/>
        <v>0.14549142427166606</v>
      </c>
      <c r="J38" s="73">
        <f t="shared" si="81"/>
        <v>0.14655862672509601</v>
      </c>
      <c r="K38" s="73">
        <f t="shared" si="81"/>
        <v>6.6083788295385082E-2</v>
      </c>
      <c r="L38" s="73">
        <f t="shared" si="81"/>
        <v>1.179690166560543E-2</v>
      </c>
      <c r="M38" s="73">
        <f t="shared" si="81"/>
        <v>1.2054693630240365E-2</v>
      </c>
      <c r="N38" s="73">
        <f t="shared" si="81"/>
        <v>1.230634441856604E-2</v>
      </c>
      <c r="O38" s="73">
        <f t="shared" si="81"/>
        <v>1.2551876700786835E-2</v>
      </c>
      <c r="P38" s="73">
        <f t="shared" si="81"/>
        <v>1.2791321609109341E-2</v>
      </c>
      <c r="Q38" s="73">
        <f t="shared" si="81"/>
        <v>1.3024718249116773E-2</v>
      </c>
      <c r="R38" s="73">
        <f t="shared" ref="R38:U38" si="82">R21/Q21-1</f>
        <v>1.3252113208372496E-2</v>
      </c>
      <c r="S38" s="73">
        <f t="shared" si="82"/>
        <v>1.3473560065070167E-2</v>
      </c>
      <c r="T38" s="73">
        <f t="shared" si="82"/>
        <v>1.3689118899342212E-2</v>
      </c>
      <c r="U38" s="73">
        <f t="shared" si="82"/>
        <v>1.3898855809599819E-2</v>
      </c>
      <c r="V38" s="74"/>
    </row>
    <row r="39" spans="1:22" x14ac:dyDescent="0.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2"/>
    </row>
    <row r="40" spans="1:22" x14ac:dyDescent="0.15">
      <c r="A40" s="15" t="s">
        <v>33</v>
      </c>
      <c r="B40" s="17"/>
      <c r="C40" s="17"/>
      <c r="D40" s="16">
        <f>D41-D42</f>
        <v>430</v>
      </c>
      <c r="E40" s="16">
        <f>E41-E42</f>
        <v>1089.3</v>
      </c>
      <c r="F40" s="16">
        <f>F41-F42</f>
        <v>1159</v>
      </c>
      <c r="G40" s="17">
        <f t="shared" ref="G40:U40" si="83">F40+G26</f>
        <v>1104.3335000000002</v>
      </c>
      <c r="H40" s="17">
        <f t="shared" si="83"/>
        <v>1052.5912125000002</v>
      </c>
      <c r="I40" s="17">
        <f t="shared" si="83"/>
        <v>1004.9246408375009</v>
      </c>
      <c r="J40" s="17">
        <f t="shared" si="83"/>
        <v>962.48763512531491</v>
      </c>
      <c r="K40" s="17">
        <f t="shared" si="83"/>
        <v>1112.8184714644003</v>
      </c>
      <c r="L40" s="17">
        <f t="shared" si="83"/>
        <v>1327.8826012706295</v>
      </c>
      <c r="M40" s="17">
        <f t="shared" si="83"/>
        <v>1635.9598373902923</v>
      </c>
      <c r="N40" s="17">
        <f t="shared" si="83"/>
        <v>2043.524272646986</v>
      </c>
      <c r="O40" s="17">
        <f t="shared" si="83"/>
        <v>2557.4365228252491</v>
      </c>
      <c r="P40" s="17">
        <f t="shared" si="83"/>
        <v>3184.9642907377283</v>
      </c>
      <c r="Q40" s="17">
        <f t="shared" si="83"/>
        <v>3933.8039922682829</v>
      </c>
      <c r="R40" s="17">
        <f t="shared" si="83"/>
        <v>4812.103498131959</v>
      </c>
      <c r="S40" s="17">
        <f t="shared" si="83"/>
        <v>5828.48604779582</v>
      </c>
      <c r="T40" s="17">
        <f t="shared" si="83"/>
        <v>6992.0753948431302</v>
      </c>
      <c r="U40" s="17">
        <f t="shared" si="83"/>
        <v>8312.5222460441219</v>
      </c>
      <c r="V40" s="9"/>
    </row>
    <row r="41" spans="1:22" x14ac:dyDescent="0.15">
      <c r="A41" s="3" t="s">
        <v>34</v>
      </c>
      <c r="B41" s="10"/>
      <c r="C41" s="10"/>
      <c r="D41" s="10">
        <f>Reports!I33</f>
        <v>430</v>
      </c>
      <c r="E41" s="10">
        <f>Reports!M33</f>
        <v>1089.3</v>
      </c>
      <c r="F41" s="10">
        <f>Reports!Q33</f>
        <v>1159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</row>
    <row r="42" spans="1:22" x14ac:dyDescent="0.15">
      <c r="A42" s="3" t="s">
        <v>35</v>
      </c>
      <c r="B42" s="10"/>
      <c r="C42" s="10"/>
      <c r="D42" s="10">
        <f>Reports!I34</f>
        <v>0</v>
      </c>
      <c r="E42" s="10">
        <f>Reports!M34</f>
        <v>0</v>
      </c>
      <c r="F42" s="10">
        <f>Reports!Q34</f>
        <v>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</row>
    <row r="43" spans="1:22" x14ac:dyDescent="0.1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9"/>
    </row>
    <row r="44" spans="1:22" x14ac:dyDescent="0.15">
      <c r="A44" s="3" t="s">
        <v>69</v>
      </c>
      <c r="B44" s="10"/>
      <c r="C44" s="10"/>
      <c r="D44" s="10">
        <f>Reports!I36</f>
        <v>116</v>
      </c>
      <c r="E44" s="10">
        <f>Reports!M36</f>
        <v>111.2</v>
      </c>
      <c r="F44" s="10">
        <f>Reports!Q36</f>
        <v>282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</row>
    <row r="45" spans="1:22" x14ac:dyDescent="0.15">
      <c r="A45" s="3" t="s">
        <v>70</v>
      </c>
      <c r="B45" s="10"/>
      <c r="C45" s="10"/>
      <c r="D45" s="10">
        <f>Reports!I37</f>
        <v>1020</v>
      </c>
      <c r="E45" s="10">
        <f>Reports!M37</f>
        <v>1694.1</v>
      </c>
      <c r="F45" s="10">
        <f>Reports!Q37</f>
        <v>2699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9"/>
    </row>
    <row r="46" spans="1:22" x14ac:dyDescent="0.15">
      <c r="A46" s="3" t="s">
        <v>71</v>
      </c>
      <c r="B46" s="10"/>
      <c r="C46" s="10"/>
      <c r="D46" s="10">
        <f>Reports!I38</f>
        <v>917</v>
      </c>
      <c r="E46" s="10">
        <f>Reports!M38</f>
        <v>1017.3</v>
      </c>
      <c r="F46" s="10">
        <f>Reports!Q38</f>
        <v>1891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</row>
    <row r="47" spans="1:22" x14ac:dyDescent="0.1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9"/>
    </row>
    <row r="48" spans="1:22" x14ac:dyDescent="0.15">
      <c r="A48" s="3" t="s">
        <v>72</v>
      </c>
      <c r="B48" s="10"/>
      <c r="C48" s="10"/>
      <c r="D48" s="18">
        <f>D45-D44-D41</f>
        <v>474</v>
      </c>
      <c r="E48" s="18">
        <f>E45-E44-E41</f>
        <v>493.59999999999991</v>
      </c>
      <c r="F48" s="18">
        <f>F45-F44-F41</f>
        <v>1258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</row>
    <row r="49" spans="1:22" x14ac:dyDescent="0.15">
      <c r="A49" s="3" t="s">
        <v>73</v>
      </c>
      <c r="B49" s="10"/>
      <c r="C49" s="10"/>
      <c r="D49" s="18">
        <f>D45-D46</f>
        <v>103</v>
      </c>
      <c r="E49" s="18">
        <f>E45-E46</f>
        <v>676.8</v>
      </c>
      <c r="F49" s="18">
        <f>F45-F46</f>
        <v>808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9"/>
    </row>
    <row r="50" spans="1:22" x14ac:dyDescent="0.1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</row>
    <row r="51" spans="1:22" x14ac:dyDescent="0.15">
      <c r="A51" s="3" t="s">
        <v>74</v>
      </c>
      <c r="B51" s="10"/>
      <c r="C51" s="10"/>
      <c r="D51" s="21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9"/>
    </row>
    <row r="52" spans="1:22" x14ac:dyDescent="0.15">
      <c r="A52" s="3" t="s">
        <v>75</v>
      </c>
      <c r="B52" s="10"/>
      <c r="C52" s="10"/>
      <c r="D52" s="21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9"/>
    </row>
    <row r="53" spans="1:22" x14ac:dyDescent="0.15">
      <c r="A53" s="3" t="s">
        <v>76</v>
      </c>
      <c r="B53" s="10"/>
      <c r="C53" s="10"/>
      <c r="D53" s="21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9"/>
    </row>
    <row r="54" spans="1:22" x14ac:dyDescent="0.15">
      <c r="A54" s="3" t="s">
        <v>77</v>
      </c>
      <c r="B54" s="10"/>
      <c r="C54" s="10"/>
      <c r="D54" s="2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</row>
    <row r="55" spans="1:22" x14ac:dyDescent="0.1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</row>
    <row r="56" spans="1:22" x14ac:dyDescent="0.15">
      <c r="A56" s="3" t="s">
        <v>78</v>
      </c>
      <c r="B56" s="10"/>
      <c r="C56" s="21">
        <f>C10/B10-1</f>
        <v>0.39900662251655628</v>
      </c>
      <c r="D56" s="21">
        <f>D10/C10-1</f>
        <v>0.30982248520710054</v>
      </c>
      <c r="E56" s="21">
        <f>E10/D10-1</f>
        <v>0.25740874593422469</v>
      </c>
      <c r="F56" s="21">
        <f>F10/E10-1</f>
        <v>0.19357620176762236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</row>
    <row r="57" spans="1:22" x14ac:dyDescent="0.15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</row>
    <row r="58" spans="1:22" x14ac:dyDescent="0.15">
      <c r="A58" s="3" t="s">
        <v>66</v>
      </c>
      <c r="C58" s="61">
        <f t="shared" ref="C58:K58" si="84">C12/B12-1</f>
        <v>0.35384615384615392</v>
      </c>
      <c r="D58" s="61">
        <f t="shared" si="84"/>
        <v>0.25</v>
      </c>
      <c r="E58" s="61">
        <f t="shared" si="84"/>
        <v>0.15454545454545454</v>
      </c>
      <c r="F58" s="61">
        <f t="shared" si="84"/>
        <v>0.14960629921259838</v>
      </c>
      <c r="G58" s="61">
        <f t="shared" si="84"/>
        <v>0.10000000000000009</v>
      </c>
      <c r="H58" s="61">
        <f t="shared" si="84"/>
        <v>0.10000000000000009</v>
      </c>
      <c r="I58" s="61">
        <f t="shared" si="84"/>
        <v>0.10000000000000009</v>
      </c>
      <c r="J58" s="61">
        <f t="shared" si="84"/>
        <v>0.10000000000000009</v>
      </c>
      <c r="K58" s="61">
        <f t="shared" si="84"/>
        <v>0.10000000000000009</v>
      </c>
    </row>
    <row r="59" spans="1:22" x14ac:dyDescent="0.15">
      <c r="A59" s="3" t="s">
        <v>61</v>
      </c>
      <c r="C59" s="61">
        <f>C13/B13-1</f>
        <v>3.3357164358819968E-2</v>
      </c>
      <c r="D59" s="61">
        <f>D13/C13-1</f>
        <v>4.7857988165680432E-2</v>
      </c>
      <c r="E59" s="61">
        <f>E13/D13-1</f>
        <v>8.9094189391848211E-2</v>
      </c>
      <c r="F59" s="61">
        <f t="shared" ref="F59:K59" si="85">F13/E13-1</f>
        <v>3.8247791948548215E-2</v>
      </c>
      <c r="G59" s="61">
        <f t="shared" si="85"/>
        <v>5.0000000000000044E-2</v>
      </c>
      <c r="H59" s="61">
        <f t="shared" si="85"/>
        <v>5.0000000000000044E-2</v>
      </c>
      <c r="I59" s="61">
        <f t="shared" si="85"/>
        <v>5.0000000000000044E-2</v>
      </c>
      <c r="J59" s="61">
        <f t="shared" si="85"/>
        <v>5.0000000000000044E-2</v>
      </c>
      <c r="K59" s="61">
        <f t="shared" si="85"/>
        <v>5.0000000000000044E-2</v>
      </c>
    </row>
  </sheetData>
  <hyperlinks>
    <hyperlink ref="A1" r:id="rId1" xr:uid="{00000000-0004-0000-0000-000000000000}"/>
    <hyperlink ref="A4" r:id="rId2" xr:uid="{00000000-0004-0000-0000-000001000000}"/>
    <hyperlink ref="A8" r:id="rId3" xr:uid="{00000000-0004-0000-0000-000002000000}"/>
    <hyperlink ref="A7" r:id="rId4" xr:uid="{00000000-0004-0000-0000-000003000000}"/>
    <hyperlink ref="L4" r:id="rId5" xr:uid="{0528EA56-E003-774E-85BA-5A07040FCD5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baseColWidth="10" defaultRowHeight="13" x14ac:dyDescent="0.15"/>
  <cols>
    <col min="1" max="1" width="16.1640625" style="81" bestFit="1" customWidth="1"/>
    <col min="2" max="2" width="10.83203125" style="8"/>
    <col min="3" max="5" width="10.83203125" style="4"/>
    <col min="6" max="6" width="10.83203125" style="8"/>
    <col min="7" max="9" width="10.83203125" style="4"/>
    <col min="10" max="10" width="10.83203125" style="8"/>
    <col min="11" max="13" width="10.83203125" style="4"/>
    <col min="14" max="14" width="10.83203125" style="8"/>
    <col min="15" max="17" width="10.83203125" style="3"/>
    <col min="18" max="18" width="10.83203125" style="8"/>
    <col min="19" max="16384" width="10.83203125" style="3"/>
  </cols>
  <sheetData>
    <row r="1" spans="1:20" s="4" customFormat="1" x14ac:dyDescent="0.15">
      <c r="A1" s="80" t="s">
        <v>50</v>
      </c>
      <c r="B1" s="7" t="s">
        <v>22</v>
      </c>
      <c r="C1" s="6" t="s">
        <v>23</v>
      </c>
      <c r="D1" s="6" t="s">
        <v>24</v>
      </c>
      <c r="E1" s="6" t="s">
        <v>25</v>
      </c>
      <c r="F1" s="7" t="s">
        <v>0</v>
      </c>
      <c r="G1" s="6" t="s">
        <v>1</v>
      </c>
      <c r="H1" s="6" t="s">
        <v>2</v>
      </c>
      <c r="I1" s="6" t="s">
        <v>3</v>
      </c>
      <c r="J1" s="7" t="s">
        <v>42</v>
      </c>
      <c r="K1" s="6" t="s">
        <v>43</v>
      </c>
      <c r="L1" s="6" t="s">
        <v>44</v>
      </c>
      <c r="M1" s="6" t="s">
        <v>45</v>
      </c>
      <c r="N1" s="7" t="s">
        <v>82</v>
      </c>
      <c r="O1" s="6" t="s">
        <v>83</v>
      </c>
      <c r="P1" s="6" t="s">
        <v>84</v>
      </c>
      <c r="Q1" s="6" t="s">
        <v>85</v>
      </c>
      <c r="R1" s="7" t="s">
        <v>94</v>
      </c>
      <c r="S1" s="4" t="s">
        <v>98</v>
      </c>
    </row>
    <row r="2" spans="1:20" s="4" customFormat="1" x14ac:dyDescent="0.15">
      <c r="A2" s="80"/>
      <c r="B2" s="8" t="s">
        <v>29</v>
      </c>
      <c r="C2" s="4" t="s">
        <v>28</v>
      </c>
      <c r="D2" s="4" t="s">
        <v>27</v>
      </c>
      <c r="E2" s="4" t="s">
        <v>32</v>
      </c>
      <c r="F2" s="8" t="s">
        <v>31</v>
      </c>
      <c r="G2" s="4" t="s">
        <v>30</v>
      </c>
      <c r="H2" s="4" t="s">
        <v>26</v>
      </c>
      <c r="I2" s="4" t="s">
        <v>36</v>
      </c>
      <c r="J2" s="8" t="s">
        <v>46</v>
      </c>
      <c r="K2" s="4" t="s">
        <v>47</v>
      </c>
      <c r="L2" s="4" t="s">
        <v>48</v>
      </c>
      <c r="M2" s="4" t="s">
        <v>49</v>
      </c>
      <c r="N2" s="8" t="s">
        <v>86</v>
      </c>
      <c r="O2" s="4" t="s">
        <v>87</v>
      </c>
      <c r="P2" s="4" t="s">
        <v>88</v>
      </c>
      <c r="Q2" s="4" t="s">
        <v>89</v>
      </c>
      <c r="R2" s="75">
        <v>43921</v>
      </c>
      <c r="S2" s="79">
        <v>44012</v>
      </c>
    </row>
    <row r="3" spans="1:20" x14ac:dyDescent="0.15">
      <c r="A3" s="81" t="s">
        <v>67</v>
      </c>
      <c r="B3" s="7">
        <v>185</v>
      </c>
      <c r="C3" s="5">
        <v>200.8</v>
      </c>
      <c r="D3" s="5">
        <v>221</v>
      </c>
      <c r="E3" s="5">
        <v>238</v>
      </c>
      <c r="F3" s="7">
        <v>247.9</v>
      </c>
      <c r="G3" s="5">
        <v>266.7</v>
      </c>
      <c r="H3" s="5">
        <v>286.7</v>
      </c>
      <c r="I3" s="5">
        <v>305.5</v>
      </c>
      <c r="J3" s="7">
        <v>316.3</v>
      </c>
      <c r="K3" s="5">
        <v>339.2</v>
      </c>
      <c r="L3" s="5">
        <v>360.3</v>
      </c>
      <c r="M3" s="24">
        <v>375.9</v>
      </c>
      <c r="N3" s="7">
        <v>385.6</v>
      </c>
      <c r="O3" s="3">
        <v>401.5</v>
      </c>
      <c r="P3" s="3">
        <v>428</v>
      </c>
      <c r="Q3" s="3">
        <v>446</v>
      </c>
      <c r="R3" s="7">
        <v>455</v>
      </c>
      <c r="S3" s="3">
        <v>467.4</v>
      </c>
    </row>
    <row r="4" spans="1:20" x14ac:dyDescent="0.15">
      <c r="B4" s="7"/>
      <c r="C4" s="5"/>
      <c r="D4" s="5"/>
      <c r="E4" s="5"/>
      <c r="F4" s="7"/>
      <c r="G4" s="5"/>
      <c r="H4" s="5"/>
      <c r="I4" s="5"/>
      <c r="J4" s="7"/>
      <c r="K4" s="5"/>
      <c r="L4" s="5"/>
      <c r="M4" s="24"/>
      <c r="N4" s="7"/>
      <c r="R4" s="7"/>
    </row>
    <row r="5" spans="1:20" s="11" customFormat="1" x14ac:dyDescent="0.15">
      <c r="A5" s="82" t="s">
        <v>65</v>
      </c>
      <c r="B5" s="26"/>
      <c r="C5" s="25"/>
      <c r="D5" s="25"/>
      <c r="E5" s="25">
        <v>8.8000000000000007</v>
      </c>
      <c r="F5" s="26">
        <v>9.3000000000000007</v>
      </c>
      <c r="G5" s="25">
        <v>9.9</v>
      </c>
      <c r="H5" s="25">
        <v>10.4</v>
      </c>
      <c r="I5" s="25">
        <v>11</v>
      </c>
      <c r="J5" s="26">
        <v>11.5</v>
      </c>
      <c r="K5" s="25">
        <v>11.9</v>
      </c>
      <c r="L5" s="25">
        <v>12.3</v>
      </c>
      <c r="M5" s="27">
        <v>12.7</v>
      </c>
      <c r="N5" s="26">
        <v>13.2</v>
      </c>
      <c r="O5" s="11">
        <v>13.6</v>
      </c>
      <c r="P5" s="11">
        <v>14</v>
      </c>
      <c r="Q5" s="11">
        <v>14.3</v>
      </c>
      <c r="R5" s="26">
        <v>14.6</v>
      </c>
      <c r="S5" s="11">
        <v>15</v>
      </c>
    </row>
    <row r="6" spans="1:20" x14ac:dyDescent="0.15">
      <c r="A6" s="81" t="s">
        <v>60</v>
      </c>
      <c r="C6" s="23"/>
      <c r="D6" s="23"/>
      <c r="E6" s="28">
        <f>E3/E5</f>
        <v>27.045454545454543</v>
      </c>
      <c r="F6" s="29">
        <f>F3/F5</f>
        <v>26.655913978494624</v>
      </c>
      <c r="G6" s="28">
        <f>G3/G5</f>
        <v>26.939393939393938</v>
      </c>
      <c r="H6" s="28">
        <f>H3/H5</f>
        <v>27.56730769230769</v>
      </c>
      <c r="I6" s="28">
        <f>I3/I5</f>
        <v>27.772727272727273</v>
      </c>
      <c r="J6" s="29">
        <f t="shared" ref="J6:K6" si="0">J3/J5</f>
        <v>27.504347826086956</v>
      </c>
      <c r="K6" s="28">
        <f t="shared" si="0"/>
        <v>28.504201680672267</v>
      </c>
      <c r="L6" s="28">
        <f t="shared" ref="L6:S6" si="1">L3/L5</f>
        <v>29.292682926829269</v>
      </c>
      <c r="M6" s="28">
        <f t="shared" si="1"/>
        <v>29.598425196850393</v>
      </c>
      <c r="N6" s="29">
        <f t="shared" si="1"/>
        <v>29.212121212121215</v>
      </c>
      <c r="O6" s="28">
        <f t="shared" si="1"/>
        <v>29.522058823529413</v>
      </c>
      <c r="P6" s="28">
        <f t="shared" si="1"/>
        <v>30.571428571428573</v>
      </c>
      <c r="Q6" s="28">
        <f t="shared" si="1"/>
        <v>31.188811188811187</v>
      </c>
      <c r="R6" s="29">
        <f t="shared" si="1"/>
        <v>31.164383561643838</v>
      </c>
      <c r="S6" s="28">
        <f t="shared" si="1"/>
        <v>31.16</v>
      </c>
    </row>
    <row r="7" spans="1:20" s="50" customFormat="1" x14ac:dyDescent="0.15">
      <c r="A7" s="90"/>
      <c r="B7" s="91"/>
      <c r="C7" s="92"/>
      <c r="D7" s="92"/>
      <c r="E7" s="92"/>
      <c r="F7" s="91"/>
      <c r="G7" s="92"/>
      <c r="H7" s="93"/>
      <c r="I7" s="92"/>
      <c r="J7" s="91"/>
      <c r="K7" s="92"/>
      <c r="L7" s="92"/>
      <c r="M7" s="71"/>
      <c r="N7" s="91"/>
      <c r="R7" s="91"/>
      <c r="T7" s="88">
        <v>481</v>
      </c>
    </row>
    <row r="8" spans="1:20" s="76" customFormat="1" x14ac:dyDescent="0.15">
      <c r="A8" s="83" t="s">
        <v>4</v>
      </c>
      <c r="B8" s="31">
        <f t="shared" ref="B8:D8" si="2">SUM(B3:B3)</f>
        <v>185</v>
      </c>
      <c r="C8" s="32">
        <f t="shared" si="2"/>
        <v>200.8</v>
      </c>
      <c r="D8" s="32">
        <f t="shared" si="2"/>
        <v>221</v>
      </c>
      <c r="E8" s="32">
        <f>E5*E6</f>
        <v>238</v>
      </c>
      <c r="F8" s="31">
        <f t="shared" ref="F8:O8" si="3">F5*F6</f>
        <v>247.90000000000003</v>
      </c>
      <c r="G8" s="32">
        <f t="shared" si="3"/>
        <v>266.7</v>
      </c>
      <c r="H8" s="32">
        <f t="shared" si="3"/>
        <v>286.7</v>
      </c>
      <c r="I8" s="32">
        <f t="shared" si="3"/>
        <v>305.5</v>
      </c>
      <c r="J8" s="31">
        <f t="shared" si="3"/>
        <v>316.3</v>
      </c>
      <c r="K8" s="32">
        <f t="shared" si="3"/>
        <v>339.2</v>
      </c>
      <c r="L8" s="32">
        <f t="shared" si="3"/>
        <v>360.3</v>
      </c>
      <c r="M8" s="32">
        <f t="shared" si="3"/>
        <v>375.9</v>
      </c>
      <c r="N8" s="31">
        <f t="shared" ref="N8" si="4">N5*N6</f>
        <v>385.6</v>
      </c>
      <c r="O8" s="32">
        <f t="shared" si="3"/>
        <v>401.5</v>
      </c>
      <c r="P8" s="32">
        <f t="shared" ref="P8:S8" si="5">P5*P6</f>
        <v>428</v>
      </c>
      <c r="Q8" s="32">
        <f t="shared" si="5"/>
        <v>446</v>
      </c>
      <c r="R8" s="31">
        <f t="shared" si="5"/>
        <v>455</v>
      </c>
      <c r="S8" s="32">
        <f t="shared" si="5"/>
        <v>467.4</v>
      </c>
      <c r="T8" s="76">
        <v>481</v>
      </c>
    </row>
    <row r="9" spans="1:20" s="53" customFormat="1" x14ac:dyDescent="0.15">
      <c r="A9" s="84" t="s">
        <v>5</v>
      </c>
      <c r="B9" s="7">
        <v>99.8</v>
      </c>
      <c r="C9" s="5">
        <v>102.7</v>
      </c>
      <c r="D9" s="5">
        <v>98.8</v>
      </c>
      <c r="E9" s="5">
        <v>89.3</v>
      </c>
      <c r="F9" s="7">
        <v>93.5</v>
      </c>
      <c r="G9" s="5">
        <v>92.2</v>
      </c>
      <c r="H9" s="5">
        <v>91.5</v>
      </c>
      <c r="I9" s="5">
        <v>91.7</v>
      </c>
      <c r="J9" s="7">
        <v>120.6</v>
      </c>
      <c r="K9" s="5">
        <v>89.5</v>
      </c>
      <c r="L9" s="5">
        <v>90.2</v>
      </c>
      <c r="M9" s="24">
        <v>94.4</v>
      </c>
      <c r="N9" s="7">
        <v>98.4</v>
      </c>
      <c r="O9" s="53">
        <v>103</v>
      </c>
      <c r="P9" s="53">
        <v>105</v>
      </c>
      <c r="Q9" s="53">
        <v>105</v>
      </c>
      <c r="R9" s="7">
        <v>103</v>
      </c>
      <c r="S9" s="53">
        <v>102</v>
      </c>
    </row>
    <row r="10" spans="1:20" s="53" customFormat="1" x14ac:dyDescent="0.15">
      <c r="A10" s="84" t="s">
        <v>6</v>
      </c>
      <c r="B10" s="33">
        <f t="shared" ref="B10:E10" si="6">B8-B9</f>
        <v>85.2</v>
      </c>
      <c r="C10" s="34">
        <f t="shared" si="6"/>
        <v>98.100000000000009</v>
      </c>
      <c r="D10" s="34">
        <f t="shared" si="6"/>
        <v>122.2</v>
      </c>
      <c r="E10" s="34">
        <f t="shared" si="6"/>
        <v>148.69999999999999</v>
      </c>
      <c r="F10" s="33">
        <f t="shared" ref="F10:H10" si="7">F8-F9</f>
        <v>154.40000000000003</v>
      </c>
      <c r="G10" s="34">
        <f t="shared" si="7"/>
        <v>174.5</v>
      </c>
      <c r="H10" s="34">
        <f t="shared" si="7"/>
        <v>195.2</v>
      </c>
      <c r="I10" s="34">
        <f t="shared" ref="I10:O10" si="8">I8-I9</f>
        <v>213.8</v>
      </c>
      <c r="J10" s="33">
        <f t="shared" si="8"/>
        <v>195.70000000000002</v>
      </c>
      <c r="K10" s="34">
        <f t="shared" si="8"/>
        <v>249.7</v>
      </c>
      <c r="L10" s="34">
        <f t="shared" si="8"/>
        <v>270.10000000000002</v>
      </c>
      <c r="M10" s="34">
        <f t="shared" si="8"/>
        <v>281.5</v>
      </c>
      <c r="N10" s="33">
        <f t="shared" ref="N10" si="9">N8-N9</f>
        <v>287.20000000000005</v>
      </c>
      <c r="O10" s="34">
        <f t="shared" si="8"/>
        <v>298.5</v>
      </c>
      <c r="P10" s="34">
        <f t="shared" ref="P10:S10" si="10">P8-P9</f>
        <v>323</v>
      </c>
      <c r="Q10" s="34">
        <f t="shared" si="10"/>
        <v>341</v>
      </c>
      <c r="R10" s="33">
        <f t="shared" si="10"/>
        <v>352</v>
      </c>
      <c r="S10" s="34">
        <f t="shared" si="10"/>
        <v>365.4</v>
      </c>
    </row>
    <row r="11" spans="1:20" s="53" customFormat="1" x14ac:dyDescent="0.15">
      <c r="A11" s="84" t="s">
        <v>7</v>
      </c>
      <c r="B11" s="7">
        <v>67.900000000000006</v>
      </c>
      <c r="C11" s="5">
        <v>72.599999999999994</v>
      </c>
      <c r="D11" s="5">
        <v>75.099999999999994</v>
      </c>
      <c r="E11" s="5">
        <v>74.099999999999994</v>
      </c>
      <c r="F11" s="7">
        <v>89.3</v>
      </c>
      <c r="G11" s="5">
        <v>89.8</v>
      </c>
      <c r="H11" s="5">
        <v>97.2</v>
      </c>
      <c r="I11" s="5">
        <v>104</v>
      </c>
      <c r="J11" s="7">
        <v>378.5</v>
      </c>
      <c r="K11" s="5">
        <v>119.7</v>
      </c>
      <c r="L11" s="5">
        <v>133.19999999999999</v>
      </c>
      <c r="M11" s="24">
        <v>136.80000000000001</v>
      </c>
      <c r="N11" s="7">
        <v>150</v>
      </c>
      <c r="O11" s="53">
        <v>162</v>
      </c>
      <c r="P11" s="53">
        <v>173</v>
      </c>
      <c r="Q11" s="53">
        <v>177</v>
      </c>
      <c r="R11" s="7">
        <v>182</v>
      </c>
      <c r="S11" s="53">
        <v>186</v>
      </c>
    </row>
    <row r="12" spans="1:20" s="53" customFormat="1" x14ac:dyDescent="0.15">
      <c r="A12" s="84" t="s">
        <v>8</v>
      </c>
      <c r="B12" s="7">
        <v>73.8</v>
      </c>
      <c r="C12" s="5">
        <v>57.5</v>
      </c>
      <c r="D12" s="5">
        <v>55.4</v>
      </c>
      <c r="E12" s="5">
        <v>63.9</v>
      </c>
      <c r="F12" s="7">
        <v>67.2</v>
      </c>
      <c r="G12" s="5">
        <v>69.2</v>
      </c>
      <c r="H12" s="5">
        <v>74.7</v>
      </c>
      <c r="I12" s="5">
        <v>102.9</v>
      </c>
      <c r="J12" s="7">
        <v>157</v>
      </c>
      <c r="K12" s="5">
        <v>87.4</v>
      </c>
      <c r="L12" s="5">
        <v>95</v>
      </c>
      <c r="M12" s="24">
        <v>100.2</v>
      </c>
      <c r="N12" s="7">
        <v>101.5</v>
      </c>
      <c r="O12" s="53">
        <v>107</v>
      </c>
      <c r="P12" s="53">
        <v>108</v>
      </c>
      <c r="Q12" s="53">
        <v>106</v>
      </c>
      <c r="R12" s="7">
        <v>104</v>
      </c>
      <c r="S12" s="53">
        <v>103</v>
      </c>
    </row>
    <row r="13" spans="1:20" s="53" customFormat="1" x14ac:dyDescent="0.15">
      <c r="A13" s="84" t="s">
        <v>9</v>
      </c>
      <c r="B13" s="7">
        <v>25.3</v>
      </c>
      <c r="C13" s="5">
        <v>18.399999999999999</v>
      </c>
      <c r="D13" s="5">
        <v>32.799999999999997</v>
      </c>
      <c r="E13" s="5">
        <v>30.9</v>
      </c>
      <c r="F13" s="7">
        <v>31.3</v>
      </c>
      <c r="G13" s="5">
        <v>42.2</v>
      </c>
      <c r="H13" s="5">
        <v>39.6</v>
      </c>
      <c r="I13" s="5">
        <v>44.2</v>
      </c>
      <c r="J13" s="7">
        <v>126.1</v>
      </c>
      <c r="K13" s="5">
        <v>49.8</v>
      </c>
      <c r="L13" s="5">
        <v>50.8</v>
      </c>
      <c r="M13" s="24">
        <v>56.5</v>
      </c>
      <c r="N13" s="7">
        <v>57</v>
      </c>
      <c r="O13" s="53">
        <v>63</v>
      </c>
      <c r="P13" s="53">
        <v>61</v>
      </c>
      <c r="Q13" s="53">
        <v>65</v>
      </c>
      <c r="R13" s="7">
        <v>39</v>
      </c>
      <c r="S13" s="53">
        <v>64</v>
      </c>
    </row>
    <row r="14" spans="1:20" s="53" customFormat="1" x14ac:dyDescent="0.15">
      <c r="A14" s="84" t="s">
        <v>10</v>
      </c>
      <c r="B14" s="33">
        <f t="shared" ref="B14:D14" si="11">SUM(B11:B13)</f>
        <v>167</v>
      </c>
      <c r="C14" s="34">
        <f t="shared" si="11"/>
        <v>148.5</v>
      </c>
      <c r="D14" s="34">
        <f t="shared" si="11"/>
        <v>163.30000000000001</v>
      </c>
      <c r="E14" s="34">
        <f>SUM(E11:E13)</f>
        <v>168.9</v>
      </c>
      <c r="F14" s="33">
        <f t="shared" ref="F14:H14" si="12">SUM(F11:F13)</f>
        <v>187.8</v>
      </c>
      <c r="G14" s="34">
        <f t="shared" si="12"/>
        <v>201.2</v>
      </c>
      <c r="H14" s="34">
        <f t="shared" si="12"/>
        <v>211.5</v>
      </c>
      <c r="I14" s="34">
        <f>SUM(I11:I13)</f>
        <v>251.10000000000002</v>
      </c>
      <c r="J14" s="33">
        <f>SUM(J11:J13)</f>
        <v>661.6</v>
      </c>
      <c r="K14" s="34">
        <f t="shared" ref="K14:L14" si="13">SUM(K11:K13)</f>
        <v>256.90000000000003</v>
      </c>
      <c r="L14" s="34">
        <f t="shared" si="13"/>
        <v>279</v>
      </c>
      <c r="M14" s="34">
        <f t="shared" ref="M14:O14" si="14">SUM(M11:M13)</f>
        <v>293.5</v>
      </c>
      <c r="N14" s="33">
        <f t="shared" si="14"/>
        <v>308.5</v>
      </c>
      <c r="O14" s="34">
        <f t="shared" si="14"/>
        <v>332</v>
      </c>
      <c r="P14" s="34">
        <f t="shared" ref="P14:R14" si="15">SUM(P11:P13)</f>
        <v>342</v>
      </c>
      <c r="Q14" s="34">
        <f t="shared" si="15"/>
        <v>348</v>
      </c>
      <c r="R14" s="33">
        <f t="shared" si="15"/>
        <v>325</v>
      </c>
      <c r="S14" s="34">
        <f t="shared" ref="S14" si="16">SUM(S11:S13)</f>
        <v>353</v>
      </c>
    </row>
    <row r="15" spans="1:20" s="53" customFormat="1" x14ac:dyDescent="0.15">
      <c r="A15" s="84" t="s">
        <v>11</v>
      </c>
      <c r="B15" s="33">
        <f t="shared" ref="B15:E15" si="17">B10-B14</f>
        <v>-81.8</v>
      </c>
      <c r="C15" s="34">
        <f t="shared" si="17"/>
        <v>-50.399999999999991</v>
      </c>
      <c r="D15" s="34">
        <f t="shared" si="17"/>
        <v>-41.100000000000009</v>
      </c>
      <c r="E15" s="34">
        <f t="shared" si="17"/>
        <v>-20.200000000000017</v>
      </c>
      <c r="F15" s="33">
        <f t="shared" ref="F15:L15" si="18">F10-F14</f>
        <v>-33.399999999999977</v>
      </c>
      <c r="G15" s="34">
        <f t="shared" si="18"/>
        <v>-26.699999999999989</v>
      </c>
      <c r="H15" s="34">
        <f t="shared" si="18"/>
        <v>-16.300000000000011</v>
      </c>
      <c r="I15" s="34">
        <f t="shared" si="18"/>
        <v>-37.300000000000011</v>
      </c>
      <c r="J15" s="33">
        <f>J10-J14</f>
        <v>-465.9</v>
      </c>
      <c r="K15" s="34">
        <f t="shared" si="18"/>
        <v>-7.2000000000000455</v>
      </c>
      <c r="L15" s="34">
        <f t="shared" si="18"/>
        <v>-8.8999999999999773</v>
      </c>
      <c r="M15" s="34">
        <f t="shared" ref="M15:O15" si="19">M10-M14</f>
        <v>-12</v>
      </c>
      <c r="N15" s="33">
        <f t="shared" si="19"/>
        <v>-21.299999999999955</v>
      </c>
      <c r="O15" s="34">
        <f t="shared" si="19"/>
        <v>-33.5</v>
      </c>
      <c r="P15" s="34">
        <f t="shared" ref="P15:R15" si="20">P10-P14</f>
        <v>-19</v>
      </c>
      <c r="Q15" s="34">
        <f t="shared" si="20"/>
        <v>-7</v>
      </c>
      <c r="R15" s="33">
        <f t="shared" si="20"/>
        <v>27</v>
      </c>
      <c r="S15" s="34">
        <f t="shared" ref="S15" si="21">S10-S14</f>
        <v>12.399999999999977</v>
      </c>
    </row>
    <row r="16" spans="1:20" s="53" customFormat="1" x14ac:dyDescent="0.15">
      <c r="A16" s="84" t="s">
        <v>12</v>
      </c>
      <c r="B16" s="7">
        <v>0</v>
      </c>
      <c r="C16" s="5">
        <v>0</v>
      </c>
      <c r="D16" s="5">
        <v>0</v>
      </c>
      <c r="E16" s="5">
        <v>0</v>
      </c>
      <c r="F16" s="7">
        <f>-4.2+4.8</f>
        <v>0.59999999999999964</v>
      </c>
      <c r="G16" s="5">
        <f>-3+3.3</f>
        <v>0.29999999999999982</v>
      </c>
      <c r="H16" s="5">
        <f>-2.2+4.9</f>
        <v>2.7</v>
      </c>
      <c r="I16" s="5">
        <v>0</v>
      </c>
      <c r="J16" s="7">
        <f>-1.2+3.4</f>
        <v>2.2000000000000002</v>
      </c>
      <c r="K16" s="5">
        <f>2+2.2</f>
        <v>4.2</v>
      </c>
      <c r="L16" s="5">
        <f>2.4+0.5</f>
        <v>2.9</v>
      </c>
      <c r="M16" s="24">
        <f>3.9+0.7</f>
        <v>4.5999999999999996</v>
      </c>
      <c r="N16" s="7">
        <f>3.7+4.2</f>
        <v>7.9</v>
      </c>
      <c r="O16" s="53">
        <f>3+10</f>
        <v>13</v>
      </c>
      <c r="P16" s="53">
        <v>3</v>
      </c>
      <c r="Q16" s="53">
        <f>3+2</f>
        <v>5</v>
      </c>
      <c r="R16" s="7">
        <f>2+11</f>
        <v>13</v>
      </c>
      <c r="S16" s="53">
        <v>9</v>
      </c>
    </row>
    <row r="17" spans="1:20" s="53" customFormat="1" x14ac:dyDescent="0.15">
      <c r="A17" s="84" t="s">
        <v>13</v>
      </c>
      <c r="B17" s="33">
        <f t="shared" ref="B17:E17" si="22">B15+B16</f>
        <v>-81.8</v>
      </c>
      <c r="C17" s="34">
        <f t="shared" si="22"/>
        <v>-50.399999999999991</v>
      </c>
      <c r="D17" s="34">
        <f t="shared" si="22"/>
        <v>-41.100000000000009</v>
      </c>
      <c r="E17" s="34">
        <f t="shared" si="22"/>
        <v>-20.200000000000017</v>
      </c>
      <c r="F17" s="33">
        <f t="shared" ref="F17:G17" si="23">F15+F16</f>
        <v>-32.799999999999976</v>
      </c>
      <c r="G17" s="34">
        <f t="shared" si="23"/>
        <v>-26.399999999999988</v>
      </c>
      <c r="H17" s="34">
        <f t="shared" ref="H17:K17" si="24">H15+H16</f>
        <v>-13.600000000000012</v>
      </c>
      <c r="I17" s="34">
        <f t="shared" si="24"/>
        <v>-37.300000000000011</v>
      </c>
      <c r="J17" s="33">
        <f t="shared" si="24"/>
        <v>-463.7</v>
      </c>
      <c r="K17" s="34">
        <f t="shared" si="24"/>
        <v>-3.0000000000000453</v>
      </c>
      <c r="L17" s="34">
        <f t="shared" ref="L17:O17" si="25">L15+L16</f>
        <v>-5.9999999999999769</v>
      </c>
      <c r="M17" s="34">
        <f t="shared" si="25"/>
        <v>-7.4</v>
      </c>
      <c r="N17" s="33">
        <f t="shared" si="25"/>
        <v>-13.399999999999954</v>
      </c>
      <c r="O17" s="34">
        <f t="shared" si="25"/>
        <v>-20.5</v>
      </c>
      <c r="P17" s="34">
        <f t="shared" ref="P17:S17" si="26">P15+P16</f>
        <v>-16</v>
      </c>
      <c r="Q17" s="34">
        <f t="shared" si="26"/>
        <v>-2</v>
      </c>
      <c r="R17" s="33">
        <f t="shared" si="26"/>
        <v>40</v>
      </c>
      <c r="S17" s="34">
        <f t="shared" si="26"/>
        <v>21.399999999999977</v>
      </c>
    </row>
    <row r="18" spans="1:20" s="53" customFormat="1" x14ac:dyDescent="0.15">
      <c r="A18" s="84" t="s">
        <v>14</v>
      </c>
      <c r="B18" s="7">
        <v>0.3</v>
      </c>
      <c r="C18" s="5">
        <v>0.4</v>
      </c>
      <c r="D18" s="5">
        <v>0</v>
      </c>
      <c r="E18" s="5">
        <v>0</v>
      </c>
      <c r="F18" s="7">
        <v>0.3</v>
      </c>
      <c r="G18" s="5">
        <v>0.4</v>
      </c>
      <c r="H18" s="5">
        <v>0.5</v>
      </c>
      <c r="I18" s="5">
        <v>0</v>
      </c>
      <c r="J18" s="7">
        <v>1.8</v>
      </c>
      <c r="K18" s="5">
        <v>1.1000000000000001</v>
      </c>
      <c r="L18" s="5">
        <v>-0.2</v>
      </c>
      <c r="M18" s="24">
        <v>2.1</v>
      </c>
      <c r="N18" s="7">
        <v>-5.7</v>
      </c>
      <c r="O18" s="53">
        <v>1</v>
      </c>
      <c r="P18" s="53">
        <v>2</v>
      </c>
      <c r="Q18" s="53">
        <v>4</v>
      </c>
      <c r="R18" s="7">
        <v>1</v>
      </c>
      <c r="S18" s="53">
        <v>4.4000000000000004</v>
      </c>
    </row>
    <row r="19" spans="1:20" s="76" customFormat="1" x14ac:dyDescent="0.15">
      <c r="A19" s="83" t="s">
        <v>15</v>
      </c>
      <c r="B19" s="31">
        <f t="shared" ref="B19:E19" si="27">B17-B18</f>
        <v>-82.1</v>
      </c>
      <c r="C19" s="32">
        <f t="shared" si="27"/>
        <v>-50.79999999999999</v>
      </c>
      <c r="D19" s="32">
        <f t="shared" si="27"/>
        <v>-41.100000000000009</v>
      </c>
      <c r="E19" s="32">
        <f t="shared" si="27"/>
        <v>-20.200000000000017</v>
      </c>
      <c r="F19" s="31">
        <f t="shared" ref="F19:M19" si="28">F17-F18</f>
        <v>-33.099999999999973</v>
      </c>
      <c r="G19" s="32">
        <f t="shared" si="28"/>
        <v>-26.799999999999986</v>
      </c>
      <c r="H19" s="32">
        <f t="shared" si="28"/>
        <v>-14.100000000000012</v>
      </c>
      <c r="I19" s="32">
        <f t="shared" si="28"/>
        <v>-37.300000000000011</v>
      </c>
      <c r="J19" s="31">
        <f t="shared" si="28"/>
        <v>-465.5</v>
      </c>
      <c r="K19" s="32">
        <f t="shared" si="28"/>
        <v>-4.1000000000000458</v>
      </c>
      <c r="L19" s="32">
        <f t="shared" si="28"/>
        <v>-5.7999999999999767</v>
      </c>
      <c r="M19" s="32">
        <f t="shared" si="28"/>
        <v>-9.5</v>
      </c>
      <c r="N19" s="31">
        <f t="shared" ref="N19:O19" si="29">N17-N18</f>
        <v>-7.699999999999954</v>
      </c>
      <c r="O19" s="32">
        <f t="shared" si="29"/>
        <v>-21.5</v>
      </c>
      <c r="P19" s="32">
        <f t="shared" ref="P19:R19" si="30">P17-P18</f>
        <v>-18</v>
      </c>
      <c r="Q19" s="32">
        <f t="shared" si="30"/>
        <v>-6</v>
      </c>
      <c r="R19" s="31">
        <f t="shared" si="30"/>
        <v>39</v>
      </c>
      <c r="S19" s="32">
        <f t="shared" ref="S19" si="31">S17-S18</f>
        <v>16.999999999999979</v>
      </c>
    </row>
    <row r="20" spans="1:20" x14ac:dyDescent="0.15">
      <c r="A20" s="81" t="s">
        <v>16</v>
      </c>
      <c r="B20" s="36"/>
      <c r="C20" s="35"/>
      <c r="D20" s="35"/>
      <c r="E20" s="35"/>
      <c r="F20" s="29">
        <f t="shared" ref="F20:H20" si="32">IFERROR(F19/F21,0)</f>
        <v>-0.17105943152454767</v>
      </c>
      <c r="G20" s="37">
        <f t="shared" si="32"/>
        <v>-0.1371545547594677</v>
      </c>
      <c r="H20" s="37">
        <f t="shared" si="32"/>
        <v>-7.1501014198783033E-2</v>
      </c>
      <c r="I20" s="37">
        <f t="shared" ref="I20:M20" si="33">IFERROR(I19/I21,0)</f>
        <v>0</v>
      </c>
      <c r="J20" s="29">
        <f t="shared" si="33"/>
        <v>-2.1275137111517366</v>
      </c>
      <c r="K20" s="37">
        <f t="shared" si="33"/>
        <v>-1.0216795414901683E-2</v>
      </c>
      <c r="L20" s="37">
        <f t="shared" si="33"/>
        <v>-1.4359990096558497E-2</v>
      </c>
      <c r="M20" s="37">
        <f t="shared" si="33"/>
        <v>-2.3284313725490197E-2</v>
      </c>
      <c r="N20" s="29">
        <f t="shared" ref="N20:O20" si="34">IFERROR(N19/N21,0)</f>
        <v>-1.8757612667478572E-2</v>
      </c>
      <c r="O20" s="37">
        <f t="shared" si="34"/>
        <v>-5.213385063045587E-2</v>
      </c>
      <c r="P20" s="37">
        <f t="shared" ref="P20:R20" si="35">IFERROR(P19/P21,0)</f>
        <v>-4.3478260869565216E-2</v>
      </c>
      <c r="Q20" s="37">
        <f t="shared" si="35"/>
        <v>-1.4457831325301205E-2</v>
      </c>
      <c r="R20" s="29">
        <f t="shared" si="35"/>
        <v>9.3078758949880672E-2</v>
      </c>
      <c r="S20" s="37">
        <f t="shared" ref="S20" si="36">IFERROR(S19/S21,0)</f>
        <v>4.0428061831153335E-2</v>
      </c>
    </row>
    <row r="21" spans="1:20" s="53" customFormat="1" x14ac:dyDescent="0.15">
      <c r="A21" s="84" t="s">
        <v>17</v>
      </c>
      <c r="B21" s="38"/>
      <c r="C21" s="24"/>
      <c r="D21" s="24"/>
      <c r="E21" s="24"/>
      <c r="F21" s="7">
        <v>193.5</v>
      </c>
      <c r="G21" s="5">
        <v>195.4</v>
      </c>
      <c r="H21" s="5">
        <v>197.2</v>
      </c>
      <c r="I21" s="5">
        <v>0</v>
      </c>
      <c r="J21" s="7">
        <v>218.8</v>
      </c>
      <c r="K21" s="5">
        <v>401.3</v>
      </c>
      <c r="L21" s="5">
        <v>403.9</v>
      </c>
      <c r="M21" s="24">
        <v>408</v>
      </c>
      <c r="N21" s="7">
        <v>410.5</v>
      </c>
      <c r="O21" s="53">
        <v>412.4</v>
      </c>
      <c r="P21" s="53">
        <v>414</v>
      </c>
      <c r="Q21" s="53">
        <v>415</v>
      </c>
      <c r="R21" s="7">
        <v>419</v>
      </c>
      <c r="S21" s="53">
        <v>420.5</v>
      </c>
    </row>
    <row r="22" spans="1:20" x14ac:dyDescent="0.15">
      <c r="B22" s="38"/>
      <c r="C22" s="24"/>
      <c r="D22" s="24"/>
      <c r="E22" s="24"/>
      <c r="F22" s="7"/>
      <c r="G22" s="5"/>
      <c r="H22" s="5"/>
      <c r="I22" s="5"/>
      <c r="J22" s="7"/>
      <c r="K22" s="5"/>
      <c r="L22" s="5"/>
      <c r="M22" s="24"/>
      <c r="N22" s="7"/>
      <c r="R22" s="7"/>
    </row>
    <row r="23" spans="1:20" x14ac:dyDescent="0.15">
      <c r="A23" s="81" t="s">
        <v>19</v>
      </c>
      <c r="B23" s="45">
        <f t="shared" ref="B23:M23" si="37">IFERROR(B10/B8,0)</f>
        <v>0.46054054054054056</v>
      </c>
      <c r="C23" s="44">
        <f t="shared" si="37"/>
        <v>0.48854581673306774</v>
      </c>
      <c r="D23" s="44">
        <f t="shared" si="37"/>
        <v>0.55294117647058827</v>
      </c>
      <c r="E23" s="44">
        <f t="shared" si="37"/>
        <v>0.62478991596638656</v>
      </c>
      <c r="F23" s="45">
        <f t="shared" si="37"/>
        <v>0.62283178701089159</v>
      </c>
      <c r="G23" s="44">
        <f t="shared" si="37"/>
        <v>0.65429321334833146</v>
      </c>
      <c r="H23" s="44">
        <f t="shared" si="37"/>
        <v>0.68085106382978722</v>
      </c>
      <c r="I23" s="44">
        <f t="shared" si="37"/>
        <v>0.69983633387888711</v>
      </c>
      <c r="J23" s="45">
        <f t="shared" si="37"/>
        <v>0.61871640847296872</v>
      </c>
      <c r="K23" s="44">
        <f t="shared" si="37"/>
        <v>0.73614386792452824</v>
      </c>
      <c r="L23" s="44">
        <f t="shared" si="37"/>
        <v>0.74965306688870392</v>
      </c>
      <c r="M23" s="44">
        <f t="shared" si="37"/>
        <v>0.74886938015429638</v>
      </c>
      <c r="N23" s="45">
        <f t="shared" ref="N23:O23" si="38">IFERROR(N10/N8,0)</f>
        <v>0.74481327800829888</v>
      </c>
      <c r="O23" s="44">
        <f t="shared" si="38"/>
        <v>0.74346201743462015</v>
      </c>
      <c r="P23" s="44">
        <f t="shared" ref="P23:R23" si="39">IFERROR(P10/P8,0)</f>
        <v>0.75467289719626163</v>
      </c>
      <c r="Q23" s="44">
        <f t="shared" si="39"/>
        <v>0.76457399103139012</v>
      </c>
      <c r="R23" s="45">
        <f t="shared" si="39"/>
        <v>0.77362637362637365</v>
      </c>
      <c r="S23" s="44">
        <f t="shared" ref="S23" si="40">IFERROR(S10/S8,0)</f>
        <v>0.78177150192554556</v>
      </c>
    </row>
    <row r="24" spans="1:20" x14ac:dyDescent="0.15">
      <c r="A24" s="81" t="s">
        <v>20</v>
      </c>
      <c r="B24" s="47">
        <f t="shared" ref="B24:M24" si="41">IFERROR(B15/B8,0)</f>
        <v>-0.44216216216216214</v>
      </c>
      <c r="C24" s="46">
        <f t="shared" si="41"/>
        <v>-0.25099601593625492</v>
      </c>
      <c r="D24" s="46">
        <f t="shared" si="41"/>
        <v>-0.18597285067873306</v>
      </c>
      <c r="E24" s="46">
        <f t="shared" si="41"/>
        <v>-8.4873949579832006E-2</v>
      </c>
      <c r="F24" s="47">
        <f t="shared" si="41"/>
        <v>-0.13473174667204507</v>
      </c>
      <c r="G24" s="46">
        <f t="shared" si="41"/>
        <v>-0.10011248593925755</v>
      </c>
      <c r="H24" s="46">
        <f t="shared" si="41"/>
        <v>-5.6853854202999696E-2</v>
      </c>
      <c r="I24" s="46">
        <f t="shared" si="41"/>
        <v>-0.12209492635024553</v>
      </c>
      <c r="J24" s="47">
        <f t="shared" si="41"/>
        <v>-1.4729687006006955</v>
      </c>
      <c r="K24" s="46">
        <f t="shared" si="41"/>
        <v>-2.1226415094339757E-2</v>
      </c>
      <c r="L24" s="46">
        <f t="shared" si="41"/>
        <v>-2.4701637524285253E-2</v>
      </c>
      <c r="M24" s="46">
        <f t="shared" si="41"/>
        <v>-3.192338387869114E-2</v>
      </c>
      <c r="N24" s="47">
        <f t="shared" ref="N24:O24" si="42">IFERROR(N15/N8,0)</f>
        <v>-5.5238589211618137E-2</v>
      </c>
      <c r="O24" s="46">
        <f t="shared" si="42"/>
        <v>-8.3437110834371109E-2</v>
      </c>
      <c r="P24" s="46">
        <f t="shared" ref="P24:R24" si="43">IFERROR(P15/P8,0)</f>
        <v>-4.4392523364485979E-2</v>
      </c>
      <c r="Q24" s="46">
        <f t="shared" si="43"/>
        <v>-1.5695067264573991E-2</v>
      </c>
      <c r="R24" s="47">
        <f t="shared" si="43"/>
        <v>5.9340659340659338E-2</v>
      </c>
      <c r="S24" s="46">
        <f t="shared" ref="S24" si="44">IFERROR(S15/S8,0)</f>
        <v>2.6529738981600295E-2</v>
      </c>
    </row>
    <row r="25" spans="1:20" x14ac:dyDescent="0.15">
      <c r="A25" s="81" t="s">
        <v>21</v>
      </c>
      <c r="B25" s="47">
        <f t="shared" ref="B25:M25" si="45">IFERROR(B18/B17,0)</f>
        <v>-3.667481662591687E-3</v>
      </c>
      <c r="C25" s="46">
        <f t="shared" si="45"/>
        <v>-7.9365079365079378E-3</v>
      </c>
      <c r="D25" s="46">
        <f t="shared" si="45"/>
        <v>0</v>
      </c>
      <c r="E25" s="46">
        <f t="shared" si="45"/>
        <v>0</v>
      </c>
      <c r="F25" s="47">
        <f t="shared" si="45"/>
        <v>-9.1463414634146405E-3</v>
      </c>
      <c r="G25" s="46">
        <f t="shared" si="45"/>
        <v>-1.5151515151515159E-2</v>
      </c>
      <c r="H25" s="46">
        <f t="shared" si="45"/>
        <v>-3.6764705882352908E-2</v>
      </c>
      <c r="I25" s="46">
        <f t="shared" si="45"/>
        <v>0</v>
      </c>
      <c r="J25" s="47">
        <f t="shared" si="45"/>
        <v>-3.8818201423334053E-3</v>
      </c>
      <c r="K25" s="46">
        <f t="shared" si="45"/>
        <v>-0.36666666666666115</v>
      </c>
      <c r="L25" s="46">
        <f t="shared" si="45"/>
        <v>3.3333333333333465E-2</v>
      </c>
      <c r="M25" s="46">
        <f t="shared" si="45"/>
        <v>-0.28378378378378377</v>
      </c>
      <c r="N25" s="47">
        <f t="shared" ref="N25:O25" si="46">IFERROR(N18/N17,0)</f>
        <v>0.42537313432835966</v>
      </c>
      <c r="O25" s="46">
        <f t="shared" si="46"/>
        <v>-4.878048780487805E-2</v>
      </c>
      <c r="P25" s="46">
        <f t="shared" ref="P25:R25" si="47">IFERROR(P18/P17,0)</f>
        <v>-0.125</v>
      </c>
      <c r="Q25" s="46">
        <f t="shared" si="47"/>
        <v>-2</v>
      </c>
      <c r="R25" s="47">
        <f t="shared" si="47"/>
        <v>2.5000000000000001E-2</v>
      </c>
      <c r="S25" s="46">
        <f t="shared" ref="S25" si="48">IFERROR(S18/S17,0)</f>
        <v>0.20560747663551426</v>
      </c>
    </row>
    <row r="26" spans="1:20" x14ac:dyDescent="0.15">
      <c r="B26" s="38"/>
      <c r="C26" s="24"/>
      <c r="D26" s="24"/>
      <c r="E26" s="24"/>
      <c r="F26" s="7"/>
      <c r="G26" s="5"/>
      <c r="H26" s="5"/>
      <c r="I26" s="5"/>
      <c r="J26" s="7"/>
      <c r="K26" s="5"/>
      <c r="L26" s="5"/>
      <c r="M26" s="24"/>
      <c r="N26" s="7"/>
      <c r="O26" s="5"/>
      <c r="P26" s="5"/>
      <c r="Q26" s="5"/>
      <c r="R26" s="7"/>
      <c r="S26" s="5"/>
    </row>
    <row r="27" spans="1:20" s="15" customFormat="1" x14ac:dyDescent="0.15">
      <c r="A27" s="85" t="s">
        <v>18</v>
      </c>
      <c r="B27" s="40"/>
      <c r="C27" s="39"/>
      <c r="D27" s="39"/>
      <c r="E27" s="39"/>
      <c r="F27" s="40">
        <f>F8/B8-1</f>
        <v>0.34000000000000008</v>
      </c>
      <c r="G27" s="39">
        <f>G8/C8-1</f>
        <v>0.32818725099601576</v>
      </c>
      <c r="H27" s="39">
        <f>H8/D8-1</f>
        <v>0.29728506787330322</v>
      </c>
      <c r="I27" s="39">
        <f>I8/E8-1</f>
        <v>0.28361344537815136</v>
      </c>
      <c r="J27" s="40">
        <f t="shared" ref="J27:T27" si="49">J8/F8-1</f>
        <v>0.27591770875352961</v>
      </c>
      <c r="K27" s="39">
        <f t="shared" si="49"/>
        <v>0.27184101987251585</v>
      </c>
      <c r="L27" s="39">
        <f t="shared" si="49"/>
        <v>0.25671433554237888</v>
      </c>
      <c r="M27" s="39">
        <f t="shared" si="49"/>
        <v>0.23044189852700492</v>
      </c>
      <c r="N27" s="40">
        <f t="shared" si="49"/>
        <v>0.21909579513120447</v>
      </c>
      <c r="O27" s="39">
        <f t="shared" si="49"/>
        <v>0.1836674528301887</v>
      </c>
      <c r="P27" s="39">
        <f t="shared" si="49"/>
        <v>0.18789897307799053</v>
      </c>
      <c r="Q27" s="39">
        <f t="shared" si="49"/>
        <v>0.18648576749135426</v>
      </c>
      <c r="R27" s="40">
        <f t="shared" si="49"/>
        <v>0.17997925311203322</v>
      </c>
      <c r="S27" s="39">
        <f t="shared" si="49"/>
        <v>0.16413449564134486</v>
      </c>
      <c r="T27" s="39">
        <f t="shared" si="49"/>
        <v>0.12383177570093462</v>
      </c>
    </row>
    <row r="28" spans="1:20" s="15" customFormat="1" x14ac:dyDescent="0.15">
      <c r="A28" s="81" t="s">
        <v>57</v>
      </c>
      <c r="B28" s="42"/>
      <c r="C28" s="41"/>
      <c r="D28" s="41"/>
      <c r="E28" s="41"/>
      <c r="F28" s="42"/>
      <c r="G28" s="41"/>
      <c r="H28" s="41"/>
      <c r="I28" s="41"/>
      <c r="J28" s="42">
        <f t="shared" ref="J28:S30" si="50">J11/F11-1</f>
        <v>3.238521836506159</v>
      </c>
      <c r="K28" s="41">
        <f t="shared" si="50"/>
        <v>0.3329621380846326</v>
      </c>
      <c r="L28" s="41">
        <f t="shared" si="50"/>
        <v>0.37037037037037024</v>
      </c>
      <c r="M28" s="41">
        <f t="shared" si="50"/>
        <v>0.3153846153846156</v>
      </c>
      <c r="N28" s="42">
        <f t="shared" si="50"/>
        <v>-0.60369881109643331</v>
      </c>
      <c r="O28" s="41">
        <f t="shared" si="50"/>
        <v>0.35338345864661647</v>
      </c>
      <c r="P28" s="41">
        <f t="shared" si="50"/>
        <v>0.298798798798799</v>
      </c>
      <c r="Q28" s="41">
        <f t="shared" si="50"/>
        <v>0.29385964912280693</v>
      </c>
      <c r="R28" s="42">
        <f t="shared" si="50"/>
        <v>0.21333333333333337</v>
      </c>
      <c r="S28" s="41">
        <f t="shared" si="50"/>
        <v>0.14814814814814814</v>
      </c>
    </row>
    <row r="29" spans="1:20" s="15" customFormat="1" x14ac:dyDescent="0.15">
      <c r="A29" s="81" t="s">
        <v>58</v>
      </c>
      <c r="B29" s="42"/>
      <c r="C29" s="41"/>
      <c r="D29" s="41"/>
      <c r="E29" s="41"/>
      <c r="F29" s="42"/>
      <c r="G29" s="41"/>
      <c r="H29" s="41"/>
      <c r="I29" s="41"/>
      <c r="J29" s="42">
        <f t="shared" si="50"/>
        <v>1.3363095238095237</v>
      </c>
      <c r="K29" s="41">
        <f t="shared" si="50"/>
        <v>0.26300578034682087</v>
      </c>
      <c r="L29" s="41">
        <f t="shared" si="50"/>
        <v>0.27175368139223566</v>
      </c>
      <c r="M29" s="41">
        <f t="shared" si="50"/>
        <v>-2.6239067055393583E-2</v>
      </c>
      <c r="N29" s="42">
        <f t="shared" si="50"/>
        <v>-0.35350318471337583</v>
      </c>
      <c r="O29" s="41">
        <f t="shared" si="50"/>
        <v>0.22425629290617843</v>
      </c>
      <c r="P29" s="41">
        <f t="shared" si="50"/>
        <v>0.13684210526315788</v>
      </c>
      <c r="Q29" s="41">
        <f t="shared" si="50"/>
        <v>5.7884231536926123E-2</v>
      </c>
      <c r="R29" s="42">
        <f t="shared" si="50"/>
        <v>2.4630541871921263E-2</v>
      </c>
      <c r="S29" s="41">
        <f t="shared" si="50"/>
        <v>-3.7383177570093462E-2</v>
      </c>
    </row>
    <row r="30" spans="1:20" s="15" customFormat="1" x14ac:dyDescent="0.15">
      <c r="A30" s="81" t="s">
        <v>59</v>
      </c>
      <c r="B30" s="42"/>
      <c r="C30" s="41"/>
      <c r="D30" s="41"/>
      <c r="E30" s="41"/>
      <c r="F30" s="42"/>
      <c r="G30" s="41"/>
      <c r="H30" s="41"/>
      <c r="I30" s="41"/>
      <c r="J30" s="42">
        <f t="shared" si="50"/>
        <v>3.0287539936102235</v>
      </c>
      <c r="K30" s="41">
        <f t="shared" si="50"/>
        <v>0.18009478672985768</v>
      </c>
      <c r="L30" s="41">
        <f t="shared" si="50"/>
        <v>0.28282828282828265</v>
      </c>
      <c r="M30" s="41">
        <f t="shared" si="50"/>
        <v>0.27828054298642524</v>
      </c>
      <c r="N30" s="42">
        <f t="shared" si="50"/>
        <v>-0.54797779540047586</v>
      </c>
      <c r="O30" s="41">
        <f t="shared" si="50"/>
        <v>0.26506024096385539</v>
      </c>
      <c r="P30" s="41">
        <f t="shared" si="50"/>
        <v>0.20078740157480324</v>
      </c>
      <c r="Q30" s="41">
        <f t="shared" si="50"/>
        <v>0.15044247787610621</v>
      </c>
      <c r="R30" s="42">
        <f t="shared" si="50"/>
        <v>-0.31578947368421051</v>
      </c>
      <c r="S30" s="41">
        <f t="shared" si="50"/>
        <v>1.5873015873015817E-2</v>
      </c>
    </row>
    <row r="31" spans="1:20" x14ac:dyDescent="0.15">
      <c r="B31" s="43"/>
      <c r="C31" s="30"/>
      <c r="D31" s="30"/>
      <c r="E31" s="30"/>
      <c r="F31" s="43"/>
      <c r="G31" s="30"/>
      <c r="H31" s="30"/>
      <c r="I31" s="30"/>
      <c r="J31" s="43"/>
      <c r="K31" s="30"/>
      <c r="L31" s="30"/>
      <c r="M31" s="30"/>
      <c r="N31" s="43"/>
      <c r="O31" s="30"/>
      <c r="P31" s="30"/>
      <c r="Q31" s="30"/>
      <c r="R31" s="43"/>
    </row>
    <row r="32" spans="1:20" s="76" customFormat="1" x14ac:dyDescent="0.15">
      <c r="A32" s="83" t="s">
        <v>33</v>
      </c>
      <c r="B32" s="7"/>
      <c r="C32" s="5"/>
      <c r="D32" s="5"/>
      <c r="E32" s="5"/>
      <c r="F32" s="31">
        <f t="shared" ref="F32:G32" si="51">F33-F34</f>
        <v>0</v>
      </c>
      <c r="G32" s="32">
        <f t="shared" si="51"/>
        <v>0</v>
      </c>
      <c r="H32" s="32">
        <f t="shared" ref="H32:M32" si="52">H33-H34</f>
        <v>0</v>
      </c>
      <c r="I32" s="32">
        <f t="shared" si="52"/>
        <v>430</v>
      </c>
      <c r="J32" s="31">
        <f t="shared" si="52"/>
        <v>846</v>
      </c>
      <c r="K32" s="32">
        <f t="shared" si="52"/>
        <v>981.8</v>
      </c>
      <c r="L32" s="32">
        <f t="shared" si="52"/>
        <v>1039</v>
      </c>
      <c r="M32" s="32">
        <f t="shared" si="52"/>
        <v>1089.3</v>
      </c>
      <c r="N32" s="31">
        <f t="shared" ref="N32:O32" si="53">N33-N34</f>
        <v>915.2</v>
      </c>
      <c r="O32" s="32">
        <f t="shared" si="53"/>
        <v>973</v>
      </c>
      <c r="P32" s="32">
        <f t="shared" ref="P32:S32" si="54">P33-P34</f>
        <v>1031</v>
      </c>
      <c r="Q32" s="32">
        <f t="shared" si="54"/>
        <v>1159</v>
      </c>
      <c r="R32" s="31">
        <f t="shared" si="54"/>
        <v>1100</v>
      </c>
      <c r="S32" s="32">
        <f t="shared" si="54"/>
        <v>1118</v>
      </c>
    </row>
    <row r="33" spans="1:19" s="53" customFormat="1" x14ac:dyDescent="0.15">
      <c r="A33" s="84" t="s">
        <v>34</v>
      </c>
      <c r="B33" s="7"/>
      <c r="C33" s="5"/>
      <c r="D33" s="5"/>
      <c r="E33" s="5"/>
      <c r="F33" s="7">
        <v>0</v>
      </c>
      <c r="G33" s="5">
        <v>0</v>
      </c>
      <c r="H33" s="5">
        <v>0</v>
      </c>
      <c r="I33" s="5">
        <v>430</v>
      </c>
      <c r="J33" s="7">
        <f>665.3+180.7</f>
        <v>846</v>
      </c>
      <c r="K33" s="5">
        <f>504.1+477.7</f>
        <v>981.8</v>
      </c>
      <c r="L33" s="5">
        <f>536+503</f>
        <v>1039</v>
      </c>
      <c r="M33" s="24">
        <f>519.3+570</f>
        <v>1089.3</v>
      </c>
      <c r="N33" s="7">
        <f>359.2+556</f>
        <v>915.2</v>
      </c>
      <c r="O33" s="5">
        <f>344+629</f>
        <v>973</v>
      </c>
      <c r="P33" s="5">
        <f>443+588</f>
        <v>1031</v>
      </c>
      <c r="Q33" s="5">
        <f>551+608</f>
        <v>1159</v>
      </c>
      <c r="R33" s="7">
        <f>486+614</f>
        <v>1100</v>
      </c>
      <c r="S33" s="53">
        <f>334+784</f>
        <v>1118</v>
      </c>
    </row>
    <row r="34" spans="1:19" s="53" customFormat="1" x14ac:dyDescent="0.15">
      <c r="A34" s="84" t="s">
        <v>35</v>
      </c>
      <c r="B34" s="7"/>
      <c r="C34" s="5"/>
      <c r="D34" s="5"/>
      <c r="E34" s="5"/>
      <c r="F34" s="7">
        <v>0</v>
      </c>
      <c r="G34" s="5">
        <v>0</v>
      </c>
      <c r="H34" s="5">
        <v>0</v>
      </c>
      <c r="I34" s="5">
        <v>0</v>
      </c>
      <c r="J34" s="7">
        <v>0</v>
      </c>
      <c r="K34" s="5">
        <v>0</v>
      </c>
      <c r="L34" s="5">
        <v>0</v>
      </c>
      <c r="M34" s="24">
        <v>0</v>
      </c>
      <c r="N34" s="7">
        <v>0</v>
      </c>
      <c r="O34" s="5">
        <v>0</v>
      </c>
      <c r="P34" s="5">
        <v>0</v>
      </c>
      <c r="Q34" s="5">
        <v>0</v>
      </c>
      <c r="R34" s="7">
        <v>0</v>
      </c>
      <c r="S34" s="53">
        <v>0</v>
      </c>
    </row>
    <row r="35" spans="1:19" s="53" customFormat="1" x14ac:dyDescent="0.15">
      <c r="A35" s="84"/>
      <c r="B35" s="7"/>
      <c r="C35" s="5"/>
      <c r="D35" s="5"/>
      <c r="E35" s="5"/>
      <c r="F35" s="7"/>
      <c r="G35" s="5"/>
      <c r="H35" s="5"/>
      <c r="I35" s="5"/>
      <c r="J35" s="7"/>
      <c r="K35" s="5"/>
      <c r="L35" s="5"/>
      <c r="M35" s="24"/>
      <c r="N35" s="7"/>
      <c r="O35" s="5"/>
      <c r="P35" s="5"/>
      <c r="Q35" s="5"/>
      <c r="R35" s="7"/>
    </row>
    <row r="36" spans="1:19" s="53" customFormat="1" x14ac:dyDescent="0.15">
      <c r="A36" s="84" t="s">
        <v>69</v>
      </c>
      <c r="B36" s="7"/>
      <c r="C36" s="6"/>
      <c r="D36" s="6"/>
      <c r="E36" s="6"/>
      <c r="F36" s="7"/>
      <c r="G36" s="6"/>
      <c r="H36" s="6"/>
      <c r="I36" s="6">
        <f>17+99</f>
        <v>116</v>
      </c>
      <c r="J36" s="7">
        <f>18+99</f>
        <v>117</v>
      </c>
      <c r="K36" s="6">
        <f>16+98</f>
        <v>114</v>
      </c>
      <c r="L36" s="6">
        <f>15+98</f>
        <v>113</v>
      </c>
      <c r="M36" s="6">
        <f>14.7+96.5</f>
        <v>111.2</v>
      </c>
      <c r="N36" s="7">
        <f>57.4+230.4</f>
        <v>287.8</v>
      </c>
      <c r="O36" s="6">
        <f>54+231</f>
        <v>285</v>
      </c>
      <c r="P36" s="6">
        <f>50+232</f>
        <v>282</v>
      </c>
      <c r="Q36" s="6">
        <f>47+235</f>
        <v>282</v>
      </c>
      <c r="R36" s="7">
        <f>44+233</f>
        <v>277</v>
      </c>
      <c r="S36" s="53">
        <f>235+41</f>
        <v>276</v>
      </c>
    </row>
    <row r="37" spans="1:19" s="53" customFormat="1" x14ac:dyDescent="0.15">
      <c r="A37" s="84" t="s">
        <v>70</v>
      </c>
      <c r="B37" s="7"/>
      <c r="C37" s="6"/>
      <c r="D37" s="6"/>
      <c r="E37" s="6"/>
      <c r="F37" s="7"/>
      <c r="G37" s="6"/>
      <c r="H37" s="6"/>
      <c r="I37" s="6">
        <v>1020</v>
      </c>
      <c r="J37" s="7">
        <v>1439</v>
      </c>
      <c r="K37" s="6">
        <v>1602</v>
      </c>
      <c r="L37" s="6">
        <v>1623</v>
      </c>
      <c r="M37" s="6">
        <v>1694.1</v>
      </c>
      <c r="N37" s="7">
        <v>2128.6</v>
      </c>
      <c r="O37" s="6">
        <v>2365</v>
      </c>
      <c r="P37" s="6">
        <v>2487</v>
      </c>
      <c r="Q37" s="6">
        <v>2699</v>
      </c>
      <c r="R37" s="7">
        <v>2717</v>
      </c>
      <c r="S37" s="53">
        <v>2742</v>
      </c>
    </row>
    <row r="38" spans="1:19" s="53" customFormat="1" x14ac:dyDescent="0.15">
      <c r="A38" s="84" t="s">
        <v>71</v>
      </c>
      <c r="B38" s="7"/>
      <c r="C38" s="6"/>
      <c r="D38" s="6"/>
      <c r="E38" s="6"/>
      <c r="F38" s="7"/>
      <c r="G38" s="6"/>
      <c r="H38" s="6"/>
      <c r="I38" s="6">
        <v>917</v>
      </c>
      <c r="J38" s="7">
        <v>929</v>
      </c>
      <c r="K38" s="6">
        <v>972</v>
      </c>
      <c r="L38" s="6">
        <v>978</v>
      </c>
      <c r="M38" s="6">
        <v>1017.3</v>
      </c>
      <c r="N38" s="7">
        <v>1423.7</v>
      </c>
      <c r="O38" s="6">
        <v>1635</v>
      </c>
      <c r="P38" s="6">
        <v>1724</v>
      </c>
      <c r="Q38" s="6">
        <v>1891</v>
      </c>
      <c r="R38" s="7">
        <v>1917</v>
      </c>
      <c r="S38" s="53">
        <v>1939</v>
      </c>
    </row>
    <row r="39" spans="1:19" s="53" customFormat="1" x14ac:dyDescent="0.15">
      <c r="A39" s="84"/>
      <c r="B39" s="7"/>
      <c r="C39" s="6"/>
      <c r="D39" s="6"/>
      <c r="E39" s="6"/>
      <c r="F39" s="7"/>
      <c r="G39" s="6"/>
      <c r="H39" s="6"/>
      <c r="I39" s="6"/>
      <c r="J39" s="7"/>
      <c r="K39" s="6"/>
      <c r="L39" s="6"/>
      <c r="M39" s="6"/>
      <c r="N39" s="7"/>
      <c r="O39" s="6"/>
      <c r="P39" s="6"/>
      <c r="Q39" s="6"/>
      <c r="R39" s="7"/>
    </row>
    <row r="40" spans="1:19" s="53" customFormat="1" x14ac:dyDescent="0.15">
      <c r="A40" s="84" t="s">
        <v>72</v>
      </c>
      <c r="B40" s="7"/>
      <c r="C40" s="6"/>
      <c r="D40" s="6"/>
      <c r="E40" s="6"/>
      <c r="F40" s="7"/>
      <c r="G40" s="6"/>
      <c r="H40" s="6"/>
      <c r="I40" s="77">
        <f t="shared" ref="I40:N40" si="55">I37-I36-I33</f>
        <v>474</v>
      </c>
      <c r="J40" s="33">
        <f t="shared" si="55"/>
        <v>476</v>
      </c>
      <c r="K40" s="77">
        <f t="shared" si="55"/>
        <v>506.20000000000005</v>
      </c>
      <c r="L40" s="77">
        <f t="shared" si="55"/>
        <v>471</v>
      </c>
      <c r="M40" s="77">
        <f t="shared" si="55"/>
        <v>493.59999999999991</v>
      </c>
      <c r="N40" s="33">
        <f t="shared" si="55"/>
        <v>925.59999999999991</v>
      </c>
      <c r="O40" s="77">
        <f t="shared" ref="O40:P40" si="56">O37-O36-O33</f>
        <v>1107</v>
      </c>
      <c r="P40" s="77">
        <f t="shared" si="56"/>
        <v>1174</v>
      </c>
      <c r="Q40" s="77">
        <f t="shared" ref="Q40:S40" si="57">Q37-Q36-Q33</f>
        <v>1258</v>
      </c>
      <c r="R40" s="33">
        <f t="shared" si="57"/>
        <v>1340</v>
      </c>
      <c r="S40" s="77">
        <f>S37-S36-S33</f>
        <v>1348</v>
      </c>
    </row>
    <row r="41" spans="1:19" s="53" customFormat="1" x14ac:dyDescent="0.15">
      <c r="A41" s="84" t="s">
        <v>73</v>
      </c>
      <c r="B41" s="7"/>
      <c r="C41" s="6"/>
      <c r="D41" s="6"/>
      <c r="E41" s="6"/>
      <c r="F41" s="7"/>
      <c r="G41" s="6"/>
      <c r="H41" s="6"/>
      <c r="I41" s="77">
        <f t="shared" ref="I41:N41" si="58">I37-I38</f>
        <v>103</v>
      </c>
      <c r="J41" s="33">
        <f t="shared" si="58"/>
        <v>510</v>
      </c>
      <c r="K41" s="77">
        <f t="shared" si="58"/>
        <v>630</v>
      </c>
      <c r="L41" s="77">
        <f t="shared" si="58"/>
        <v>645</v>
      </c>
      <c r="M41" s="77">
        <f t="shared" si="58"/>
        <v>676.8</v>
      </c>
      <c r="N41" s="33">
        <f t="shared" si="58"/>
        <v>704.89999999999986</v>
      </c>
      <c r="O41" s="77">
        <f t="shared" ref="O41:P41" si="59">O37-O38</f>
        <v>730</v>
      </c>
      <c r="P41" s="77">
        <f t="shared" si="59"/>
        <v>763</v>
      </c>
      <c r="Q41" s="77">
        <f t="shared" ref="Q41:S41" si="60">Q37-Q38</f>
        <v>808</v>
      </c>
      <c r="R41" s="33">
        <f t="shared" si="60"/>
        <v>800</v>
      </c>
      <c r="S41" s="77">
        <f>S37-S38</f>
        <v>803</v>
      </c>
    </row>
    <row r="42" spans="1:19" x14ac:dyDescent="0.15">
      <c r="O42" s="4"/>
      <c r="P42" s="4"/>
      <c r="Q42" s="4"/>
    </row>
    <row r="43" spans="1:19" x14ac:dyDescent="0.15">
      <c r="A43" s="81" t="s">
        <v>74</v>
      </c>
      <c r="I43" s="69"/>
      <c r="J43" s="70"/>
      <c r="K43" s="69"/>
      <c r="L43" s="69"/>
      <c r="N43" s="70"/>
      <c r="O43" s="69"/>
      <c r="P43" s="69"/>
      <c r="Q43" s="69"/>
      <c r="R43" s="70">
        <f>R19/R41</f>
        <v>4.8750000000000002E-2</v>
      </c>
      <c r="S43" s="78">
        <f>S19/S41</f>
        <v>2.1170610211706076E-2</v>
      </c>
    </row>
    <row r="44" spans="1:19" x14ac:dyDescent="0.15">
      <c r="A44" s="81" t="s">
        <v>75</v>
      </c>
      <c r="I44" s="69"/>
      <c r="J44" s="70"/>
      <c r="K44" s="69"/>
      <c r="L44" s="69"/>
      <c r="N44" s="70"/>
      <c r="O44" s="69"/>
      <c r="P44" s="69"/>
      <c r="Q44" s="69"/>
      <c r="R44" s="70">
        <f>R19/R37</f>
        <v>1.4354066985645933E-2</v>
      </c>
      <c r="S44" s="78">
        <f>S19/S37</f>
        <v>6.1998541210794966E-3</v>
      </c>
    </row>
    <row r="45" spans="1:19" x14ac:dyDescent="0.15">
      <c r="A45" s="81" t="s">
        <v>76</v>
      </c>
      <c r="I45" s="69"/>
      <c r="J45" s="70"/>
      <c r="K45" s="69"/>
      <c r="L45" s="69"/>
      <c r="N45" s="70"/>
      <c r="O45" s="69"/>
      <c r="P45" s="69"/>
      <c r="Q45" s="69"/>
      <c r="R45" s="70">
        <f>R19/(R41-R36)</f>
        <v>7.4569789674952203E-2</v>
      </c>
      <c r="S45" s="78">
        <f>S19/(S41-S36)</f>
        <v>3.225806451612899E-2</v>
      </c>
    </row>
    <row r="46" spans="1:19" x14ac:dyDescent="0.15">
      <c r="A46" s="81" t="s">
        <v>77</v>
      </c>
      <c r="I46" s="69"/>
      <c r="J46" s="70"/>
      <c r="K46" s="69"/>
      <c r="L46" s="69"/>
      <c r="N46" s="70"/>
      <c r="O46" s="69"/>
      <c r="P46" s="69"/>
      <c r="Q46" s="69"/>
      <c r="R46" s="70">
        <f>R19/R40</f>
        <v>2.9104477611940297E-2</v>
      </c>
      <c r="S46" s="78">
        <f>S19/S40</f>
        <v>1.2611275964391676E-2</v>
      </c>
    </row>
    <row r="47" spans="1:19" x14ac:dyDescent="0.15">
      <c r="O47" s="4"/>
      <c r="P47" s="4"/>
      <c r="Q47" s="4"/>
    </row>
    <row r="48" spans="1:19" x14ac:dyDescent="0.15">
      <c r="A48" s="81" t="s">
        <v>78</v>
      </c>
      <c r="F48" s="70">
        <f>F3/B3-1</f>
        <v>0.34000000000000008</v>
      </c>
      <c r="G48" s="69">
        <f>G3/C3-1</f>
        <v>0.32818725099601576</v>
      </c>
      <c r="H48" s="69">
        <f>H3/D3-1</f>
        <v>0.29728506787330322</v>
      </c>
      <c r="I48" s="69">
        <f>I3/E3-1</f>
        <v>0.28361344537815136</v>
      </c>
      <c r="J48" s="70">
        <f t="shared" ref="J48:K48" si="61">J3/F3-1</f>
        <v>0.27591770875352961</v>
      </c>
      <c r="K48" s="69">
        <f t="shared" si="61"/>
        <v>0.27184101987251585</v>
      </c>
      <c r="L48" s="69">
        <f t="shared" ref="L48:S48" si="62">L3/H3-1</f>
        <v>0.25671433554237888</v>
      </c>
      <c r="M48" s="69">
        <f t="shared" si="62"/>
        <v>0.23044189852700492</v>
      </c>
      <c r="N48" s="70">
        <f t="shared" si="62"/>
        <v>0.21909579513120447</v>
      </c>
      <c r="O48" s="69">
        <f t="shared" si="62"/>
        <v>0.1836674528301887</v>
      </c>
      <c r="P48" s="69">
        <f t="shared" si="62"/>
        <v>0.18789897307799053</v>
      </c>
      <c r="Q48" s="69">
        <f t="shared" si="62"/>
        <v>0.18648576749135426</v>
      </c>
      <c r="R48" s="70">
        <f t="shared" si="62"/>
        <v>0.17997925311203322</v>
      </c>
      <c r="S48" s="69">
        <f t="shared" si="62"/>
        <v>0.16413449564134486</v>
      </c>
    </row>
    <row r="49" spans="1:19" x14ac:dyDescent="0.15">
      <c r="M49" s="48"/>
      <c r="O49" s="4"/>
      <c r="P49" s="4"/>
      <c r="Q49" s="4"/>
      <c r="S49" s="4"/>
    </row>
    <row r="50" spans="1:19" x14ac:dyDescent="0.15">
      <c r="A50" s="81" t="s">
        <v>66</v>
      </c>
      <c r="B50" s="45"/>
      <c r="C50" s="49"/>
      <c r="D50" s="49"/>
      <c r="E50" s="49"/>
      <c r="F50" s="45"/>
      <c r="G50" s="49"/>
      <c r="H50" s="49"/>
      <c r="I50" s="49">
        <f>I5/E5-1</f>
        <v>0.25</v>
      </c>
      <c r="J50" s="45">
        <f t="shared" ref="J50:K50" si="63">J5/F5-1</f>
        <v>0.23655913978494625</v>
      </c>
      <c r="K50" s="49">
        <f t="shared" si="63"/>
        <v>0.20202020202020199</v>
      </c>
      <c r="L50" s="49">
        <f t="shared" ref="L50:S50" si="64">L5/H5-1</f>
        <v>0.18269230769230771</v>
      </c>
      <c r="M50" s="49">
        <f t="shared" si="64"/>
        <v>0.15454545454545454</v>
      </c>
      <c r="N50" s="45">
        <f t="shared" si="64"/>
        <v>0.14782608695652177</v>
      </c>
      <c r="O50" s="49">
        <f t="shared" si="64"/>
        <v>0.14285714285714279</v>
      </c>
      <c r="P50" s="49">
        <f t="shared" si="64"/>
        <v>0.13821138211382111</v>
      </c>
      <c r="Q50" s="49">
        <f t="shared" si="64"/>
        <v>0.12598425196850416</v>
      </c>
      <c r="R50" s="45">
        <f t="shared" si="64"/>
        <v>0.10606060606060619</v>
      </c>
      <c r="S50" s="49">
        <f t="shared" si="64"/>
        <v>0.10294117647058831</v>
      </c>
    </row>
    <row r="51" spans="1:19" x14ac:dyDescent="0.15">
      <c r="A51" s="81" t="s">
        <v>61</v>
      </c>
      <c r="B51" s="45"/>
      <c r="C51" s="44"/>
      <c r="D51" s="44"/>
      <c r="E51" s="44"/>
      <c r="F51" s="45"/>
      <c r="G51" s="44"/>
      <c r="H51" s="44"/>
      <c r="I51" s="44">
        <f>I6/E6-1</f>
        <v>2.6890756302521135E-2</v>
      </c>
      <c r="J51" s="45">
        <f t="shared" ref="J51:S51" si="65">J6/F6-1</f>
        <v>3.1829103600680586E-2</v>
      </c>
      <c r="K51" s="44">
        <f t="shared" si="65"/>
        <v>5.8086226616630876E-2</v>
      </c>
      <c r="L51" s="44">
        <f t="shared" si="65"/>
        <v>6.2587730865100832E-2</v>
      </c>
      <c r="M51" s="44">
        <f>M6/I6-1</f>
        <v>6.5737077464334881E-2</v>
      </c>
      <c r="N51" s="45">
        <f t="shared" si="65"/>
        <v>6.2091033637034387E-2</v>
      </c>
      <c r="O51" s="44">
        <f t="shared" si="65"/>
        <v>3.5709021226415283E-2</v>
      </c>
      <c r="P51" s="44">
        <f t="shared" si="65"/>
        <v>4.3654097775663203E-2</v>
      </c>
      <c r="Q51" s="44">
        <f t="shared" si="65"/>
        <v>5.3732115184629059E-2</v>
      </c>
      <c r="R51" s="45">
        <f t="shared" si="65"/>
        <v>6.6830557608139607E-2</v>
      </c>
      <c r="S51" s="44">
        <f t="shared" si="65"/>
        <v>5.5481942714819432E-2</v>
      </c>
    </row>
    <row r="52" spans="1:19" x14ac:dyDescent="0.15">
      <c r="M52" s="48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workbookViewId="0">
      <selection activeCell="C9" sqref="C9"/>
    </sheetView>
  </sheetViews>
  <sheetFormatPr baseColWidth="10" defaultRowHeight="13" x14ac:dyDescent="0.15"/>
  <cols>
    <col min="1" max="1" width="10.83203125" style="3"/>
    <col min="2" max="2" width="9.1640625" style="3" bestFit="1" customWidth="1"/>
    <col min="3" max="3" width="20" style="3" bestFit="1" customWidth="1"/>
    <col min="4" max="16384" width="10.83203125" style="3"/>
  </cols>
  <sheetData>
    <row r="4" spans="2:3" x14ac:dyDescent="0.15">
      <c r="B4" s="15" t="s">
        <v>96</v>
      </c>
    </row>
    <row r="6" spans="2:3" x14ac:dyDescent="0.15">
      <c r="B6" s="3" t="s">
        <v>80</v>
      </c>
      <c r="C6" s="3" t="s">
        <v>97</v>
      </c>
    </row>
    <row r="7" spans="2:3" x14ac:dyDescent="0.15">
      <c r="B7" s="3" t="s">
        <v>79</v>
      </c>
      <c r="C7" s="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2020-08-27T12:20:48Z</dcterms:modified>
</cp:coreProperties>
</file>