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79AA487B-04E7-194A-AC13-530F473ADE7F}" xr6:coauthVersionLast="45" xr6:coauthVersionMax="45" xr10:uidLastSave="{00000000-0000-0000-0000-000000000000}"/>
  <bookViews>
    <workbookView xWindow="4700" yWindow="1440" windowWidth="22580" windowHeight="187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5" i="2" l="1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F4" i="2" l="1"/>
  <c r="D13" i="2"/>
  <c r="E14" i="2"/>
  <c r="E13" i="2"/>
  <c r="F13" i="2" s="1"/>
  <c r="E12" i="2"/>
  <c r="F12" i="2" s="1"/>
  <c r="E11" i="2"/>
  <c r="F11" i="2" s="1"/>
  <c r="F55" i="2" s="1"/>
  <c r="Q9" i="1"/>
  <c r="P9" i="1"/>
  <c r="O9" i="1"/>
  <c r="O11" i="1" s="1"/>
  <c r="F14" i="2"/>
  <c r="G14" i="2" s="1"/>
  <c r="H14" i="2" s="1"/>
  <c r="I14" i="2" s="1"/>
  <c r="J14" i="2" s="1"/>
  <c r="N9" i="1"/>
  <c r="E10" i="2"/>
  <c r="F10" i="2" s="1"/>
  <c r="C3" i="2"/>
  <c r="C4" i="2" s="1"/>
  <c r="R35" i="1"/>
  <c r="R33" i="1"/>
  <c r="R37" i="1" s="1"/>
  <c r="R31" i="1"/>
  <c r="R29" i="1" s="1"/>
  <c r="C5" i="2" s="1"/>
  <c r="R30" i="1"/>
  <c r="R15" i="1"/>
  <c r="R12" i="1"/>
  <c r="R10" i="1"/>
  <c r="M9" i="1"/>
  <c r="R6" i="1"/>
  <c r="R49" i="1" s="1"/>
  <c r="R48" i="1"/>
  <c r="R47" i="1"/>
  <c r="R46" i="1"/>
  <c r="R13" i="1"/>
  <c r="R38" i="1"/>
  <c r="E38" i="2"/>
  <c r="E39" i="2"/>
  <c r="E24" i="2"/>
  <c r="E27" i="2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C13" i="2"/>
  <c r="B13" i="2"/>
  <c r="E42" i="2"/>
  <c r="D42" i="2"/>
  <c r="D27" i="2"/>
  <c r="D12" i="2"/>
  <c r="D11" i="2"/>
  <c r="D10" i="2"/>
  <c r="D16" i="2" s="1"/>
  <c r="C43" i="2"/>
  <c r="C42" i="2"/>
  <c r="C46" i="2" s="1"/>
  <c r="C41" i="2"/>
  <c r="C38" i="2"/>
  <c r="C27" i="2"/>
  <c r="C12" i="2"/>
  <c r="D56" i="2" s="1"/>
  <c r="C11" i="2"/>
  <c r="C10" i="2"/>
  <c r="B39" i="2"/>
  <c r="B43" i="2"/>
  <c r="B42" i="2"/>
  <c r="B41" i="2"/>
  <c r="B27" i="2"/>
  <c r="B11" i="2"/>
  <c r="B10" i="2"/>
  <c r="I49" i="1"/>
  <c r="Q49" i="1"/>
  <c r="P49" i="1"/>
  <c r="O49" i="1"/>
  <c r="N49" i="1"/>
  <c r="M49" i="1"/>
  <c r="L49" i="1"/>
  <c r="K49" i="1"/>
  <c r="J49" i="1"/>
  <c r="H49" i="1"/>
  <c r="G49" i="1"/>
  <c r="F49" i="1"/>
  <c r="F46" i="1"/>
  <c r="E17" i="1"/>
  <c r="B24" i="2" s="1"/>
  <c r="I17" i="1"/>
  <c r="C24" i="2" s="1"/>
  <c r="I9" i="1"/>
  <c r="I26" i="1" s="1"/>
  <c r="E5" i="1"/>
  <c r="I48" i="1" s="1"/>
  <c r="E9" i="1"/>
  <c r="B15" i="1"/>
  <c r="B12" i="1"/>
  <c r="B10" i="1"/>
  <c r="B5" i="1"/>
  <c r="B9" i="1"/>
  <c r="D9" i="1"/>
  <c r="D11" i="1" s="1"/>
  <c r="C9" i="1"/>
  <c r="F35" i="1"/>
  <c r="F33" i="1"/>
  <c r="F31" i="1"/>
  <c r="F30" i="1"/>
  <c r="F37" i="1" s="1"/>
  <c r="F15" i="1"/>
  <c r="F12" i="1"/>
  <c r="I12" i="1" s="1"/>
  <c r="F10" i="1"/>
  <c r="I10" i="1" s="1"/>
  <c r="F9" i="1"/>
  <c r="F11" i="1" s="1"/>
  <c r="H35" i="1"/>
  <c r="H33" i="1"/>
  <c r="H31" i="1"/>
  <c r="H30" i="1"/>
  <c r="E35" i="1"/>
  <c r="E33" i="1"/>
  <c r="E31" i="1"/>
  <c r="E30" i="1"/>
  <c r="B38" i="2" s="1"/>
  <c r="G35" i="1"/>
  <c r="G33" i="1"/>
  <c r="G31" i="1"/>
  <c r="G30" i="1"/>
  <c r="C11" i="1"/>
  <c r="C22" i="1" s="1"/>
  <c r="C15" i="1"/>
  <c r="C12" i="1"/>
  <c r="C13" i="1" s="1"/>
  <c r="C14" i="1" s="1"/>
  <c r="C10" i="1"/>
  <c r="G15" i="1"/>
  <c r="G12" i="1"/>
  <c r="G10" i="1"/>
  <c r="G9" i="1"/>
  <c r="J35" i="1"/>
  <c r="J33" i="1"/>
  <c r="J31" i="1"/>
  <c r="J30" i="1"/>
  <c r="J37" i="1" s="1"/>
  <c r="K35" i="1"/>
  <c r="K38" i="1" s="1"/>
  <c r="K33" i="1"/>
  <c r="K31" i="1"/>
  <c r="K30" i="1"/>
  <c r="K37" i="1" s="1"/>
  <c r="I35" i="1"/>
  <c r="I33" i="1"/>
  <c r="I31" i="1"/>
  <c r="C39" i="2" s="1"/>
  <c r="I30" i="1"/>
  <c r="L35" i="1"/>
  <c r="L33" i="1"/>
  <c r="L31" i="1"/>
  <c r="L30" i="1"/>
  <c r="D15" i="1"/>
  <c r="D12" i="1"/>
  <c r="H27" i="1" s="1"/>
  <c r="D10" i="1"/>
  <c r="H15" i="1"/>
  <c r="H12" i="1"/>
  <c r="H10" i="1"/>
  <c r="H9" i="1"/>
  <c r="N10" i="1"/>
  <c r="N11" i="1"/>
  <c r="N12" i="1"/>
  <c r="R27" i="1" s="1"/>
  <c r="N15" i="1"/>
  <c r="O10" i="1"/>
  <c r="Q10" i="1" s="1"/>
  <c r="O12" i="1"/>
  <c r="O27" i="1" s="1"/>
  <c r="O13" i="1"/>
  <c r="O15" i="1"/>
  <c r="P10" i="1"/>
  <c r="P11" i="1" s="1"/>
  <c r="P12" i="1"/>
  <c r="P13" i="1"/>
  <c r="P15" i="1"/>
  <c r="Q17" i="1"/>
  <c r="M17" i="1"/>
  <c r="D24" i="2" s="1"/>
  <c r="J15" i="1"/>
  <c r="D22" i="2" s="1"/>
  <c r="K15" i="1"/>
  <c r="L15" i="1"/>
  <c r="M15" i="1"/>
  <c r="J12" i="1"/>
  <c r="M12" i="1" s="1"/>
  <c r="K12" i="1"/>
  <c r="L12" i="1"/>
  <c r="J10" i="1"/>
  <c r="K10" i="1"/>
  <c r="L10" i="1"/>
  <c r="M10" i="1" s="1"/>
  <c r="M11" i="1" s="1"/>
  <c r="J9" i="1"/>
  <c r="J26" i="1" s="1"/>
  <c r="J11" i="1"/>
  <c r="J22" i="1" s="1"/>
  <c r="K9" i="1"/>
  <c r="K11" i="1" s="1"/>
  <c r="K13" i="1"/>
  <c r="L9" i="1"/>
  <c r="L13" i="1"/>
  <c r="N35" i="1"/>
  <c r="N38" i="1" s="1"/>
  <c r="N33" i="1"/>
  <c r="N31" i="1"/>
  <c r="N30" i="1"/>
  <c r="N29" i="1" s="1"/>
  <c r="O35" i="1"/>
  <c r="O33" i="1"/>
  <c r="O31" i="1"/>
  <c r="O29" i="1" s="1"/>
  <c r="O30" i="1"/>
  <c r="P35" i="1"/>
  <c r="P33" i="1"/>
  <c r="P31" i="1"/>
  <c r="P30" i="1"/>
  <c r="M35" i="1"/>
  <c r="D43" i="2" s="1"/>
  <c r="M33" i="1"/>
  <c r="D41" i="2" s="1"/>
  <c r="D52" i="2" s="1"/>
  <c r="M31" i="1"/>
  <c r="D39" i="2" s="1"/>
  <c r="M30" i="1"/>
  <c r="D38" i="2" s="1"/>
  <c r="Q35" i="1"/>
  <c r="Q38" i="1" s="1"/>
  <c r="Q33" i="1"/>
  <c r="E41" i="2" s="1"/>
  <c r="Q31" i="1"/>
  <c r="Q30" i="1"/>
  <c r="Q37" i="1" s="1"/>
  <c r="Q48" i="1"/>
  <c r="Q47" i="1"/>
  <c r="Q46" i="1"/>
  <c r="Q29" i="1"/>
  <c r="Q26" i="1"/>
  <c r="P29" i="1"/>
  <c r="P48" i="1"/>
  <c r="O48" i="1"/>
  <c r="N48" i="1"/>
  <c r="M48" i="1"/>
  <c r="L48" i="1"/>
  <c r="K48" i="1"/>
  <c r="J48" i="1"/>
  <c r="H48" i="1"/>
  <c r="G48" i="1"/>
  <c r="P47" i="1"/>
  <c r="O47" i="1"/>
  <c r="N47" i="1"/>
  <c r="M47" i="1"/>
  <c r="L47" i="1"/>
  <c r="K47" i="1"/>
  <c r="J47" i="1"/>
  <c r="I47" i="1"/>
  <c r="H47" i="1"/>
  <c r="G47" i="1"/>
  <c r="P46" i="1"/>
  <c r="O46" i="1"/>
  <c r="N46" i="1"/>
  <c r="M46" i="1"/>
  <c r="L46" i="1"/>
  <c r="K46" i="1"/>
  <c r="J46" i="1"/>
  <c r="I46" i="1"/>
  <c r="H46" i="1"/>
  <c r="G46" i="1"/>
  <c r="F48" i="1"/>
  <c r="F47" i="1"/>
  <c r="E56" i="2"/>
  <c r="E55" i="2"/>
  <c r="E37" i="1"/>
  <c r="E38" i="1"/>
  <c r="P38" i="1"/>
  <c r="L38" i="1"/>
  <c r="I38" i="1"/>
  <c r="H38" i="1"/>
  <c r="P37" i="1"/>
  <c r="G11" i="1"/>
  <c r="G13" i="1"/>
  <c r="G14" i="1" s="1"/>
  <c r="H11" i="1"/>
  <c r="H22" i="1" s="1"/>
  <c r="H13" i="1"/>
  <c r="H14" i="1"/>
  <c r="H16" i="1" s="1"/>
  <c r="I37" i="1"/>
  <c r="B11" i="1"/>
  <c r="B14" i="1" s="1"/>
  <c r="B13" i="1"/>
  <c r="O37" i="1"/>
  <c r="O38" i="1"/>
  <c r="N37" i="1"/>
  <c r="L37" i="1"/>
  <c r="J38" i="1"/>
  <c r="H37" i="1"/>
  <c r="G38" i="1"/>
  <c r="G37" i="1"/>
  <c r="F38" i="1"/>
  <c r="M29" i="1"/>
  <c r="N22" i="1"/>
  <c r="O26" i="1"/>
  <c r="P27" i="1"/>
  <c r="P26" i="1"/>
  <c r="I29" i="1"/>
  <c r="E29" i="1"/>
  <c r="M26" i="1"/>
  <c r="K27" i="1"/>
  <c r="L27" i="1"/>
  <c r="G27" i="1"/>
  <c r="G26" i="1"/>
  <c r="H26" i="1"/>
  <c r="E9" i="2"/>
  <c r="F9" i="2"/>
  <c r="G9" i="2"/>
  <c r="H9" i="2"/>
  <c r="I9" i="2"/>
  <c r="J9" i="2" s="1"/>
  <c r="K9" i="2" s="1"/>
  <c r="L9" i="2" s="1"/>
  <c r="M9" i="2" s="1"/>
  <c r="N9" i="2" s="1"/>
  <c r="O9" i="2" s="1"/>
  <c r="P9" i="2" s="1"/>
  <c r="Q9" i="2" s="1"/>
  <c r="L29" i="1"/>
  <c r="L26" i="1"/>
  <c r="G29" i="1"/>
  <c r="H29" i="1"/>
  <c r="J29" i="1"/>
  <c r="K29" i="1"/>
  <c r="K26" i="1"/>
  <c r="G22" i="1"/>
  <c r="B37" i="2" l="1"/>
  <c r="D55" i="2"/>
  <c r="B52" i="2"/>
  <c r="C52" i="2"/>
  <c r="C54" i="2"/>
  <c r="E52" i="2"/>
  <c r="D57" i="2"/>
  <c r="E37" i="2"/>
  <c r="F22" i="2" s="1"/>
  <c r="C55" i="2"/>
  <c r="B45" i="2"/>
  <c r="C37" i="2"/>
  <c r="D54" i="2"/>
  <c r="D37" i="2"/>
  <c r="C57" i="2"/>
  <c r="E16" i="2"/>
  <c r="E18" i="2" s="1"/>
  <c r="E54" i="2"/>
  <c r="D46" i="2"/>
  <c r="C6" i="2"/>
  <c r="C7" i="2" s="1"/>
  <c r="F16" i="2"/>
  <c r="G10" i="2"/>
  <c r="F54" i="2"/>
  <c r="B22" i="2"/>
  <c r="M22" i="1"/>
  <c r="Q11" i="1"/>
  <c r="B19" i="2"/>
  <c r="B20" i="2" s="1"/>
  <c r="B17" i="2"/>
  <c r="E22" i="2"/>
  <c r="G12" i="2"/>
  <c r="F56" i="2"/>
  <c r="F57" i="2"/>
  <c r="G13" i="2"/>
  <c r="E45" i="2"/>
  <c r="C23" i="1"/>
  <c r="C16" i="1"/>
  <c r="N14" i="1"/>
  <c r="B16" i="1"/>
  <c r="B23" i="1"/>
  <c r="P14" i="1"/>
  <c r="P22" i="1"/>
  <c r="O14" i="1"/>
  <c r="O22" i="1"/>
  <c r="I27" i="1"/>
  <c r="I13" i="1"/>
  <c r="C22" i="2"/>
  <c r="E17" i="2"/>
  <c r="H18" i="1"/>
  <c r="H24" i="1"/>
  <c r="D45" i="2"/>
  <c r="D22" i="1"/>
  <c r="G23" i="1"/>
  <c r="G16" i="1"/>
  <c r="F22" i="1"/>
  <c r="M27" i="1"/>
  <c r="M13" i="1"/>
  <c r="M14" i="1" s="1"/>
  <c r="K22" i="1"/>
  <c r="K14" i="1"/>
  <c r="I15" i="1"/>
  <c r="E43" i="2"/>
  <c r="E46" i="2" s="1"/>
  <c r="L11" i="1"/>
  <c r="D17" i="2"/>
  <c r="D18" i="2" s="1"/>
  <c r="F26" i="1"/>
  <c r="C45" i="2"/>
  <c r="E10" i="1"/>
  <c r="E11" i="1" s="1"/>
  <c r="D19" i="2"/>
  <c r="R9" i="1"/>
  <c r="C16" i="2"/>
  <c r="D33" i="2" s="1"/>
  <c r="F29" i="1"/>
  <c r="F27" i="1"/>
  <c r="Q15" i="1"/>
  <c r="N13" i="1"/>
  <c r="E12" i="1"/>
  <c r="E13" i="1" s="1"/>
  <c r="N26" i="1"/>
  <c r="M38" i="1"/>
  <c r="E15" i="1"/>
  <c r="C17" i="2"/>
  <c r="G11" i="2"/>
  <c r="N27" i="1"/>
  <c r="Q12" i="1"/>
  <c r="B12" i="2"/>
  <c r="C19" i="2"/>
  <c r="D13" i="1"/>
  <c r="D14" i="1" s="1"/>
  <c r="M37" i="1"/>
  <c r="F13" i="1"/>
  <c r="F14" i="1" s="1"/>
  <c r="J13" i="1"/>
  <c r="J14" i="1" s="1"/>
  <c r="E57" i="2"/>
  <c r="I11" i="1"/>
  <c r="J27" i="1"/>
  <c r="B46" i="2"/>
  <c r="H23" i="1"/>
  <c r="B22" i="1"/>
  <c r="E33" i="2" l="1"/>
  <c r="D29" i="2"/>
  <c r="M23" i="1"/>
  <c r="M16" i="1"/>
  <c r="F16" i="1"/>
  <c r="F23" i="1"/>
  <c r="E14" i="1"/>
  <c r="E22" i="1"/>
  <c r="D23" i="1"/>
  <c r="D16" i="1"/>
  <c r="B16" i="2"/>
  <c r="B18" i="2" s="1"/>
  <c r="C56" i="2"/>
  <c r="G55" i="2"/>
  <c r="H11" i="2"/>
  <c r="E29" i="2"/>
  <c r="C18" i="1"/>
  <c r="C24" i="1"/>
  <c r="J16" i="1"/>
  <c r="J23" i="1"/>
  <c r="C34" i="2"/>
  <c r="C20" i="2"/>
  <c r="O16" i="1"/>
  <c r="O23" i="1"/>
  <c r="E19" i="2"/>
  <c r="Q13" i="1"/>
  <c r="Q14" i="1" s="1"/>
  <c r="Q27" i="1"/>
  <c r="Q22" i="1"/>
  <c r="G18" i="1"/>
  <c r="G24" i="1"/>
  <c r="B24" i="1"/>
  <c r="B18" i="1"/>
  <c r="I22" i="1"/>
  <c r="I14" i="1"/>
  <c r="H19" i="1"/>
  <c r="H10" i="2"/>
  <c r="G54" i="2"/>
  <c r="G16" i="2"/>
  <c r="H12" i="2"/>
  <c r="G56" i="2"/>
  <c r="C18" i="2"/>
  <c r="R26" i="1"/>
  <c r="R11" i="1"/>
  <c r="D34" i="2"/>
  <c r="D20" i="2"/>
  <c r="D21" i="2" s="1"/>
  <c r="P23" i="1"/>
  <c r="P16" i="1"/>
  <c r="N23" i="1"/>
  <c r="N16" i="1"/>
  <c r="L22" i="1"/>
  <c r="L14" i="1"/>
  <c r="K16" i="1"/>
  <c r="K23" i="1"/>
  <c r="G57" i="2"/>
  <c r="H13" i="2"/>
  <c r="F33" i="2"/>
  <c r="C33" i="2" l="1"/>
  <c r="D23" i="2"/>
  <c r="D30" i="2"/>
  <c r="Q23" i="1"/>
  <c r="Q16" i="1"/>
  <c r="F18" i="2"/>
  <c r="C21" i="2"/>
  <c r="C29" i="2"/>
  <c r="B21" i="2"/>
  <c r="B29" i="2"/>
  <c r="H57" i="2"/>
  <c r="I13" i="2"/>
  <c r="D18" i="1"/>
  <c r="D24" i="1"/>
  <c r="H56" i="2"/>
  <c r="I12" i="2"/>
  <c r="E34" i="2"/>
  <c r="E20" i="2"/>
  <c r="E21" i="2" s="1"/>
  <c r="F19" i="2"/>
  <c r="R14" i="1"/>
  <c r="R22" i="1"/>
  <c r="G33" i="2"/>
  <c r="K18" i="1"/>
  <c r="K24" i="1"/>
  <c r="O18" i="1"/>
  <c r="O24" i="1"/>
  <c r="E23" i="1"/>
  <c r="E16" i="1"/>
  <c r="L16" i="1"/>
  <c r="L23" i="1"/>
  <c r="H54" i="2"/>
  <c r="H16" i="2"/>
  <c r="I10" i="2"/>
  <c r="F24" i="1"/>
  <c r="F18" i="1"/>
  <c r="G19" i="1"/>
  <c r="N24" i="1"/>
  <c r="N18" i="1"/>
  <c r="M24" i="1"/>
  <c r="M18" i="1"/>
  <c r="I23" i="1"/>
  <c r="I16" i="1"/>
  <c r="J18" i="1"/>
  <c r="J24" i="1"/>
  <c r="P18" i="1"/>
  <c r="P19" i="1" s="1"/>
  <c r="P24" i="1"/>
  <c r="H55" i="2"/>
  <c r="I11" i="2"/>
  <c r="B19" i="1"/>
  <c r="C19" i="1"/>
  <c r="L24" i="1" l="1"/>
  <c r="L18" i="1"/>
  <c r="M40" i="1"/>
  <c r="J19" i="1"/>
  <c r="E24" i="1"/>
  <c r="E18" i="1"/>
  <c r="I18" i="1"/>
  <c r="I24" i="1"/>
  <c r="D19" i="1"/>
  <c r="G40" i="1"/>
  <c r="J13" i="2"/>
  <c r="J57" i="2" s="1"/>
  <c r="I57" i="2"/>
  <c r="P40" i="1"/>
  <c r="M19" i="1"/>
  <c r="O19" i="1"/>
  <c r="N19" i="1"/>
  <c r="N40" i="1"/>
  <c r="K19" i="1"/>
  <c r="B23" i="2"/>
  <c r="B30" i="2"/>
  <c r="F40" i="1"/>
  <c r="C30" i="2"/>
  <c r="C23" i="2"/>
  <c r="F29" i="2"/>
  <c r="G18" i="2" s="1"/>
  <c r="F21" i="2"/>
  <c r="F17" i="2"/>
  <c r="E40" i="1"/>
  <c r="I40" i="1"/>
  <c r="F19" i="1"/>
  <c r="Q18" i="1"/>
  <c r="Q19" i="1" s="1"/>
  <c r="Q24" i="1"/>
  <c r="R23" i="1"/>
  <c r="R16" i="1"/>
  <c r="I55" i="2"/>
  <c r="J11" i="2"/>
  <c r="J55" i="2" s="1"/>
  <c r="I54" i="2"/>
  <c r="I16" i="2"/>
  <c r="J10" i="2"/>
  <c r="F20" i="2"/>
  <c r="G19" i="2"/>
  <c r="F34" i="2"/>
  <c r="J12" i="2"/>
  <c r="J56" i="2" s="1"/>
  <c r="I56" i="2"/>
  <c r="H33" i="2"/>
  <c r="E30" i="2"/>
  <c r="E23" i="2"/>
  <c r="D25" i="2"/>
  <c r="D31" i="2"/>
  <c r="G29" i="2" l="1"/>
  <c r="H18" i="2" s="1"/>
  <c r="G17" i="2"/>
  <c r="G43" i="1"/>
  <c r="G42" i="1"/>
  <c r="G41" i="1"/>
  <c r="G44" i="1"/>
  <c r="I44" i="1"/>
  <c r="I41" i="1"/>
  <c r="I43" i="1"/>
  <c r="I42" i="1"/>
  <c r="G20" i="2"/>
  <c r="G21" i="2" s="1"/>
  <c r="H19" i="2"/>
  <c r="G34" i="2"/>
  <c r="C25" i="2"/>
  <c r="C31" i="2"/>
  <c r="I33" i="2"/>
  <c r="I19" i="1"/>
  <c r="L40" i="1"/>
  <c r="K40" i="1"/>
  <c r="J40" i="1"/>
  <c r="E41" i="1"/>
  <c r="E43" i="1"/>
  <c r="H40" i="1"/>
  <c r="E44" i="1"/>
  <c r="E19" i="1"/>
  <c r="E42" i="1"/>
  <c r="B25" i="2"/>
  <c r="B31" i="2"/>
  <c r="R18" i="1"/>
  <c r="R19" i="1" s="1"/>
  <c r="R24" i="1"/>
  <c r="N42" i="1"/>
  <c r="N43" i="1"/>
  <c r="N41" i="1"/>
  <c r="N44" i="1"/>
  <c r="M44" i="1"/>
  <c r="M43" i="1"/>
  <c r="M42" i="1"/>
  <c r="M41" i="1"/>
  <c r="E25" i="2"/>
  <c r="E31" i="2"/>
  <c r="Q40" i="1"/>
  <c r="L19" i="1"/>
  <c r="O40" i="1"/>
  <c r="P44" i="1"/>
  <c r="P43" i="1"/>
  <c r="P42" i="1"/>
  <c r="P41" i="1"/>
  <c r="F30" i="2"/>
  <c r="F23" i="2"/>
  <c r="J16" i="2"/>
  <c r="J54" i="2"/>
  <c r="F44" i="1"/>
  <c r="F43" i="1"/>
  <c r="F42" i="1"/>
  <c r="F41" i="1"/>
  <c r="D26" i="2"/>
  <c r="D49" i="2"/>
  <c r="D48" i="2"/>
  <c r="D50" i="2"/>
  <c r="D51" i="2"/>
  <c r="G30" i="2" l="1"/>
  <c r="R40" i="1"/>
  <c r="H20" i="2"/>
  <c r="H21" i="2" s="1"/>
  <c r="H34" i="2"/>
  <c r="I19" i="2"/>
  <c r="Q41" i="1"/>
  <c r="Q44" i="1"/>
  <c r="Q43" i="1"/>
  <c r="Q42" i="1"/>
  <c r="B51" i="2"/>
  <c r="B50" i="2"/>
  <c r="B26" i="2"/>
  <c r="B48" i="2"/>
  <c r="B49" i="2"/>
  <c r="J44" i="1"/>
  <c r="J43" i="1"/>
  <c r="J42" i="1"/>
  <c r="J41" i="1"/>
  <c r="H44" i="1"/>
  <c r="H43" i="1"/>
  <c r="H42" i="1"/>
  <c r="H41" i="1"/>
  <c r="K16" i="2"/>
  <c r="J33" i="2"/>
  <c r="K43" i="1"/>
  <c r="K41" i="1"/>
  <c r="K44" i="1"/>
  <c r="K42" i="1"/>
  <c r="C50" i="2"/>
  <c r="C49" i="2"/>
  <c r="C26" i="2"/>
  <c r="C48" i="2"/>
  <c r="C51" i="2"/>
  <c r="F24" i="2"/>
  <c r="F31" i="2" s="1"/>
  <c r="F25" i="2"/>
  <c r="L44" i="1"/>
  <c r="L43" i="1"/>
  <c r="L42" i="1"/>
  <c r="L41" i="1"/>
  <c r="O42" i="1"/>
  <c r="O41" i="1"/>
  <c r="O44" i="1"/>
  <c r="O43" i="1"/>
  <c r="E26" i="2"/>
  <c r="E48" i="2"/>
  <c r="E50" i="2"/>
  <c r="E51" i="2"/>
  <c r="E49" i="2"/>
  <c r="H29" i="2"/>
  <c r="I18" i="2" s="1"/>
  <c r="H17" i="2"/>
  <c r="I29" i="2" l="1"/>
  <c r="J18" i="2" s="1"/>
  <c r="I17" i="2"/>
  <c r="H30" i="2"/>
  <c r="I34" i="2"/>
  <c r="I20" i="2"/>
  <c r="I21" i="2" s="1"/>
  <c r="J19" i="2"/>
  <c r="R43" i="1"/>
  <c r="R42" i="1"/>
  <c r="R41" i="1"/>
  <c r="R44" i="1"/>
  <c r="K33" i="2"/>
  <c r="L16" i="2"/>
  <c r="F26" i="2"/>
  <c r="F37" i="2"/>
  <c r="I30" i="2" l="1"/>
  <c r="M16" i="2"/>
  <c r="L33" i="2"/>
  <c r="G22" i="2"/>
  <c r="G23" i="2" s="1"/>
  <c r="J20" i="2"/>
  <c r="J34" i="2"/>
  <c r="K19" i="2"/>
  <c r="J29" i="2"/>
  <c r="K18" i="2" s="1"/>
  <c r="J21" i="2"/>
  <c r="J17" i="2"/>
  <c r="J30" i="2" l="1"/>
  <c r="K29" i="2"/>
  <c r="L18" i="2" s="1"/>
  <c r="K17" i="2"/>
  <c r="L19" i="2"/>
  <c r="K20" i="2"/>
  <c r="K21" i="2" s="1"/>
  <c r="K34" i="2"/>
  <c r="G24" i="2"/>
  <c r="G31" i="2" s="1"/>
  <c r="G25" i="2"/>
  <c r="N16" i="2"/>
  <c r="M33" i="2"/>
  <c r="K30" i="2" l="1"/>
  <c r="N33" i="2"/>
  <c r="O16" i="2"/>
  <c r="G26" i="2"/>
  <c r="G37" i="2"/>
  <c r="M19" i="2"/>
  <c r="L34" i="2"/>
  <c r="L20" i="2"/>
  <c r="L21" i="2" s="1"/>
  <c r="L29" i="2"/>
  <c r="M18" i="2" s="1"/>
  <c r="L17" i="2"/>
  <c r="M29" i="2" l="1"/>
  <c r="N18" i="2" s="1"/>
  <c r="M17" i="2"/>
  <c r="L30" i="2"/>
  <c r="M20" i="2"/>
  <c r="M21" i="2" s="1"/>
  <c r="N19" i="2"/>
  <c r="M34" i="2"/>
  <c r="H22" i="2"/>
  <c r="H23" i="2" s="1"/>
  <c r="P16" i="2"/>
  <c r="O33" i="2"/>
  <c r="M30" i="2" l="1"/>
  <c r="H24" i="2"/>
  <c r="H31" i="2" s="1"/>
  <c r="H25" i="2"/>
  <c r="N29" i="2"/>
  <c r="O18" i="2" s="1"/>
  <c r="N17" i="2"/>
  <c r="P33" i="2"/>
  <c r="Q16" i="2"/>
  <c r="N34" i="2"/>
  <c r="O19" i="2"/>
  <c r="N20" i="2"/>
  <c r="N21" i="2" s="1"/>
  <c r="N30" i="2" l="1"/>
  <c r="Q33" i="2"/>
  <c r="O34" i="2"/>
  <c r="P19" i="2"/>
  <c r="O20" i="2"/>
  <c r="O21" i="2" s="1"/>
  <c r="O29" i="2"/>
  <c r="P18" i="2" s="1"/>
  <c r="O17" i="2"/>
  <c r="H26" i="2"/>
  <c r="H37" i="2"/>
  <c r="O30" i="2" l="1"/>
  <c r="P29" i="2"/>
  <c r="Q18" i="2" s="1"/>
  <c r="P17" i="2"/>
  <c r="P34" i="2"/>
  <c r="P20" i="2"/>
  <c r="P21" i="2" s="1"/>
  <c r="Q19" i="2"/>
  <c r="I22" i="2"/>
  <c r="I23" i="2" s="1"/>
  <c r="P30" i="2" l="1"/>
  <c r="I24" i="2"/>
  <c r="I31" i="2" s="1"/>
  <c r="Q29" i="2"/>
  <c r="Q17" i="2"/>
  <c r="Q34" i="2"/>
  <c r="Q20" i="2"/>
  <c r="Q21" i="2" s="1"/>
  <c r="Q30" i="2" l="1"/>
  <c r="I25" i="2"/>
  <c r="I26" i="2" l="1"/>
  <c r="I37" i="2"/>
  <c r="J22" i="2" l="1"/>
  <c r="J23" i="2" s="1"/>
  <c r="J24" i="2" l="1"/>
  <c r="J31" i="2" s="1"/>
  <c r="J25" i="2"/>
  <c r="J26" i="2" l="1"/>
  <c r="J37" i="2"/>
  <c r="K22" i="2" l="1"/>
  <c r="K23" i="2" s="1"/>
  <c r="K24" i="2" l="1"/>
  <c r="K31" i="2" s="1"/>
  <c r="K25" i="2"/>
  <c r="K26" i="2" l="1"/>
  <c r="K37" i="2"/>
  <c r="L22" i="2" l="1"/>
  <c r="L23" i="2" s="1"/>
  <c r="L24" i="2" l="1"/>
  <c r="L31" i="2" s="1"/>
  <c r="L25" i="2" l="1"/>
  <c r="L26" i="2"/>
  <c r="L37" i="2"/>
  <c r="M22" i="2" l="1"/>
  <c r="M23" i="2" s="1"/>
  <c r="M24" i="2" l="1"/>
  <c r="M31" i="2" s="1"/>
  <c r="M25" i="2" l="1"/>
  <c r="M26" i="2" l="1"/>
  <c r="M37" i="2"/>
  <c r="N22" i="2" l="1"/>
  <c r="N23" i="2" s="1"/>
  <c r="N24" i="2" l="1"/>
  <c r="N31" i="2" s="1"/>
  <c r="N25" i="2" l="1"/>
  <c r="N26" i="2" l="1"/>
  <c r="N37" i="2"/>
  <c r="O22" i="2" l="1"/>
  <c r="O23" i="2" s="1"/>
  <c r="O24" i="2" l="1"/>
  <c r="O31" i="2" s="1"/>
  <c r="O25" i="2"/>
  <c r="O26" i="2" l="1"/>
  <c r="O37" i="2"/>
  <c r="P22" i="2" l="1"/>
  <c r="P23" i="2" s="1"/>
  <c r="P24" i="2" l="1"/>
  <c r="P31" i="2" s="1"/>
  <c r="P25" i="2"/>
  <c r="P26" i="2" l="1"/>
  <c r="P37" i="2"/>
  <c r="Q22" i="2" l="1"/>
  <c r="Q23" i="2" s="1"/>
  <c r="Q24" i="2" l="1"/>
  <c r="Q31" i="2" s="1"/>
  <c r="Q25" i="2"/>
  <c r="Q26" i="2" l="1"/>
  <c r="R25" i="2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F5" i="2" s="1"/>
  <c r="F6" i="2" s="1"/>
  <c r="Q37" i="2"/>
  <c r="F7" i="2" l="1"/>
  <c r="G7" i="2" l="1"/>
</calcChain>
</file>

<file path=xl/sharedStrings.xml><?xml version="1.0" encoding="utf-8"?>
<sst xmlns="http://schemas.openxmlformats.org/spreadsheetml/2006/main" count="180" uniqueCount="137">
  <si>
    <t>Q117</t>
  </si>
  <si>
    <t>Q217</t>
  </si>
  <si>
    <t>Q317</t>
  </si>
  <si>
    <t>Q417</t>
  </si>
  <si>
    <t>Revenue</t>
  </si>
  <si>
    <t>COGS</t>
  </si>
  <si>
    <t>Gross Profit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</si>
  <si>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</si>
  <si>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</si>
  <si>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</si>
  <si>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</si>
  <si>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</si>
  <si>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</si>
  <si>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</si>
  <si>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</si>
  <si>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</si>
  <si>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</si>
  <si>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</si>
  <si>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</si>
  <si>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</si>
  <si>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</si>
  <si>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</si>
  <si>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</si>
  <si>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</si>
  <si>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31/12/2016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</si>
  <si>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</si>
  <si>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</si>
  <si>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</si>
  <si>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</si>
  <si>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</si>
  <si>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</si>
  <si>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</si>
  <si>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</si>
  <si>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</si>
  <si>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</si>
  <si>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</si>
  <si>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</si>
  <si>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</si>
  <si>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</si>
  <si>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Q115</t>
  </si>
  <si>
    <t>Q215</t>
  </si>
  <si>
    <t>Q315</t>
  </si>
  <si>
    <t>Q415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</si>
  <si>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</si>
  <si>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</si>
  <si>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</si>
  <si>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</si>
  <si>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</si>
  <si>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</si>
  <si>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</si>
  <si>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</si>
  <si>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</si>
  <si>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</si>
  <si>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</si>
  <si>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</si>
  <si>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</si>
  <si>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</si>
  <si>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</si>
  <si>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</si>
  <si>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</si>
  <si>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</si>
  <si>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</si>
  <si>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</si>
  <si>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</si>
  <si>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</si>
  <si>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</si>
  <si>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Walt Disney Co (DIS)</t>
  </si>
  <si>
    <t>Walt Disney</t>
  </si>
  <si>
    <t>Roy Disney</t>
  </si>
  <si>
    <t>Robert Iger</t>
  </si>
  <si>
    <t>Media networks</t>
  </si>
  <si>
    <t>Parks and resorts</t>
  </si>
  <si>
    <t>Studio entertainment</t>
  </si>
  <si>
    <t>Consumer</t>
  </si>
  <si>
    <t>29/9/2018</t>
  </si>
  <si>
    <t>1/7/2017</t>
  </si>
  <si>
    <t>Walt Disney World Resorts</t>
  </si>
  <si>
    <t>Magic Kingdom</t>
  </si>
  <si>
    <t>Epcot</t>
  </si>
  <si>
    <t>Disney Hollywood Studios</t>
  </si>
  <si>
    <t>Disney Animal Kingdom</t>
  </si>
  <si>
    <t>Disneyland Resorts</t>
  </si>
  <si>
    <t>Disneyland</t>
  </si>
  <si>
    <t>Disney California Adventure</t>
  </si>
  <si>
    <t>Florida</t>
  </si>
  <si>
    <t>Anaheim</t>
  </si>
  <si>
    <t>Disney Resorts and Spa</t>
  </si>
  <si>
    <t>Aulani</t>
  </si>
  <si>
    <t>Disneyland Paris</t>
  </si>
  <si>
    <t>Paris</t>
  </si>
  <si>
    <t>Disneyland Park</t>
  </si>
  <si>
    <t>Walt Disney Studios Park</t>
  </si>
  <si>
    <t>Hong Kong Disneyland Resort</t>
  </si>
  <si>
    <t>Hong Kong</t>
  </si>
  <si>
    <t>Hong Kong Disneyland</t>
  </si>
  <si>
    <t>Shanghai Disney Resort</t>
  </si>
  <si>
    <t>Shanghai</t>
  </si>
  <si>
    <t>Shanghai Disneyland</t>
  </si>
  <si>
    <t>Tokyo Disney Resort</t>
  </si>
  <si>
    <t>Tokyo</t>
  </si>
  <si>
    <t>Tokyo Disneyland</t>
  </si>
  <si>
    <t>Tokyo DisneySea</t>
  </si>
  <si>
    <t>Disney Vacation Club</t>
  </si>
  <si>
    <t>Disney Cruise Line</t>
  </si>
  <si>
    <t>Adventures by Disney</t>
  </si>
  <si>
    <t>Walt Disney Imagineering</t>
  </si>
  <si>
    <t>Theatrical Market</t>
  </si>
  <si>
    <t>Home Entertainment Market</t>
  </si>
  <si>
    <t>Television Market</t>
  </si>
  <si>
    <t>VOD</t>
  </si>
  <si>
    <t>Televison networks</t>
  </si>
  <si>
    <t>Disney Music Group</t>
  </si>
  <si>
    <t>Disney Theatrical Group</t>
  </si>
  <si>
    <t>S&amp;M+G&amp;A</t>
  </si>
  <si>
    <t>1/4/2017</t>
  </si>
  <si>
    <t>30/12/2017</t>
  </si>
  <si>
    <t>S&amp;M+G&amp;A y/y</t>
  </si>
  <si>
    <t>2/7/2016</t>
  </si>
  <si>
    <t>27/6/2015</t>
  </si>
  <si>
    <t>1/10/2016</t>
  </si>
  <si>
    <t>2/4/2016</t>
  </si>
  <si>
    <t>28/3/2015</t>
  </si>
  <si>
    <t>3/10/2015</t>
  </si>
  <si>
    <t>2/1/2016</t>
  </si>
  <si>
    <t>27/12/2014</t>
  </si>
  <si>
    <t>Media networks y/y</t>
  </si>
  <si>
    <t>Parks and resorts y/y</t>
  </si>
  <si>
    <t>Studio entertainment y/y</t>
  </si>
  <si>
    <t>Consumer y/y</t>
  </si>
  <si>
    <t>29/12/2018</t>
  </si>
  <si>
    <t>Eliminations</t>
  </si>
  <si>
    <t>Risk-free rate + market premium (opportunity cost)</t>
  </si>
  <si>
    <t>http://www.worldgovernmentbonds.com/country/united-states/</t>
  </si>
  <si>
    <t>Net present value on future net income (terminal value)</t>
  </si>
  <si>
    <t>31/12/2019</t>
  </si>
  <si>
    <t>BADWILL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</si>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</sst>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Helvetica"/>
      <family val="2"/>
    </font>
    <font>
      <i/>
      <sz val="10"/>
      <color theme="1"/>
      <name val="Helvetica"/>
      <family val="2"/>
    </font>
    <font>
      <u/>
      <sz val="10"/>
      <color rgb="FF0066CC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3" fontId="0" fillId="0" borderId="0" xfId="0"/>
    <xf numFmtId="0" fontId="4" fillId="0" borderId="0" xfId="4" applyFont="1" applyBorder="1"/>
    <xf numFmtId="3" fontId="5" fillId="0" borderId="0" xfId="0" applyFont="1"/>
    <xf numFmtId="3" fontId="6" fillId="0" borderId="0" xfId="0" applyFont="1"/>
    <xf numFmtId="4" fontId="6" fillId="0" borderId="0" xfId="0" applyNumberFormat="1" applyFont="1" applyBorder="1"/>
    <xf numFmtId="3" fontId="7" fillId="0" borderId="0" xfId="0" applyFont="1"/>
    <xf numFmtId="3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3" fontId="5" fillId="0" borderId="0" xfId="0" applyFont="1" applyBorder="1"/>
    <xf numFmtId="164" fontId="5" fillId="2" borderId="0" xfId="0" applyNumberFormat="1" applyFont="1" applyFill="1"/>
    <xf numFmtId="3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3" fontId="6" fillId="0" borderId="0" xfId="0" applyFont="1" applyFill="1" applyBorder="1"/>
    <xf numFmtId="9" fontId="6" fillId="0" borderId="0" xfId="0" applyNumberFormat="1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4" fontId="6" fillId="2" borderId="0" xfId="0" applyNumberFormat="1" applyFont="1" applyFill="1"/>
    <xf numFmtId="4" fontId="6" fillId="2" borderId="0" xfId="0" applyNumberFormat="1" applyFont="1" applyFill="1" applyBorder="1"/>
    <xf numFmtId="3" fontId="6" fillId="0" borderId="0" xfId="0" applyFont="1" applyAlignment="1">
      <alignment horizontal="left"/>
    </xf>
    <xf numFmtId="3" fontId="9" fillId="0" borderId="0" xfId="0" applyFont="1"/>
    <xf numFmtId="3" fontId="8" fillId="0" borderId="0" xfId="0" applyFont="1"/>
    <xf numFmtId="3" fontId="10" fillId="0" borderId="0" xfId="0" applyFont="1"/>
    <xf numFmtId="0" fontId="5" fillId="0" borderId="0" xfId="0" applyNumberFormat="1" applyFont="1" applyAlignment="1">
      <alignment horizontal="left"/>
    </xf>
    <xf numFmtId="3" fontId="0" fillId="0" borderId="0" xfId="0" applyFont="1" applyFill="1" applyBorder="1"/>
    <xf numFmtId="9" fontId="7" fillId="0" borderId="0" xfId="1" applyFont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152400</xdr:rowOff>
    </xdr:from>
    <xdr:to>
      <xdr:col>5</xdr:col>
      <xdr:colOff>152400</xdr:colOff>
      <xdr:row>58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2200" y="1308100"/>
          <a:ext cx="0" cy="778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152400</xdr:rowOff>
    </xdr:from>
    <xdr:to>
      <xdr:col>18</xdr:col>
      <xdr:colOff>114300</xdr:colOff>
      <xdr:row>50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595600" y="15240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alt_Disney" TargetMode="External"/><Relationship Id="rId2" Type="http://schemas.openxmlformats.org/officeDocument/2006/relationships/hyperlink" Target="https://en.wikipedia.org/wiki/Bob_Iger" TargetMode="External"/><Relationship Id="rId1" Type="http://schemas.openxmlformats.org/officeDocument/2006/relationships/hyperlink" Target="https://www.thewaltdisneycompany.com/investor-relation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Roy_O._Disn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dis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7"/>
  <sheetViews>
    <sheetView tabSelected="1" workbookViewId="0">
      <pane xSplit="1" ySplit="9" topLeftCell="B18" activePane="bottomRight" state="frozen"/>
      <selection pane="topRight" activeCell="B1" sqref="B1"/>
      <selection pane="bottomLeft" activeCell="A11" sqref="A11"/>
      <selection pane="bottomRight" activeCell="G44" sqref="G44"/>
    </sheetView>
  </sheetViews>
  <sheetFormatPr baseColWidth="10" defaultRowHeight="13"/>
  <cols>
    <col min="1" max="1" width="19" style="3" customWidth="1"/>
    <col min="2" max="16384" width="10.83203125" style="3"/>
  </cols>
  <sheetData>
    <row r="1" spans="1:122">
      <c r="A1" s="1" t="s">
        <v>64</v>
      </c>
      <c r="B1" s="2" t="s">
        <v>66</v>
      </c>
    </row>
    <row r="2" spans="1:122">
      <c r="B2" s="3" t="s">
        <v>46</v>
      </c>
      <c r="C2" s="4">
        <v>143.77000000000001</v>
      </c>
      <c r="D2" s="56" t="s">
        <v>134</v>
      </c>
      <c r="E2" s="6" t="s">
        <v>28</v>
      </c>
      <c r="F2" s="7">
        <v>-0.02</v>
      </c>
      <c r="I2" s="16"/>
      <c r="L2" s="2"/>
    </row>
    <row r="3" spans="1:122">
      <c r="A3" s="2" t="s">
        <v>44</v>
      </c>
      <c r="B3" s="3" t="s">
        <v>14</v>
      </c>
      <c r="C3" s="8">
        <f>Reports!R20</f>
        <v>1498</v>
      </c>
      <c r="D3" s="3" t="s">
        <v>50</v>
      </c>
      <c r="E3" s="6" t="s">
        <v>29</v>
      </c>
      <c r="F3" s="7">
        <v>0.02</v>
      </c>
      <c r="G3" s="57" t="s">
        <v>65</v>
      </c>
      <c r="H3" s="58"/>
      <c r="I3"/>
    </row>
    <row r="4" spans="1:122">
      <c r="A4" s="9" t="s">
        <v>69</v>
      </c>
      <c r="B4" s="3" t="s">
        <v>47</v>
      </c>
      <c r="C4" s="10">
        <f>C2*C3</f>
        <v>215367.46000000002</v>
      </c>
      <c r="E4" s="6" t="s">
        <v>30</v>
      </c>
      <c r="F4" s="7">
        <f>2%+4%</f>
        <v>0.06</v>
      </c>
      <c r="G4" s="57" t="s">
        <v>131</v>
      </c>
      <c r="H4" s="58"/>
      <c r="I4" s="59" t="s">
        <v>132</v>
      </c>
    </row>
    <row r="5" spans="1:122">
      <c r="B5" s="3" t="s">
        <v>25</v>
      </c>
      <c r="C5" s="8">
        <f>Reports!R29</f>
        <v>-13240</v>
      </c>
      <c r="D5" s="3" t="s">
        <v>50</v>
      </c>
      <c r="E5" s="6" t="s">
        <v>31</v>
      </c>
      <c r="F5" s="11">
        <f>NPV(F4,F25:DR25)</f>
        <v>277120.93700405117</v>
      </c>
      <c r="G5" s="57" t="s">
        <v>133</v>
      </c>
      <c r="H5" s="58"/>
      <c r="I5" s="58"/>
    </row>
    <row r="6" spans="1:122">
      <c r="A6" s="2" t="s">
        <v>45</v>
      </c>
      <c r="B6" s="3" t="s">
        <v>48</v>
      </c>
      <c r="C6" s="10">
        <f>C4-C5</f>
        <v>228607.46000000002</v>
      </c>
      <c r="E6" s="12" t="s">
        <v>32</v>
      </c>
      <c r="F6" s="13">
        <f>F5+C5</f>
        <v>263880.93700405117</v>
      </c>
      <c r="I6" s="27"/>
    </row>
    <row r="7" spans="1:122">
      <c r="A7" s="9" t="s">
        <v>67</v>
      </c>
      <c r="B7" s="5" t="s">
        <v>49</v>
      </c>
      <c r="C7" s="55">
        <f>C6/C3</f>
        <v>152.60845126835781</v>
      </c>
      <c r="E7" s="14" t="s">
        <v>49</v>
      </c>
      <c r="F7" s="54">
        <f>F6/C3</f>
        <v>176.1554986675909</v>
      </c>
      <c r="G7" s="27">
        <f>F7/C2-1</f>
        <v>0.22525908511922443</v>
      </c>
    </row>
    <row r="8" spans="1:122">
      <c r="A8" s="9" t="s">
        <v>68</v>
      </c>
      <c r="E8" s="6"/>
      <c r="F8" s="15"/>
    </row>
    <row r="9" spans="1:122" s="60" customFormat="1">
      <c r="B9" s="60">
        <v>2015</v>
      </c>
      <c r="C9" s="60">
        <v>2016</v>
      </c>
      <c r="D9" s="60">
        <v>2017</v>
      </c>
      <c r="E9" s="60">
        <f>D9+1</f>
        <v>2018</v>
      </c>
      <c r="F9" s="60">
        <f t="shared" ref="F9:Q9" si="0">E9+1</f>
        <v>2019</v>
      </c>
      <c r="G9" s="60">
        <f t="shared" si="0"/>
        <v>2020</v>
      </c>
      <c r="H9" s="60">
        <f t="shared" si="0"/>
        <v>2021</v>
      </c>
      <c r="I9" s="60">
        <f t="shared" si="0"/>
        <v>2022</v>
      </c>
      <c r="J9" s="60">
        <f t="shared" si="0"/>
        <v>2023</v>
      </c>
      <c r="K9" s="60">
        <f t="shared" si="0"/>
        <v>2024</v>
      </c>
      <c r="L9" s="60">
        <f t="shared" si="0"/>
        <v>2025</v>
      </c>
      <c r="M9" s="60">
        <f t="shared" si="0"/>
        <v>2026</v>
      </c>
      <c r="N9" s="60">
        <f t="shared" si="0"/>
        <v>2027</v>
      </c>
      <c r="O9" s="60">
        <f t="shared" si="0"/>
        <v>2028</v>
      </c>
      <c r="P9" s="60">
        <f t="shared" si="0"/>
        <v>2029</v>
      </c>
      <c r="Q9" s="60">
        <f t="shared" si="0"/>
        <v>2030</v>
      </c>
    </row>
    <row r="10" spans="1:122">
      <c r="A10" s="6" t="s">
        <v>70</v>
      </c>
      <c r="B10" s="8">
        <f>SUM(Reports!B3:E3)</f>
        <v>23264</v>
      </c>
      <c r="C10" s="8">
        <f>SUM(Reports!F3:I3)</f>
        <v>23689</v>
      </c>
      <c r="D10" s="16">
        <f>SUM(Reports!J3:M3)</f>
        <v>23510</v>
      </c>
      <c r="E10" s="16">
        <f>SUM(Reports!N3:Q3)</f>
        <v>23812</v>
      </c>
      <c r="F10" s="16">
        <f>E10*1.02</f>
        <v>24288.240000000002</v>
      </c>
      <c r="G10" s="16">
        <f t="shared" ref="G10:J10" si="1">F10*1.02</f>
        <v>24774.004800000002</v>
      </c>
      <c r="H10" s="16">
        <f t="shared" si="1"/>
        <v>25269.484896000002</v>
      </c>
      <c r="I10" s="16">
        <f t="shared" si="1"/>
        <v>25774.874593920002</v>
      </c>
      <c r="J10" s="16">
        <f t="shared" si="1"/>
        <v>26290.372085798401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>
      <c r="A11" s="6" t="s">
        <v>71</v>
      </c>
      <c r="B11" s="8">
        <f>SUM(Reports!B4:E4)</f>
        <v>16162</v>
      </c>
      <c r="C11" s="8">
        <f>SUM(Reports!F4:I4)</f>
        <v>16974</v>
      </c>
      <c r="D11" s="16">
        <f>SUM(Reports!J4:M4)</f>
        <v>18415</v>
      </c>
      <c r="E11" s="16">
        <f>SUM(Reports!N4:Q4)</f>
        <v>21669</v>
      </c>
      <c r="F11" s="16">
        <f>E11*1.15</f>
        <v>24919.35</v>
      </c>
      <c r="G11" s="16">
        <f t="shared" ref="G11:J11" si="2">F11*1.15</f>
        <v>28657.252499999995</v>
      </c>
      <c r="H11" s="16">
        <f t="shared" si="2"/>
        <v>32955.840374999992</v>
      </c>
      <c r="I11" s="16">
        <f t="shared" si="2"/>
        <v>37899.216431249988</v>
      </c>
      <c r="J11" s="16">
        <f t="shared" si="2"/>
        <v>43584.098895937481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>
      <c r="A12" s="6" t="s">
        <v>72</v>
      </c>
      <c r="B12" s="8">
        <f>SUM(Reports!B5:E5)</f>
        <v>8097</v>
      </c>
      <c r="C12" s="8">
        <f>SUM(Reports!F5:I5)</f>
        <v>9441</v>
      </c>
      <c r="D12" s="16">
        <f>SUM(Reports!J5:M5)</f>
        <v>8379</v>
      </c>
      <c r="E12" s="16">
        <f>SUM(Reports!N5:Q5)</f>
        <v>9992</v>
      </c>
      <c r="F12" s="16">
        <f>E12*0.95</f>
        <v>9492.4</v>
      </c>
      <c r="G12" s="16">
        <f t="shared" ref="G12:J12" si="3">F12*0.95</f>
        <v>9017.7799999999988</v>
      </c>
      <c r="H12" s="16">
        <f t="shared" si="3"/>
        <v>8566.8909999999978</v>
      </c>
      <c r="I12" s="16">
        <f t="shared" si="3"/>
        <v>8138.5464499999971</v>
      </c>
      <c r="J12" s="16">
        <f t="shared" si="3"/>
        <v>7731.6191274999965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>
      <c r="A13" s="6" t="s">
        <v>73</v>
      </c>
      <c r="B13" s="8">
        <f>SUM(Reports!B6:E6)</f>
        <v>4942</v>
      </c>
      <c r="C13" s="8">
        <f>SUM(Reports!F6:I6)</f>
        <v>5528</v>
      </c>
      <c r="D13" s="16">
        <f>SUM(Reports!J6:M6)</f>
        <v>4833</v>
      </c>
      <c r="E13" s="16">
        <f>SUM(Reports!N6:Q6)</f>
        <v>4132</v>
      </c>
      <c r="F13" s="16">
        <f>E13*1.05</f>
        <v>4338.6000000000004</v>
      </c>
      <c r="G13" s="16">
        <f t="shared" ref="G13:J13" si="4">F13*1.05</f>
        <v>4555.5300000000007</v>
      </c>
      <c r="H13" s="16">
        <f t="shared" si="4"/>
        <v>4783.3065000000006</v>
      </c>
      <c r="I13" s="16">
        <f t="shared" si="4"/>
        <v>5022.4718250000005</v>
      </c>
      <c r="J13" s="16">
        <f t="shared" si="4"/>
        <v>5273.5954162500011</v>
      </c>
    </row>
    <row r="14" spans="1:122">
      <c r="A14" s="14" t="s">
        <v>130</v>
      </c>
      <c r="B14" s="8"/>
      <c r="C14" s="8"/>
      <c r="D14" s="16"/>
      <c r="E14" s="16">
        <f>SUM(Reports!N7:Q7)</f>
        <v>-171</v>
      </c>
      <c r="F14" s="16">
        <f>E14*0.98</f>
        <v>-167.57999999999998</v>
      </c>
      <c r="G14" s="16">
        <f>F14</f>
        <v>-167.57999999999998</v>
      </c>
      <c r="H14" s="16">
        <f t="shared" ref="H14:J14" si="5">G14</f>
        <v>-167.57999999999998</v>
      </c>
      <c r="I14" s="16">
        <f t="shared" si="5"/>
        <v>-167.57999999999998</v>
      </c>
      <c r="J14" s="16">
        <f t="shared" si="5"/>
        <v>-167.57999999999998</v>
      </c>
    </row>
    <row r="15" spans="1:122">
      <c r="F15" s="16"/>
      <c r="G15" s="16"/>
      <c r="H15" s="16"/>
      <c r="I15" s="16"/>
    </row>
    <row r="16" spans="1:122">
      <c r="A16" s="2" t="s">
        <v>4</v>
      </c>
      <c r="B16" s="17">
        <f>SUM(B10:B13)</f>
        <v>52465</v>
      </c>
      <c r="C16" s="17">
        <f>SUM(C10:C13)</f>
        <v>55632</v>
      </c>
      <c r="D16" s="17">
        <f>SUM(D10:D13)</f>
        <v>55137</v>
      </c>
      <c r="E16" s="17">
        <f>SUM(E10:E14)</f>
        <v>59434</v>
      </c>
      <c r="F16" s="50">
        <f>SUM(F10:F14)</f>
        <v>62871.009999999995</v>
      </c>
      <c r="G16" s="50">
        <f>SUM(G10:G14)</f>
        <v>66836.987299999993</v>
      </c>
      <c r="H16" s="50">
        <f t="shared" ref="H16:J16" si="6">SUM(H10:H14)</f>
        <v>71407.942771000002</v>
      </c>
      <c r="I16" s="50">
        <f t="shared" si="6"/>
        <v>76667.52930016999</v>
      </c>
      <c r="J16" s="50">
        <f t="shared" si="6"/>
        <v>82712.10552548588</v>
      </c>
      <c r="K16" s="18">
        <f>J16*1.02</f>
        <v>84366.347635995597</v>
      </c>
      <c r="L16" s="18">
        <f t="shared" ref="L16:Q16" si="7">K16*1.02</f>
        <v>86053.674588715512</v>
      </c>
      <c r="M16" s="18">
        <f t="shared" si="7"/>
        <v>87774.748080489822</v>
      </c>
      <c r="N16" s="18">
        <f t="shared" si="7"/>
        <v>89530.243042099624</v>
      </c>
      <c r="O16" s="18">
        <f t="shared" si="7"/>
        <v>91320.847902941619</v>
      </c>
      <c r="P16" s="18">
        <f t="shared" si="7"/>
        <v>93147.264861000454</v>
      </c>
      <c r="Q16" s="18">
        <f t="shared" si="7"/>
        <v>95010.210158220463</v>
      </c>
      <c r="R16" s="18"/>
      <c r="S16" s="18"/>
      <c r="T16" s="18"/>
      <c r="U16" s="18"/>
      <c r="V16" s="18"/>
    </row>
    <row r="17" spans="1:122">
      <c r="A17" s="3" t="s">
        <v>5</v>
      </c>
      <c r="B17" s="8">
        <f>SUM(Reports!B10:E10)</f>
        <v>28364</v>
      </c>
      <c r="C17" s="8">
        <f>SUM(Reports!F10:I10)</f>
        <v>29993</v>
      </c>
      <c r="D17" s="16">
        <f>SUM(Reports!J10:M10)</f>
        <v>30306</v>
      </c>
      <c r="E17" s="16">
        <f>SUM(Reports!N10:Q10)</f>
        <v>32726</v>
      </c>
      <c r="F17" s="8">
        <f>F16-F18</f>
        <v>34618.512522461882</v>
      </c>
      <c r="G17" s="8">
        <f>G16-G18</f>
        <v>36802.289032873436</v>
      </c>
      <c r="H17" s="8">
        <f t="shared" ref="H17" si="8">H16-H18</f>
        <v>39319.183213711782</v>
      </c>
      <c r="I17" s="8">
        <f t="shared" ref="I17:Q17" si="9">I16-I18</f>
        <v>42215.256652376804</v>
      </c>
      <c r="J17" s="8">
        <f t="shared" si="9"/>
        <v>45543.567073174461</v>
      </c>
      <c r="K17" s="8">
        <f t="shared" si="9"/>
        <v>46454.438414637945</v>
      </c>
      <c r="L17" s="8">
        <f t="shared" si="9"/>
        <v>47383.527182930702</v>
      </c>
      <c r="M17" s="8">
        <f t="shared" si="9"/>
        <v>48331.197726589315</v>
      </c>
      <c r="N17" s="8">
        <f t="shared" si="9"/>
        <v>49297.821681121102</v>
      </c>
      <c r="O17" s="8">
        <f t="shared" si="9"/>
        <v>50283.778114743523</v>
      </c>
      <c r="P17" s="8">
        <f t="shared" si="9"/>
        <v>51289.453677038393</v>
      </c>
      <c r="Q17" s="8">
        <f t="shared" si="9"/>
        <v>52315.242750579164</v>
      </c>
      <c r="R17" s="8"/>
      <c r="S17" s="8"/>
      <c r="T17" s="8"/>
      <c r="U17" s="8"/>
      <c r="V17" s="8"/>
    </row>
    <row r="18" spans="1:122">
      <c r="A18" s="3" t="s">
        <v>6</v>
      </c>
      <c r="B18" s="10">
        <f>B16-B17</f>
        <v>24101</v>
      </c>
      <c r="C18" s="10">
        <f>C16-C17</f>
        <v>25639</v>
      </c>
      <c r="D18" s="10">
        <f>D16-D17</f>
        <v>24831</v>
      </c>
      <c r="E18" s="10">
        <f>E16-E17</f>
        <v>26708</v>
      </c>
      <c r="F18" s="8">
        <f>F16*E29</f>
        <v>28252.497477538109</v>
      </c>
      <c r="G18" s="8">
        <f t="shared" ref="G18:Q18" si="10">G16*F29</f>
        <v>30034.698267126558</v>
      </c>
      <c r="H18" s="8">
        <f t="shared" si="10"/>
        <v>32088.75955728822</v>
      </c>
      <c r="I18" s="8">
        <f t="shared" si="10"/>
        <v>34452.272647793186</v>
      </c>
      <c r="J18" s="8">
        <f t="shared" si="10"/>
        <v>37168.538452311419</v>
      </c>
      <c r="K18" s="8">
        <f t="shared" si="10"/>
        <v>37911.909221357651</v>
      </c>
      <c r="L18" s="8">
        <f t="shared" si="10"/>
        <v>38670.14740578481</v>
      </c>
      <c r="M18" s="8">
        <f t="shared" si="10"/>
        <v>39443.550353900508</v>
      </c>
      <c r="N18" s="8">
        <f t="shared" si="10"/>
        <v>40232.421360978522</v>
      </c>
      <c r="O18" s="8">
        <f t="shared" si="10"/>
        <v>41037.069788198096</v>
      </c>
      <c r="P18" s="8">
        <f t="shared" si="10"/>
        <v>41857.811183962061</v>
      </c>
      <c r="Q18" s="8">
        <f t="shared" si="10"/>
        <v>42694.967407641299</v>
      </c>
      <c r="R18" s="8"/>
      <c r="S18" s="8"/>
      <c r="T18" s="8"/>
      <c r="U18" s="8"/>
      <c r="V18" s="8"/>
    </row>
    <row r="19" spans="1:122">
      <c r="A19" s="3" t="s">
        <v>113</v>
      </c>
      <c r="B19" s="8">
        <f>SUM(Reports!B12:E12)</f>
        <v>10877</v>
      </c>
      <c r="C19" s="8">
        <f>SUM(Reports!F12:I12)</f>
        <v>11281</v>
      </c>
      <c r="D19" s="16">
        <f>SUM(Reports!J12:M12)</f>
        <v>10958</v>
      </c>
      <c r="E19" s="16">
        <f>SUM(Reports!N12:Q12)</f>
        <v>11871</v>
      </c>
      <c r="F19" s="8">
        <f>E19*1.05</f>
        <v>12464.550000000001</v>
      </c>
      <c r="G19" s="8">
        <f t="shared" ref="G19:J19" si="11">F19*1.05</f>
        <v>13087.777500000002</v>
      </c>
      <c r="H19" s="8">
        <f t="shared" si="11"/>
        <v>13742.166375000003</v>
      </c>
      <c r="I19" s="8">
        <f t="shared" si="11"/>
        <v>14429.274693750003</v>
      </c>
      <c r="J19" s="8">
        <f t="shared" si="11"/>
        <v>15150.738428437504</v>
      </c>
      <c r="K19" s="8">
        <f>J19*0.98</f>
        <v>14847.723659868754</v>
      </c>
      <c r="L19" s="8">
        <f t="shared" ref="L19:Q19" si="12">K19*0.98</f>
        <v>14550.769186671379</v>
      </c>
      <c r="M19" s="8">
        <f t="shared" si="12"/>
        <v>14259.753802937952</v>
      </c>
      <c r="N19" s="8">
        <f t="shared" si="12"/>
        <v>13974.558726879193</v>
      </c>
      <c r="O19" s="8">
        <f t="shared" si="12"/>
        <v>13695.067552341608</v>
      </c>
      <c r="P19" s="8">
        <f t="shared" si="12"/>
        <v>13421.166201294776</v>
      </c>
      <c r="Q19" s="8">
        <f t="shared" si="12"/>
        <v>13152.74287726888</v>
      </c>
      <c r="R19" s="8"/>
      <c r="S19" s="8"/>
      <c r="T19" s="8"/>
      <c r="U19" s="8"/>
      <c r="V19" s="8"/>
    </row>
    <row r="20" spans="1:122">
      <c r="A20" s="3" t="s">
        <v>7</v>
      </c>
      <c r="B20" s="10">
        <f t="shared" ref="B20:Q20" si="13">SUM(B19:B19)</f>
        <v>10877</v>
      </c>
      <c r="C20" s="10">
        <f t="shared" si="13"/>
        <v>11281</v>
      </c>
      <c r="D20" s="10">
        <f t="shared" si="13"/>
        <v>10958</v>
      </c>
      <c r="E20" s="10">
        <f t="shared" si="13"/>
        <v>11871</v>
      </c>
      <c r="F20" s="8">
        <f t="shared" si="13"/>
        <v>12464.550000000001</v>
      </c>
      <c r="G20" s="8">
        <f t="shared" si="13"/>
        <v>13087.777500000002</v>
      </c>
      <c r="H20" s="8">
        <f t="shared" si="13"/>
        <v>13742.166375000003</v>
      </c>
      <c r="I20" s="8">
        <f t="shared" si="13"/>
        <v>14429.274693750003</v>
      </c>
      <c r="J20" s="8">
        <f t="shared" si="13"/>
        <v>15150.738428437504</v>
      </c>
      <c r="K20" s="8">
        <f t="shared" si="13"/>
        <v>14847.723659868754</v>
      </c>
      <c r="L20" s="8">
        <f t="shared" si="13"/>
        <v>14550.769186671379</v>
      </c>
      <c r="M20" s="8">
        <f t="shared" si="13"/>
        <v>14259.753802937952</v>
      </c>
      <c r="N20" s="8">
        <f t="shared" si="13"/>
        <v>13974.558726879193</v>
      </c>
      <c r="O20" s="8">
        <f t="shared" si="13"/>
        <v>13695.067552341608</v>
      </c>
      <c r="P20" s="8">
        <f t="shared" si="13"/>
        <v>13421.166201294776</v>
      </c>
      <c r="Q20" s="8">
        <f t="shared" si="13"/>
        <v>13152.74287726888</v>
      </c>
      <c r="R20" s="8"/>
      <c r="S20" s="8"/>
      <c r="T20" s="8"/>
      <c r="U20" s="8"/>
      <c r="V20" s="8"/>
    </row>
    <row r="21" spans="1:122">
      <c r="A21" s="3" t="s">
        <v>8</v>
      </c>
      <c r="B21" s="10">
        <f t="shared" ref="B21:Q21" si="14">B18-B20</f>
        <v>13224</v>
      </c>
      <c r="C21" s="10">
        <f t="shared" si="14"/>
        <v>14358</v>
      </c>
      <c r="D21" s="10">
        <f t="shared" si="14"/>
        <v>13873</v>
      </c>
      <c r="E21" s="10">
        <f t="shared" si="14"/>
        <v>14837</v>
      </c>
      <c r="F21" s="8">
        <f t="shared" si="14"/>
        <v>15787.947477538108</v>
      </c>
      <c r="G21" s="8">
        <f t="shared" si="14"/>
        <v>16946.920767126554</v>
      </c>
      <c r="H21" s="8">
        <f t="shared" si="14"/>
        <v>18346.593182288219</v>
      </c>
      <c r="I21" s="8">
        <f t="shared" si="14"/>
        <v>20022.997954043181</v>
      </c>
      <c r="J21" s="8">
        <f t="shared" si="14"/>
        <v>22017.800023873915</v>
      </c>
      <c r="K21" s="8">
        <f t="shared" si="14"/>
        <v>23064.185561488899</v>
      </c>
      <c r="L21" s="8">
        <f t="shared" si="14"/>
        <v>24119.378219113431</v>
      </c>
      <c r="M21" s="8">
        <f t="shared" si="14"/>
        <v>25183.796550962557</v>
      </c>
      <c r="N21" s="8">
        <f t="shared" si="14"/>
        <v>26257.862634099329</v>
      </c>
      <c r="O21" s="8">
        <f t="shared" si="14"/>
        <v>27342.002235856489</v>
      </c>
      <c r="P21" s="8">
        <f t="shared" si="14"/>
        <v>28436.644982667283</v>
      </c>
      <c r="Q21" s="8">
        <f t="shared" si="14"/>
        <v>29542.224530372419</v>
      </c>
      <c r="R21" s="8"/>
      <c r="S21" s="8"/>
      <c r="T21" s="8"/>
      <c r="U21" s="8"/>
      <c r="V21" s="8"/>
    </row>
    <row r="22" spans="1:122">
      <c r="A22" s="3" t="s">
        <v>9</v>
      </c>
      <c r="B22" s="8">
        <f>SUM(Reports!B15:E15)</f>
        <v>644</v>
      </c>
      <c r="C22" s="8">
        <f>SUM(Reports!F15:I15)</f>
        <v>510</v>
      </c>
      <c r="D22" s="16">
        <f>SUM(Reports!J15:M15)</f>
        <v>-85</v>
      </c>
      <c r="E22" s="16">
        <f>SUM(Reports!N15:Q15)</f>
        <v>-108</v>
      </c>
      <c r="F22" s="8">
        <f>E37*$F$3</f>
        <v>-276.5</v>
      </c>
      <c r="G22" s="8">
        <f>F37*$F$3</f>
        <v>-59.339735314466488</v>
      </c>
      <c r="H22" s="8">
        <f t="shared" ref="H22:Q22" si="15">G37*$F$3</f>
        <v>177.08639913090272</v>
      </c>
      <c r="I22" s="8">
        <f t="shared" si="15"/>
        <v>436.41791327077044</v>
      </c>
      <c r="J22" s="8">
        <f t="shared" si="15"/>
        <v>722.84973541316583</v>
      </c>
      <c r="K22" s="8">
        <f t="shared" si="15"/>
        <v>1041.2188320431849</v>
      </c>
      <c r="L22" s="8">
        <f t="shared" si="15"/>
        <v>1378.6944935526342</v>
      </c>
      <c r="M22" s="8">
        <f t="shared" si="15"/>
        <v>1735.6675115299593</v>
      </c>
      <c r="N22" s="8">
        <f t="shared" si="15"/>
        <v>2112.5400084048547</v>
      </c>
      <c r="O22" s="8">
        <f t="shared" si="15"/>
        <v>2509.7256453999134</v>
      </c>
      <c r="P22" s="8">
        <f t="shared" si="15"/>
        <v>2927.6498357375031</v>
      </c>
      <c r="Q22" s="8">
        <f t="shared" si="15"/>
        <v>3366.7499631951705</v>
      </c>
      <c r="R22" s="8"/>
      <c r="S22" s="8"/>
      <c r="T22" s="8"/>
      <c r="U22" s="8"/>
      <c r="V22" s="8"/>
    </row>
    <row r="23" spans="1:122">
      <c r="A23" s="3" t="s">
        <v>10</v>
      </c>
      <c r="B23" s="10">
        <f>B21+B22</f>
        <v>13868</v>
      </c>
      <c r="C23" s="10">
        <f>C21+C22</f>
        <v>14868</v>
      </c>
      <c r="D23" s="10">
        <f>D21+D22</f>
        <v>13788</v>
      </c>
      <c r="E23" s="10">
        <f>E21+E22</f>
        <v>14729</v>
      </c>
      <c r="F23" s="8">
        <f>F21+F22</f>
        <v>15511.447477538108</v>
      </c>
      <c r="G23" s="8">
        <f t="shared" ref="G23:H23" si="16">G21+G22</f>
        <v>16887.581031812086</v>
      </c>
      <c r="H23" s="8">
        <f t="shared" si="16"/>
        <v>18523.679581419121</v>
      </c>
      <c r="I23" s="8">
        <f t="shared" ref="I23" si="17">I21+I22</f>
        <v>20459.415867313954</v>
      </c>
      <c r="J23" s="8">
        <f t="shared" ref="J23" si="18">J21+J22</f>
        <v>22740.64975928708</v>
      </c>
      <c r="K23" s="8">
        <f t="shared" ref="K23" si="19">K21+K22</f>
        <v>24105.404393532084</v>
      </c>
      <c r="L23" s="8">
        <f t="shared" ref="L23" si="20">L21+L22</f>
        <v>25498.072712666064</v>
      </c>
      <c r="M23" s="8">
        <f t="shared" ref="M23" si="21">M21+M22</f>
        <v>26919.464062492516</v>
      </c>
      <c r="N23" s="8">
        <f t="shared" ref="N23" si="22">N21+N22</f>
        <v>28370.402642504185</v>
      </c>
      <c r="O23" s="8">
        <f t="shared" ref="O23" si="23">O21+O22</f>
        <v>29851.727881256404</v>
      </c>
      <c r="P23" s="8">
        <f t="shared" ref="P23" si="24">P21+P22</f>
        <v>31364.294818404785</v>
      </c>
      <c r="Q23" s="8">
        <f t="shared" ref="Q23" si="25">Q21+Q22</f>
        <v>32908.974493567592</v>
      </c>
      <c r="R23" s="8"/>
      <c r="S23" s="8"/>
      <c r="T23" s="8"/>
      <c r="U23" s="8"/>
      <c r="V23" s="8"/>
    </row>
    <row r="24" spans="1:122">
      <c r="A24" s="3" t="s">
        <v>11</v>
      </c>
      <c r="B24" s="8">
        <f>SUM(Reports!B17:E17)</f>
        <v>5016</v>
      </c>
      <c r="C24" s="8">
        <f>SUM(Reports!F17:I17)</f>
        <v>5078</v>
      </c>
      <c r="D24" s="16">
        <f>SUM(Reports!J17:M17)</f>
        <v>4422</v>
      </c>
      <c r="E24" s="16">
        <f>SUM(Reports!N17:Q17)</f>
        <v>1663</v>
      </c>
      <c r="F24" s="8">
        <f>F23*0.3</f>
        <v>4653.4342432614321</v>
      </c>
      <c r="G24" s="8">
        <f t="shared" ref="G24:Q24" si="26">G23*0.3</f>
        <v>5066.2743095436253</v>
      </c>
      <c r="H24" s="8">
        <f t="shared" si="26"/>
        <v>5557.1038744257357</v>
      </c>
      <c r="I24" s="8">
        <f t="shared" si="26"/>
        <v>6137.8247601941857</v>
      </c>
      <c r="J24" s="8">
        <f t="shared" si="26"/>
        <v>6822.194927786124</v>
      </c>
      <c r="K24" s="8">
        <f t="shared" si="26"/>
        <v>7231.6213180596251</v>
      </c>
      <c r="L24" s="8">
        <f t="shared" si="26"/>
        <v>7649.4218137998187</v>
      </c>
      <c r="M24" s="8">
        <f t="shared" si="26"/>
        <v>8075.8392187477548</v>
      </c>
      <c r="N24" s="8">
        <f t="shared" si="26"/>
        <v>8511.1207927512551</v>
      </c>
      <c r="O24" s="8">
        <f t="shared" si="26"/>
        <v>8955.5183643769215</v>
      </c>
      <c r="P24" s="8">
        <f t="shared" si="26"/>
        <v>9409.2884455214353</v>
      </c>
      <c r="Q24" s="8">
        <f t="shared" si="26"/>
        <v>9872.6923480702771</v>
      </c>
      <c r="R24" s="8"/>
      <c r="S24" s="8"/>
      <c r="T24" s="8"/>
      <c r="U24" s="8"/>
      <c r="V24" s="8"/>
    </row>
    <row r="25" spans="1:122" s="2" customFormat="1">
      <c r="A25" s="2" t="s">
        <v>12</v>
      </c>
      <c r="B25" s="17">
        <f>B23-B24</f>
        <v>8852</v>
      </c>
      <c r="C25" s="17">
        <f>C23-C24</f>
        <v>9790</v>
      </c>
      <c r="D25" s="17">
        <f>D23-D24</f>
        <v>9366</v>
      </c>
      <c r="E25" s="17">
        <f>E23-E24</f>
        <v>13066</v>
      </c>
      <c r="F25" s="17">
        <f t="shared" ref="F25:H25" si="27">F23-F24</f>
        <v>10858.013234276676</v>
      </c>
      <c r="G25" s="17">
        <f t="shared" si="27"/>
        <v>11821.30672226846</v>
      </c>
      <c r="H25" s="17">
        <f t="shared" si="27"/>
        <v>12966.575706993386</v>
      </c>
      <c r="I25" s="17">
        <f t="shared" ref="I25:Q25" si="28">I23-I24</f>
        <v>14321.591107119768</v>
      </c>
      <c r="J25" s="17">
        <f t="shared" si="28"/>
        <v>15918.454831500956</v>
      </c>
      <c r="K25" s="17">
        <f t="shared" si="28"/>
        <v>16873.78307547246</v>
      </c>
      <c r="L25" s="17">
        <f t="shared" si="28"/>
        <v>17848.650898866246</v>
      </c>
      <c r="M25" s="17">
        <f t="shared" si="28"/>
        <v>18843.624843744761</v>
      </c>
      <c r="N25" s="17">
        <f t="shared" si="28"/>
        <v>19859.28184975293</v>
      </c>
      <c r="O25" s="17">
        <f t="shared" si="28"/>
        <v>20896.209516879484</v>
      </c>
      <c r="P25" s="17">
        <f t="shared" si="28"/>
        <v>21955.006372883348</v>
      </c>
      <c r="Q25" s="17">
        <f t="shared" si="28"/>
        <v>23036.282145497316</v>
      </c>
      <c r="R25" s="17">
        <f>Q25*($F$2+1)</f>
        <v>22575.556502587369</v>
      </c>
      <c r="S25" s="17">
        <f t="shared" ref="S25:CD25" si="29">R25*($F$2+1)</f>
        <v>22124.04537253562</v>
      </c>
      <c r="T25" s="17">
        <f t="shared" si="29"/>
        <v>21681.564465084906</v>
      </c>
      <c r="U25" s="17">
        <f t="shared" si="29"/>
        <v>21247.933175783208</v>
      </c>
      <c r="V25" s="17">
        <f t="shared" si="29"/>
        <v>20822.974512267545</v>
      </c>
      <c r="W25" s="17">
        <f t="shared" si="29"/>
        <v>20406.515022022195</v>
      </c>
      <c r="X25" s="17">
        <f t="shared" si="29"/>
        <v>19998.384721581751</v>
      </c>
      <c r="Y25" s="17">
        <f t="shared" si="29"/>
        <v>19598.417027150117</v>
      </c>
      <c r="Z25" s="17">
        <f t="shared" si="29"/>
        <v>19206.448686607113</v>
      </c>
      <c r="AA25" s="17">
        <f t="shared" si="29"/>
        <v>18822.319712874971</v>
      </c>
      <c r="AB25" s="17">
        <f t="shared" si="29"/>
        <v>18445.873318617472</v>
      </c>
      <c r="AC25" s="17">
        <f t="shared" si="29"/>
        <v>18076.955852245123</v>
      </c>
      <c r="AD25" s="17">
        <f t="shared" si="29"/>
        <v>17715.416735200219</v>
      </c>
      <c r="AE25" s="17">
        <f t="shared" si="29"/>
        <v>17361.108400496214</v>
      </c>
      <c r="AF25" s="17">
        <f t="shared" si="29"/>
        <v>17013.886232486289</v>
      </c>
      <c r="AG25" s="17">
        <f t="shared" si="29"/>
        <v>16673.608507836565</v>
      </c>
      <c r="AH25" s="17">
        <f t="shared" si="29"/>
        <v>16340.136337679833</v>
      </c>
      <c r="AI25" s="17">
        <f t="shared" si="29"/>
        <v>16013.333610926236</v>
      </c>
      <c r="AJ25" s="17">
        <f t="shared" si="29"/>
        <v>15693.066938707711</v>
      </c>
      <c r="AK25" s="17">
        <f t="shared" si="29"/>
        <v>15379.205599933555</v>
      </c>
      <c r="AL25" s="17">
        <f t="shared" si="29"/>
        <v>15071.621487934884</v>
      </c>
      <c r="AM25" s="17">
        <f t="shared" si="29"/>
        <v>14770.189058176187</v>
      </c>
      <c r="AN25" s="17">
        <f t="shared" si="29"/>
        <v>14474.785277012663</v>
      </c>
      <c r="AO25" s="17">
        <f t="shared" si="29"/>
        <v>14185.289571472409</v>
      </c>
      <c r="AP25" s="17">
        <f t="shared" si="29"/>
        <v>13901.58378004296</v>
      </c>
      <c r="AQ25" s="17">
        <f t="shared" si="29"/>
        <v>13623.5521044421</v>
      </c>
      <c r="AR25" s="17">
        <f t="shared" si="29"/>
        <v>13351.081062353258</v>
      </c>
      <c r="AS25" s="17">
        <f t="shared" si="29"/>
        <v>13084.059441106192</v>
      </c>
      <c r="AT25" s="17">
        <f t="shared" si="29"/>
        <v>12822.378252284068</v>
      </c>
      <c r="AU25" s="17">
        <f t="shared" si="29"/>
        <v>12565.930687238386</v>
      </c>
      <c r="AV25" s="17">
        <f t="shared" si="29"/>
        <v>12314.612073493618</v>
      </c>
      <c r="AW25" s="17">
        <f t="shared" si="29"/>
        <v>12068.319832023744</v>
      </c>
      <c r="AX25" s="17">
        <f t="shared" si="29"/>
        <v>11826.95343538327</v>
      </c>
      <c r="AY25" s="17">
        <f t="shared" si="29"/>
        <v>11590.414366675604</v>
      </c>
      <c r="AZ25" s="17">
        <f t="shared" si="29"/>
        <v>11358.606079342093</v>
      </c>
      <c r="BA25" s="17">
        <f t="shared" si="29"/>
        <v>11131.433957755251</v>
      </c>
      <c r="BB25" s="17">
        <f t="shared" si="29"/>
        <v>10908.805278600146</v>
      </c>
      <c r="BC25" s="17">
        <f t="shared" si="29"/>
        <v>10690.629173028143</v>
      </c>
      <c r="BD25" s="17">
        <f t="shared" si="29"/>
        <v>10476.816589567579</v>
      </c>
      <c r="BE25" s="17">
        <f t="shared" si="29"/>
        <v>10267.280257776227</v>
      </c>
      <c r="BF25" s="17">
        <f t="shared" si="29"/>
        <v>10061.934652620703</v>
      </c>
      <c r="BG25" s="17">
        <f t="shared" si="29"/>
        <v>9860.6959595682893</v>
      </c>
      <c r="BH25" s="17">
        <f t="shared" si="29"/>
        <v>9663.4820403769227</v>
      </c>
      <c r="BI25" s="17">
        <f t="shared" si="29"/>
        <v>9470.2123995693837</v>
      </c>
      <c r="BJ25" s="17">
        <f t="shared" si="29"/>
        <v>9280.8081515779959</v>
      </c>
      <c r="BK25" s="17">
        <f t="shared" si="29"/>
        <v>9095.1919885464358</v>
      </c>
      <c r="BL25" s="17">
        <f t="shared" si="29"/>
        <v>8913.2881487755076</v>
      </c>
      <c r="BM25" s="17">
        <f t="shared" si="29"/>
        <v>8735.0223857999972</v>
      </c>
      <c r="BN25" s="17">
        <f t="shared" si="29"/>
        <v>8560.3219380839964</v>
      </c>
      <c r="BO25" s="17">
        <f t="shared" si="29"/>
        <v>8389.1154993223172</v>
      </c>
      <c r="BP25" s="17">
        <f t="shared" si="29"/>
        <v>8221.33318933587</v>
      </c>
      <c r="BQ25" s="17">
        <f t="shared" si="29"/>
        <v>8056.9065255491523</v>
      </c>
      <c r="BR25" s="17">
        <f t="shared" si="29"/>
        <v>7895.7683950381688</v>
      </c>
      <c r="BS25" s="17">
        <f t="shared" si="29"/>
        <v>7737.8530271374057</v>
      </c>
      <c r="BT25" s="17">
        <f t="shared" si="29"/>
        <v>7583.0959665946575</v>
      </c>
      <c r="BU25" s="17">
        <f t="shared" si="29"/>
        <v>7431.4340472627646</v>
      </c>
      <c r="BV25" s="17">
        <f t="shared" si="29"/>
        <v>7282.8053663175087</v>
      </c>
      <c r="BW25" s="17">
        <f t="shared" si="29"/>
        <v>7137.1492589911586</v>
      </c>
      <c r="BX25" s="17">
        <f t="shared" si="29"/>
        <v>6994.4062738113353</v>
      </c>
      <c r="BY25" s="17">
        <f t="shared" si="29"/>
        <v>6854.5181483351089</v>
      </c>
      <c r="BZ25" s="17">
        <f t="shared" si="29"/>
        <v>6717.4277853684061</v>
      </c>
      <c r="CA25" s="17">
        <f t="shared" si="29"/>
        <v>6583.079229661038</v>
      </c>
      <c r="CB25" s="17">
        <f t="shared" si="29"/>
        <v>6451.4176450678169</v>
      </c>
      <c r="CC25" s="17">
        <f t="shared" si="29"/>
        <v>6322.3892921664601</v>
      </c>
      <c r="CD25" s="17">
        <f t="shared" si="29"/>
        <v>6195.9415063231309</v>
      </c>
      <c r="CE25" s="17">
        <f t="shared" ref="CE25:DR25" si="30">CD25*($F$2+1)</f>
        <v>6072.0226761966678</v>
      </c>
      <c r="CF25" s="17">
        <f t="shared" si="30"/>
        <v>5950.5822226727341</v>
      </c>
      <c r="CG25" s="17">
        <f t="shared" si="30"/>
        <v>5831.570578219279</v>
      </c>
      <c r="CH25" s="17">
        <f t="shared" si="30"/>
        <v>5714.9391666548936</v>
      </c>
      <c r="CI25" s="17">
        <f t="shared" si="30"/>
        <v>5600.6403833217955</v>
      </c>
      <c r="CJ25" s="17">
        <f t="shared" si="30"/>
        <v>5488.6275756553596</v>
      </c>
      <c r="CK25" s="17">
        <f t="shared" si="30"/>
        <v>5378.8550241422527</v>
      </c>
      <c r="CL25" s="17">
        <f t="shared" si="30"/>
        <v>5271.2779236594079</v>
      </c>
      <c r="CM25" s="17">
        <f t="shared" si="30"/>
        <v>5165.8523651862197</v>
      </c>
      <c r="CN25" s="17">
        <f t="shared" si="30"/>
        <v>5062.5353178824953</v>
      </c>
      <c r="CO25" s="17">
        <f t="shared" si="30"/>
        <v>4961.2846115248449</v>
      </c>
      <c r="CP25" s="17">
        <f t="shared" si="30"/>
        <v>4862.058919294348</v>
      </c>
      <c r="CQ25" s="17">
        <f t="shared" si="30"/>
        <v>4764.817740908461</v>
      </c>
      <c r="CR25" s="17">
        <f t="shared" si="30"/>
        <v>4669.5213860902913</v>
      </c>
      <c r="CS25" s="17">
        <f t="shared" si="30"/>
        <v>4576.1309583684852</v>
      </c>
      <c r="CT25" s="17">
        <f t="shared" si="30"/>
        <v>4484.6083392011151</v>
      </c>
      <c r="CU25" s="17">
        <f t="shared" si="30"/>
        <v>4394.9161724170926</v>
      </c>
      <c r="CV25" s="17">
        <f t="shared" si="30"/>
        <v>4307.0178489687505</v>
      </c>
      <c r="CW25" s="17">
        <f t="shared" si="30"/>
        <v>4220.8774919893758</v>
      </c>
      <c r="CX25" s="17">
        <f t="shared" si="30"/>
        <v>4136.4599421495886</v>
      </c>
      <c r="CY25" s="17">
        <f t="shared" si="30"/>
        <v>4053.7307433065967</v>
      </c>
      <c r="CZ25" s="17">
        <f t="shared" si="30"/>
        <v>3972.6561284404647</v>
      </c>
      <c r="DA25" s="17">
        <f t="shared" si="30"/>
        <v>3893.2030058716555</v>
      </c>
      <c r="DB25" s="17">
        <f t="shared" si="30"/>
        <v>3815.3389457542221</v>
      </c>
      <c r="DC25" s="17">
        <f t="shared" si="30"/>
        <v>3739.0321668391375</v>
      </c>
      <c r="DD25" s="17">
        <f t="shared" si="30"/>
        <v>3664.2515235023548</v>
      </c>
      <c r="DE25" s="17">
        <f t="shared" si="30"/>
        <v>3590.9664930323074</v>
      </c>
      <c r="DF25" s="17">
        <f t="shared" si="30"/>
        <v>3519.1471631716613</v>
      </c>
      <c r="DG25" s="17">
        <f t="shared" si="30"/>
        <v>3448.7642199082279</v>
      </c>
      <c r="DH25" s="17">
        <f t="shared" si="30"/>
        <v>3379.7889355100633</v>
      </c>
      <c r="DI25" s="17">
        <f t="shared" si="30"/>
        <v>3312.1931567998622</v>
      </c>
      <c r="DJ25" s="17">
        <f t="shared" si="30"/>
        <v>3245.9492936638649</v>
      </c>
      <c r="DK25" s="17">
        <f t="shared" si="30"/>
        <v>3181.0303077905874</v>
      </c>
      <c r="DL25" s="17">
        <f t="shared" si="30"/>
        <v>3117.4097016347755</v>
      </c>
      <c r="DM25" s="17">
        <f t="shared" si="30"/>
        <v>3055.0615076020799</v>
      </c>
      <c r="DN25" s="17">
        <f t="shared" si="30"/>
        <v>2993.9602774500381</v>
      </c>
      <c r="DO25" s="17">
        <f t="shared" si="30"/>
        <v>2934.0810719010374</v>
      </c>
      <c r="DP25" s="17">
        <f t="shared" si="30"/>
        <v>2875.3994504630164</v>
      </c>
      <c r="DQ25" s="17">
        <f t="shared" si="30"/>
        <v>2817.8914614537562</v>
      </c>
      <c r="DR25" s="17">
        <f t="shared" si="30"/>
        <v>2761.5336322246808</v>
      </c>
    </row>
    <row r="26" spans="1:122">
      <c r="A26" s="3" t="s">
        <v>13</v>
      </c>
      <c r="B26" s="19">
        <f>B25/B27</f>
        <v>5.1796372147454655</v>
      </c>
      <c r="C26" s="19">
        <f>C25/C27</f>
        <v>5.973154362416107</v>
      </c>
      <c r="D26" s="19">
        <f>D25/D27</f>
        <v>5.9353612167300378</v>
      </c>
      <c r="E26" s="19">
        <f>E25/E27</f>
        <v>8.6702057067020579</v>
      </c>
      <c r="F26" s="20">
        <f t="shared" ref="F26:H26" si="31">F25/F27</f>
        <v>7.2050519139194931</v>
      </c>
      <c r="G26" s="20">
        <f t="shared" si="31"/>
        <v>7.8442645801383284</v>
      </c>
      <c r="H26" s="20">
        <f t="shared" si="31"/>
        <v>8.6042307279319079</v>
      </c>
      <c r="I26" s="20">
        <f t="shared" ref="I26:Q26" si="32">I25/I27</f>
        <v>9.5033783059852475</v>
      </c>
      <c r="J26" s="20">
        <f t="shared" si="32"/>
        <v>10.563009178169182</v>
      </c>
      <c r="K26" s="20">
        <f t="shared" si="32"/>
        <v>11.196936347360623</v>
      </c>
      <c r="L26" s="20">
        <f t="shared" si="32"/>
        <v>11.843829395398968</v>
      </c>
      <c r="M26" s="20">
        <f t="shared" si="32"/>
        <v>12.504064262604354</v>
      </c>
      <c r="N26" s="20">
        <f t="shared" si="32"/>
        <v>13.17802378882079</v>
      </c>
      <c r="O26" s="20">
        <f t="shared" si="32"/>
        <v>13.866097887776698</v>
      </c>
      <c r="P26" s="20">
        <f t="shared" si="32"/>
        <v>14.568683724541041</v>
      </c>
      <c r="Q26" s="20">
        <f t="shared" si="32"/>
        <v>15.286185896149513</v>
      </c>
      <c r="R26" s="20"/>
      <c r="S26" s="20"/>
      <c r="T26" s="20"/>
      <c r="U26" s="20"/>
      <c r="V26" s="20"/>
    </row>
    <row r="27" spans="1:122" s="16" customFormat="1">
      <c r="A27" s="16" t="s">
        <v>14</v>
      </c>
      <c r="B27" s="8">
        <f>Reports!E20</f>
        <v>1709</v>
      </c>
      <c r="C27" s="8">
        <f>Reports!I20</f>
        <v>1639</v>
      </c>
      <c r="D27" s="8">
        <f>Reports!M20</f>
        <v>1578</v>
      </c>
      <c r="E27" s="8">
        <f>Reports!Q20</f>
        <v>1507</v>
      </c>
      <c r="F27" s="8">
        <f>E27</f>
        <v>1507</v>
      </c>
      <c r="G27" s="8">
        <f t="shared" ref="G27" si="33">F27</f>
        <v>1507</v>
      </c>
      <c r="H27" s="8">
        <f t="shared" ref="H27" si="34">G27</f>
        <v>1507</v>
      </c>
      <c r="I27" s="8">
        <f t="shared" ref="I27" si="35">H27</f>
        <v>1507</v>
      </c>
      <c r="J27" s="8">
        <f t="shared" ref="J27" si="36">I27</f>
        <v>1507</v>
      </c>
      <c r="K27" s="8">
        <f t="shared" ref="K27" si="37">J27</f>
        <v>1507</v>
      </c>
      <c r="L27" s="8">
        <f t="shared" ref="L27" si="38">K27</f>
        <v>1507</v>
      </c>
      <c r="M27" s="8">
        <f t="shared" ref="M27" si="39">L27</f>
        <v>1507</v>
      </c>
      <c r="N27" s="8">
        <f t="shared" ref="N27" si="40">M27</f>
        <v>1507</v>
      </c>
      <c r="O27" s="8">
        <f t="shared" ref="O27" si="41">N27</f>
        <v>1507</v>
      </c>
      <c r="P27" s="8">
        <f t="shared" ref="P27" si="42">O27</f>
        <v>1507</v>
      </c>
      <c r="Q27" s="8">
        <f t="shared" ref="Q27" si="43">P27</f>
        <v>1507</v>
      </c>
      <c r="R27" s="8"/>
      <c r="S27" s="8"/>
      <c r="T27" s="8"/>
      <c r="U27" s="8"/>
      <c r="V27" s="8"/>
    </row>
    <row r="28" spans="1:12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122">
      <c r="A29" s="3" t="s">
        <v>16</v>
      </c>
      <c r="B29" s="23">
        <f t="shared" ref="B29:Q29" si="44">IFERROR(B18/B16,0)</f>
        <v>0.45937291527685126</v>
      </c>
      <c r="C29" s="23">
        <f t="shared" si="44"/>
        <v>0.4608678458441185</v>
      </c>
      <c r="D29" s="23">
        <f t="shared" si="44"/>
        <v>0.45035094401218784</v>
      </c>
      <c r="E29" s="23">
        <f t="shared" si="44"/>
        <v>0.44937241309688059</v>
      </c>
      <c r="F29" s="23">
        <f t="shared" si="44"/>
        <v>0.44937241309688059</v>
      </c>
      <c r="G29" s="23">
        <f t="shared" si="44"/>
        <v>0.44937241309688059</v>
      </c>
      <c r="H29" s="23">
        <f t="shared" si="44"/>
        <v>0.44937241309688059</v>
      </c>
      <c r="I29" s="23">
        <f t="shared" si="44"/>
        <v>0.44937241309688059</v>
      </c>
      <c r="J29" s="23">
        <f t="shared" si="44"/>
        <v>0.44937241309688059</v>
      </c>
      <c r="K29" s="23">
        <f t="shared" si="44"/>
        <v>0.44937241309688064</v>
      </c>
      <c r="L29" s="23">
        <f t="shared" si="44"/>
        <v>0.4493724130968807</v>
      </c>
      <c r="M29" s="23">
        <f t="shared" si="44"/>
        <v>0.4493724130968807</v>
      </c>
      <c r="N29" s="23">
        <f t="shared" si="44"/>
        <v>0.4493724130968807</v>
      </c>
      <c r="O29" s="23">
        <f t="shared" si="44"/>
        <v>0.44937241309688075</v>
      </c>
      <c r="P29" s="23">
        <f t="shared" si="44"/>
        <v>0.44937241309688075</v>
      </c>
      <c r="Q29" s="23">
        <f t="shared" si="44"/>
        <v>0.44937241309688075</v>
      </c>
      <c r="R29" s="23"/>
      <c r="S29" s="23"/>
      <c r="T29" s="23"/>
      <c r="U29" s="23"/>
      <c r="V29" s="23"/>
    </row>
    <row r="30" spans="1:122">
      <c r="A30" s="3" t="s">
        <v>17</v>
      </c>
      <c r="B30" s="22">
        <f t="shared" ref="B30:Q30" si="45">IFERROR(B21/B16,0)</f>
        <v>0.25205375011912706</v>
      </c>
      <c r="C30" s="22">
        <f t="shared" si="45"/>
        <v>0.25808886971527178</v>
      </c>
      <c r="D30" s="22">
        <f t="shared" si="45"/>
        <v>0.25160962692928523</v>
      </c>
      <c r="E30" s="22">
        <f t="shared" si="45"/>
        <v>0.24963825419793384</v>
      </c>
      <c r="F30" s="22">
        <f t="shared" si="45"/>
        <v>0.25111649196566288</v>
      </c>
      <c r="G30" s="22">
        <f t="shared" si="45"/>
        <v>0.25355602416757278</v>
      </c>
      <c r="H30" s="22">
        <f t="shared" si="45"/>
        <v>0.25692650523660077</v>
      </c>
      <c r="I30" s="22">
        <f t="shared" si="45"/>
        <v>0.26116659995196673</v>
      </c>
      <c r="J30" s="22">
        <f t="shared" si="45"/>
        <v>0.2661980357529361</v>
      </c>
      <c r="K30" s="22">
        <f t="shared" si="45"/>
        <v>0.27338134466838498</v>
      </c>
      <c r="L30" s="22">
        <f t="shared" si="45"/>
        <v>0.28028295519499269</v>
      </c>
      <c r="M30" s="22">
        <f t="shared" si="45"/>
        <v>0.28691391432840008</v>
      </c>
      <c r="N30" s="22">
        <f t="shared" si="45"/>
        <v>0.29328483584873266</v>
      </c>
      <c r="O30" s="22">
        <f t="shared" si="45"/>
        <v>0.29940591730944444</v>
      </c>
      <c r="P30" s="22">
        <f t="shared" si="45"/>
        <v>0.30528695635993208</v>
      </c>
      <c r="Q30" s="22">
        <f t="shared" si="45"/>
        <v>0.31093736642804776</v>
      </c>
      <c r="R30" s="22"/>
      <c r="S30" s="22"/>
      <c r="T30" s="22"/>
      <c r="U30" s="22"/>
      <c r="V30" s="22"/>
    </row>
    <row r="31" spans="1:122">
      <c r="A31" s="3" t="s">
        <v>18</v>
      </c>
      <c r="B31" s="22">
        <f t="shared" ref="B31:Q31" si="46">IFERROR(B24/B23,0)</f>
        <v>0.36169599077011827</v>
      </c>
      <c r="C31" s="22">
        <f t="shared" si="46"/>
        <v>0.34153887543718053</v>
      </c>
      <c r="D31" s="22">
        <f t="shared" si="46"/>
        <v>0.32071366405570062</v>
      </c>
      <c r="E31" s="22">
        <f t="shared" si="46"/>
        <v>0.1129065109647634</v>
      </c>
      <c r="F31" s="22">
        <f t="shared" si="46"/>
        <v>0.3</v>
      </c>
      <c r="G31" s="22">
        <f t="shared" si="46"/>
        <v>0.3</v>
      </c>
      <c r="H31" s="22">
        <f t="shared" si="46"/>
        <v>0.3</v>
      </c>
      <c r="I31" s="22">
        <f t="shared" si="46"/>
        <v>0.3</v>
      </c>
      <c r="J31" s="22">
        <f t="shared" si="46"/>
        <v>0.3</v>
      </c>
      <c r="K31" s="22">
        <f t="shared" si="46"/>
        <v>0.3</v>
      </c>
      <c r="L31" s="22">
        <f t="shared" si="46"/>
        <v>0.3</v>
      </c>
      <c r="M31" s="22">
        <f t="shared" si="46"/>
        <v>0.3</v>
      </c>
      <c r="N31" s="22">
        <f t="shared" si="46"/>
        <v>0.3</v>
      </c>
      <c r="O31" s="22">
        <f t="shared" si="46"/>
        <v>0.3</v>
      </c>
      <c r="P31" s="22">
        <f t="shared" si="46"/>
        <v>0.3</v>
      </c>
      <c r="Q31" s="22">
        <f t="shared" si="46"/>
        <v>0.3</v>
      </c>
      <c r="R31" s="22"/>
      <c r="S31" s="22"/>
      <c r="T31" s="22"/>
      <c r="U31" s="22"/>
      <c r="V31" s="22"/>
    </row>
    <row r="32" spans="1:122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122">
      <c r="A33" s="2" t="s">
        <v>15</v>
      </c>
      <c r="B33" s="12"/>
      <c r="C33" s="21">
        <f t="shared" ref="C33:Q33" si="47">C16/B16-1</f>
        <v>6.0364052225293063E-2</v>
      </c>
      <c r="D33" s="21">
        <f t="shared" si="47"/>
        <v>-8.8977566867989299E-3</v>
      </c>
      <c r="E33" s="21">
        <f t="shared" si="47"/>
        <v>7.7933148339590419E-2</v>
      </c>
      <c r="F33" s="21">
        <f t="shared" si="47"/>
        <v>5.7829020426018785E-2</v>
      </c>
      <c r="G33" s="21">
        <f t="shared" si="47"/>
        <v>6.3081176841281783E-2</v>
      </c>
      <c r="H33" s="21">
        <f t="shared" si="47"/>
        <v>6.8389609640589155E-2</v>
      </c>
      <c r="I33" s="21">
        <f t="shared" si="47"/>
        <v>7.3655483200756766E-2</v>
      </c>
      <c r="J33" s="21">
        <f t="shared" si="47"/>
        <v>7.8841411487907243E-2</v>
      </c>
      <c r="K33" s="21">
        <f t="shared" si="47"/>
        <v>2.0000000000000018E-2</v>
      </c>
      <c r="L33" s="21">
        <f t="shared" si="47"/>
        <v>2.0000000000000018E-2</v>
      </c>
      <c r="M33" s="21">
        <f t="shared" si="47"/>
        <v>2.0000000000000018E-2</v>
      </c>
      <c r="N33" s="21">
        <f t="shared" si="47"/>
        <v>2.0000000000000018E-2</v>
      </c>
      <c r="O33" s="21">
        <f t="shared" si="47"/>
        <v>2.0000000000000018E-2</v>
      </c>
      <c r="P33" s="21">
        <f t="shared" si="47"/>
        <v>2.0000000000000018E-2</v>
      </c>
      <c r="Q33" s="21">
        <f t="shared" si="47"/>
        <v>2.0000000000000018E-2</v>
      </c>
      <c r="R33" s="21"/>
      <c r="S33" s="21"/>
      <c r="T33" s="21"/>
      <c r="U33" s="21"/>
      <c r="V33" s="21"/>
    </row>
    <row r="34" spans="1:122">
      <c r="A34" s="3" t="s">
        <v>116</v>
      </c>
      <c r="B34" s="6"/>
      <c r="C34" s="22">
        <f t="shared" ref="C34:Q34" si="48">C19/B19-1</f>
        <v>3.7142594465385592E-2</v>
      </c>
      <c r="D34" s="22">
        <f t="shared" si="48"/>
        <v>-2.8632213456253885E-2</v>
      </c>
      <c r="E34" s="22">
        <f t="shared" si="48"/>
        <v>8.3318123745208972E-2</v>
      </c>
      <c r="F34" s="22">
        <f t="shared" si="48"/>
        <v>5.0000000000000044E-2</v>
      </c>
      <c r="G34" s="22">
        <f t="shared" si="48"/>
        <v>5.0000000000000044E-2</v>
      </c>
      <c r="H34" s="22">
        <f t="shared" si="48"/>
        <v>5.0000000000000044E-2</v>
      </c>
      <c r="I34" s="22">
        <f t="shared" si="48"/>
        <v>5.0000000000000044E-2</v>
      </c>
      <c r="J34" s="22">
        <f t="shared" si="48"/>
        <v>5.0000000000000044E-2</v>
      </c>
      <c r="K34" s="22">
        <f t="shared" si="48"/>
        <v>-2.0000000000000018E-2</v>
      </c>
      <c r="L34" s="22">
        <f t="shared" si="48"/>
        <v>-2.0000000000000018E-2</v>
      </c>
      <c r="M34" s="22">
        <f t="shared" si="48"/>
        <v>-2.0000000000000018E-2</v>
      </c>
      <c r="N34" s="22">
        <f t="shared" si="48"/>
        <v>-2.0000000000000018E-2</v>
      </c>
      <c r="O34" s="22">
        <f t="shared" si="48"/>
        <v>-2.0000000000000018E-2</v>
      </c>
      <c r="P34" s="22">
        <f t="shared" si="48"/>
        <v>-2.0000000000000018E-2</v>
      </c>
      <c r="Q34" s="22">
        <f t="shared" si="48"/>
        <v>-2.0000000000000018E-2</v>
      </c>
      <c r="R34" s="22"/>
      <c r="S34" s="22"/>
      <c r="T34" s="22"/>
      <c r="U34" s="22"/>
      <c r="V34" s="22"/>
    </row>
    <row r="35" spans="1:122" s="5" customFormat="1">
      <c r="A35" s="5" t="s">
        <v>136</v>
      </c>
      <c r="B35" s="14"/>
      <c r="C35" s="62">
        <f>C20/B20-1</f>
        <v>3.7142594465385592E-2</v>
      </c>
      <c r="D35" s="62">
        <f t="shared" ref="D35:Q35" si="49">D20/C20-1</f>
        <v>-2.8632213456253885E-2</v>
      </c>
      <c r="E35" s="62">
        <f t="shared" si="49"/>
        <v>8.3318123745208972E-2</v>
      </c>
      <c r="F35" s="62">
        <f t="shared" si="49"/>
        <v>5.0000000000000044E-2</v>
      </c>
      <c r="G35" s="62">
        <f t="shared" si="49"/>
        <v>5.0000000000000044E-2</v>
      </c>
      <c r="H35" s="62">
        <f t="shared" si="49"/>
        <v>5.0000000000000044E-2</v>
      </c>
      <c r="I35" s="62">
        <f t="shared" si="49"/>
        <v>5.0000000000000044E-2</v>
      </c>
      <c r="J35" s="62">
        <f t="shared" si="49"/>
        <v>5.0000000000000044E-2</v>
      </c>
      <c r="K35" s="62">
        <f t="shared" si="49"/>
        <v>-2.0000000000000018E-2</v>
      </c>
      <c r="L35" s="62">
        <f t="shared" si="49"/>
        <v>-2.0000000000000018E-2</v>
      </c>
      <c r="M35" s="62">
        <f t="shared" si="49"/>
        <v>-2.0000000000000018E-2</v>
      </c>
      <c r="N35" s="62">
        <f t="shared" si="49"/>
        <v>-2.0000000000000018E-2</v>
      </c>
      <c r="O35" s="62">
        <f t="shared" si="49"/>
        <v>-2.0000000000000018E-2</v>
      </c>
      <c r="P35" s="62">
        <f t="shared" si="49"/>
        <v>-2.0000000000000018E-2</v>
      </c>
      <c r="Q35" s="62">
        <f t="shared" si="49"/>
        <v>-2.0000000000000018E-2</v>
      </c>
      <c r="R35" s="62"/>
      <c r="S35" s="62"/>
      <c r="T35" s="62"/>
      <c r="U35" s="62"/>
      <c r="V35" s="62"/>
    </row>
    <row r="36" spans="1:1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122">
      <c r="A37" s="2" t="s">
        <v>25</v>
      </c>
      <c r="B37" s="17">
        <f>B38-B39</f>
        <v>-10424</v>
      </c>
      <c r="C37" s="17">
        <f>C38-C39</f>
        <v>-11639</v>
      </c>
      <c r="D37" s="17">
        <f>D38-D39</f>
        <v>-18072</v>
      </c>
      <c r="E37" s="17">
        <f>E38-E39</f>
        <v>-13825</v>
      </c>
      <c r="F37" s="50">
        <f>E37+F25</f>
        <v>-2966.9867657233244</v>
      </c>
      <c r="G37" s="50">
        <f>F37+G25</f>
        <v>8854.3199565451359</v>
      </c>
      <c r="H37" s="50">
        <f t="shared" ref="H37:Q37" si="50">G37+H25</f>
        <v>21820.895663538522</v>
      </c>
      <c r="I37" s="50">
        <f t="shared" si="50"/>
        <v>36142.486770658288</v>
      </c>
      <c r="J37" s="50">
        <f t="shared" si="50"/>
        <v>52060.941602159248</v>
      </c>
      <c r="K37" s="50">
        <f t="shared" si="50"/>
        <v>68934.724677631704</v>
      </c>
      <c r="L37" s="50">
        <f t="shared" si="50"/>
        <v>86783.375576497958</v>
      </c>
      <c r="M37" s="50">
        <f t="shared" si="50"/>
        <v>105627.00042024272</v>
      </c>
      <c r="N37" s="50">
        <f t="shared" si="50"/>
        <v>125486.28226999566</v>
      </c>
      <c r="O37" s="50">
        <f t="shared" si="50"/>
        <v>146382.49178687515</v>
      </c>
      <c r="P37" s="50">
        <f t="shared" si="50"/>
        <v>168337.49815975851</v>
      </c>
      <c r="Q37" s="50">
        <f t="shared" si="50"/>
        <v>191373.78030525584</v>
      </c>
      <c r="R37" s="18"/>
      <c r="S37" s="18"/>
      <c r="T37" s="18"/>
      <c r="U37" s="18"/>
      <c r="V37" s="18"/>
    </row>
    <row r="38" spans="1:122">
      <c r="A38" s="3" t="s">
        <v>26</v>
      </c>
      <c r="B38" s="52">
        <f>Reports!E30</f>
        <v>6912</v>
      </c>
      <c r="C38" s="52">
        <f>Reports!I30</f>
        <v>8890</v>
      </c>
      <c r="D38" s="52">
        <f>Reports!M30</f>
        <v>7219</v>
      </c>
      <c r="E38" s="52">
        <f>Reports!Q30</f>
        <v>7049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8"/>
      <c r="S38" s="8"/>
      <c r="T38" s="8"/>
      <c r="U38" s="8"/>
      <c r="V38" s="8"/>
    </row>
    <row r="39" spans="1:122">
      <c r="A39" s="3" t="s">
        <v>27</v>
      </c>
      <c r="B39" s="52">
        <f>Reports!E31</f>
        <v>17336</v>
      </c>
      <c r="C39" s="52">
        <f>Reports!I31</f>
        <v>20529</v>
      </c>
      <c r="D39" s="52">
        <f>Reports!M31</f>
        <v>25291</v>
      </c>
      <c r="E39" s="52">
        <f>Reports!Q31</f>
        <v>20874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8"/>
      <c r="S39" s="8"/>
      <c r="T39" s="8"/>
      <c r="U39" s="8"/>
      <c r="V39" s="8"/>
    </row>
    <row r="40" spans="1:12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5"/>
      <c r="V40" s="25"/>
    </row>
    <row r="41" spans="1:122">
      <c r="A41" s="3" t="s">
        <v>54</v>
      </c>
      <c r="B41" s="52">
        <f>Reports!E33</f>
        <v>34998</v>
      </c>
      <c r="C41" s="52">
        <f>Reports!I33</f>
        <v>34759</v>
      </c>
      <c r="D41" s="52">
        <f>Reports!M33</f>
        <v>38421</v>
      </c>
      <c r="E41" s="52">
        <f>Reports!Q33</f>
        <v>38081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</row>
    <row r="42" spans="1:122">
      <c r="A42" s="3" t="s">
        <v>55</v>
      </c>
      <c r="B42" s="52">
        <f>Reports!E34</f>
        <v>88182</v>
      </c>
      <c r="C42" s="52">
        <f>Reports!I34</f>
        <v>92033</v>
      </c>
      <c r="D42" s="52">
        <f>Reports!M34</f>
        <v>95789</v>
      </c>
      <c r="E42" s="52">
        <f>Reports!Q34</f>
        <v>98598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</row>
    <row r="43" spans="1:122">
      <c r="A43" s="3" t="s">
        <v>56</v>
      </c>
      <c r="B43" s="52">
        <f>Reports!E35</f>
        <v>39527</v>
      </c>
      <c r="C43" s="52">
        <f>Reports!I35</f>
        <v>44710</v>
      </c>
      <c r="D43" s="52">
        <f>Reports!M35</f>
        <v>50785</v>
      </c>
      <c r="E43" s="52">
        <f>Reports!Q35</f>
        <v>45766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</row>
    <row r="45" spans="1:122">
      <c r="A45" s="3" t="s">
        <v>57</v>
      </c>
      <c r="B45" s="53">
        <f>B42-B41-B38</f>
        <v>46272</v>
      </c>
      <c r="C45" s="53">
        <f>C42-C41-C38</f>
        <v>48384</v>
      </c>
      <c r="D45" s="53">
        <f>D42-D41-D38</f>
        <v>50149</v>
      </c>
      <c r="E45" s="53">
        <f>E42-E41-E38</f>
        <v>53468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</row>
    <row r="46" spans="1:122">
      <c r="A46" s="3" t="s">
        <v>58</v>
      </c>
      <c r="B46" s="53">
        <f>B42-B43</f>
        <v>48655</v>
      </c>
      <c r="C46" s="53">
        <f>C42-C43</f>
        <v>47323</v>
      </c>
      <c r="D46" s="53">
        <f>D42-D43</f>
        <v>45004</v>
      </c>
      <c r="E46" s="53">
        <f>E42-E43</f>
        <v>52832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</row>
    <row r="48" spans="1:122">
      <c r="A48" s="26" t="s">
        <v>60</v>
      </c>
      <c r="B48" s="27">
        <f>B25/B46</f>
        <v>0.18193402528003288</v>
      </c>
      <c r="C48" s="27">
        <f>C25/C46</f>
        <v>0.2068761490184477</v>
      </c>
      <c r="D48" s="27">
        <f>D25/D46</f>
        <v>0.2081148342369567</v>
      </c>
      <c r="E48" s="27">
        <f>E25/E46</f>
        <v>0.24731223500908539</v>
      </c>
    </row>
    <row r="49" spans="1:10">
      <c r="A49" s="26" t="s">
        <v>61</v>
      </c>
      <c r="B49" s="27">
        <f>B25/B42</f>
        <v>0.10038329817876664</v>
      </c>
      <c r="C49" s="27">
        <f>C25/C42</f>
        <v>0.10637488726869709</v>
      </c>
      <c r="D49" s="27">
        <f>D25/D42</f>
        <v>9.7777406591571053E-2</v>
      </c>
      <c r="E49" s="27">
        <f>E25/E42</f>
        <v>0.13251790097162214</v>
      </c>
    </row>
    <row r="50" spans="1:10">
      <c r="A50" s="26" t="s">
        <v>62</v>
      </c>
      <c r="B50" s="27">
        <f>B25/(B46-B41)</f>
        <v>0.64816577579263379</v>
      </c>
      <c r="C50" s="27">
        <f>C25/(C46-C41)</f>
        <v>0.77921044253422478</v>
      </c>
      <c r="D50" s="27">
        <f>D25/(D46-D41)</f>
        <v>1.4227555825611424</v>
      </c>
      <c r="E50" s="27">
        <f>E25/(E46-E41)</f>
        <v>0.88577045624025486</v>
      </c>
    </row>
    <row r="51" spans="1:10">
      <c r="A51" s="26" t="s">
        <v>63</v>
      </c>
      <c r="B51" s="27">
        <f>B25/B45</f>
        <v>0.19130359612724757</v>
      </c>
      <c r="C51" s="27">
        <f>C25/C45</f>
        <v>0.2023396164021164</v>
      </c>
      <c r="D51" s="27">
        <f>D25/D45</f>
        <v>0.18676344493409638</v>
      </c>
      <c r="E51" s="27">
        <f>E25/E45</f>
        <v>0.24437046457694322</v>
      </c>
    </row>
    <row r="52" spans="1:10">
      <c r="A52" s="61" t="s">
        <v>135</v>
      </c>
      <c r="B52" s="27">
        <f>(B41/B27)/$C$2</f>
        <v>0.14244030382543665</v>
      </c>
      <c r="C52" s="27">
        <f>(C41/C27)/$C$2</f>
        <v>0.14750951911489363</v>
      </c>
      <c r="D52" s="27">
        <f>(D41/D27)/$C$2</f>
        <v>0.16935319430512033</v>
      </c>
      <c r="E52" s="27">
        <f>(E41/E27)/$C$2</f>
        <v>0.17576274203724065</v>
      </c>
    </row>
    <row r="54" spans="1:10">
      <c r="A54" s="6" t="s">
        <v>125</v>
      </c>
      <c r="C54" s="27">
        <f>C10/B10-1</f>
        <v>1.8268569463548934E-2</v>
      </c>
      <c r="D54" s="27">
        <f t="shared" ref="D54:E54" si="51">D10/C10-1</f>
        <v>-7.5562497361644221E-3</v>
      </c>
      <c r="E54" s="27">
        <f t="shared" si="51"/>
        <v>1.2845597618034832E-2</v>
      </c>
      <c r="F54" s="27">
        <f t="shared" ref="F54:J54" si="52">F10/E10-1</f>
        <v>2.0000000000000018E-2</v>
      </c>
      <c r="G54" s="27">
        <f t="shared" si="52"/>
        <v>2.0000000000000018E-2</v>
      </c>
      <c r="H54" s="27">
        <f t="shared" si="52"/>
        <v>2.0000000000000018E-2</v>
      </c>
      <c r="I54" s="27">
        <f t="shared" si="52"/>
        <v>2.0000000000000018E-2</v>
      </c>
      <c r="J54" s="27">
        <f t="shared" si="52"/>
        <v>2.0000000000000018E-2</v>
      </c>
    </row>
    <row r="55" spans="1:10">
      <c r="A55" s="6" t="s">
        <v>126</v>
      </c>
      <c r="C55" s="27">
        <f t="shared" ref="C55:E55" si="53">C11/B11-1</f>
        <v>5.0241306768964211E-2</v>
      </c>
      <c r="D55" s="27">
        <f t="shared" si="53"/>
        <v>8.4894544597619914E-2</v>
      </c>
      <c r="E55" s="27">
        <f t="shared" si="53"/>
        <v>0.17670377409720328</v>
      </c>
      <c r="F55" s="27">
        <f t="shared" ref="F55:J55" si="54">F11/E11-1</f>
        <v>0.14999999999999991</v>
      </c>
      <c r="G55" s="27">
        <f t="shared" si="54"/>
        <v>0.14999999999999991</v>
      </c>
      <c r="H55" s="27">
        <f t="shared" si="54"/>
        <v>0.14999999999999991</v>
      </c>
      <c r="I55" s="27">
        <f t="shared" si="54"/>
        <v>0.14999999999999991</v>
      </c>
      <c r="J55" s="27">
        <f t="shared" si="54"/>
        <v>0.14999999999999991</v>
      </c>
    </row>
    <row r="56" spans="1:10">
      <c r="A56" s="6" t="s">
        <v>127</v>
      </c>
      <c r="C56" s="27">
        <f t="shared" ref="C56:E56" si="55">C12/B12-1</f>
        <v>0.16598740274175627</v>
      </c>
      <c r="D56" s="27">
        <f t="shared" si="55"/>
        <v>-0.11248808388941844</v>
      </c>
      <c r="E56" s="27">
        <f t="shared" si="55"/>
        <v>0.19250507220432023</v>
      </c>
      <c r="F56" s="27">
        <f t="shared" ref="F56:J56" si="56">F12/E12-1</f>
        <v>-5.0000000000000044E-2</v>
      </c>
      <c r="G56" s="27">
        <f t="shared" si="56"/>
        <v>-5.0000000000000044E-2</v>
      </c>
      <c r="H56" s="27">
        <f t="shared" si="56"/>
        <v>-5.0000000000000155E-2</v>
      </c>
      <c r="I56" s="27">
        <f t="shared" si="56"/>
        <v>-5.0000000000000044E-2</v>
      </c>
      <c r="J56" s="27">
        <f t="shared" si="56"/>
        <v>-5.0000000000000044E-2</v>
      </c>
    </row>
    <row r="57" spans="1:10">
      <c r="A57" s="6" t="s">
        <v>128</v>
      </c>
      <c r="C57" s="27">
        <f t="shared" ref="C57" si="57">C13/B13-1</f>
        <v>0.11857547551598535</v>
      </c>
      <c r="D57" s="27">
        <f>D13/C13-1</f>
        <v>-0.1257235890014472</v>
      </c>
      <c r="E57" s="27">
        <f>E13/D13-1</f>
        <v>-0.14504448582660878</v>
      </c>
      <c r="F57" s="27">
        <f t="shared" ref="F57" si="58">F13/E13-1</f>
        <v>5.0000000000000044E-2</v>
      </c>
      <c r="G57" s="27">
        <f t="shared" ref="G57" si="59">G13/F13-1</f>
        <v>5.0000000000000044E-2</v>
      </c>
      <c r="H57" s="27">
        <f t="shared" ref="H57" si="60">H13/G13-1</f>
        <v>5.0000000000000044E-2</v>
      </c>
      <c r="I57" s="27">
        <f t="shared" ref="I57:J57" si="61">I13/H13-1</f>
        <v>5.0000000000000044E-2</v>
      </c>
      <c r="J57" s="27">
        <f t="shared" si="61"/>
        <v>5.0000000000000044E-2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V21" sqref="V21"/>
    </sheetView>
  </sheetViews>
  <sheetFormatPr baseColWidth="10" defaultRowHeight="13"/>
  <cols>
    <col min="1" max="1" width="19" style="6" customWidth="1"/>
    <col min="2" max="5" width="10.83203125" style="28" customWidth="1"/>
    <col min="6" max="6" width="10.83203125" style="29" customWidth="1"/>
    <col min="7" max="8" width="10.83203125" style="28" customWidth="1"/>
    <col min="9" max="9" width="10.83203125" style="28"/>
    <col min="10" max="10" width="10.83203125" style="29"/>
    <col min="11" max="13" width="10.83203125" style="28"/>
    <col min="14" max="14" width="10.83203125" style="29"/>
    <col min="15" max="17" width="10.83203125" style="28"/>
    <col min="18" max="18" width="10.83203125" style="29"/>
    <col min="19" max="21" width="10.83203125" style="28"/>
    <col min="22" max="16384" width="10.83203125" style="6"/>
  </cols>
  <sheetData>
    <row r="1" spans="1:21">
      <c r="A1" s="1" t="s">
        <v>43</v>
      </c>
      <c r="B1" s="28" t="s">
        <v>39</v>
      </c>
      <c r="C1" s="28" t="s">
        <v>40</v>
      </c>
      <c r="D1" s="28" t="s">
        <v>41</v>
      </c>
      <c r="E1" s="28" t="s">
        <v>42</v>
      </c>
      <c r="F1" s="29" t="s">
        <v>19</v>
      </c>
      <c r="G1" s="28" t="s">
        <v>20</v>
      </c>
      <c r="H1" s="28" t="s">
        <v>21</v>
      </c>
      <c r="I1" s="28" t="s">
        <v>22</v>
      </c>
      <c r="J1" s="30" t="s">
        <v>0</v>
      </c>
      <c r="K1" s="31" t="s">
        <v>1</v>
      </c>
      <c r="L1" s="31" t="s">
        <v>2</v>
      </c>
      <c r="M1" s="31" t="s">
        <v>3</v>
      </c>
      <c r="N1" s="30" t="s">
        <v>33</v>
      </c>
      <c r="O1" s="31" t="s">
        <v>34</v>
      </c>
      <c r="P1" s="31" t="s">
        <v>35</v>
      </c>
      <c r="Q1" s="31" t="s">
        <v>36</v>
      </c>
      <c r="R1" s="30" t="s">
        <v>50</v>
      </c>
      <c r="S1" s="31" t="s">
        <v>51</v>
      </c>
      <c r="T1" s="31" t="s">
        <v>52</v>
      </c>
      <c r="U1" s="31" t="s">
        <v>53</v>
      </c>
    </row>
    <row r="2" spans="1:21" s="28" customFormat="1">
      <c r="A2" s="1"/>
      <c r="B2" s="28" t="s">
        <v>124</v>
      </c>
      <c r="C2" s="28" t="s">
        <v>121</v>
      </c>
      <c r="D2" s="28" t="s">
        <v>118</v>
      </c>
      <c r="E2" s="28" t="s">
        <v>122</v>
      </c>
      <c r="F2" s="29" t="s">
        <v>123</v>
      </c>
      <c r="G2" s="28" t="s">
        <v>120</v>
      </c>
      <c r="H2" s="28" t="s">
        <v>117</v>
      </c>
      <c r="I2" s="28" t="s">
        <v>119</v>
      </c>
      <c r="J2" s="29" t="s">
        <v>24</v>
      </c>
      <c r="K2" s="28" t="s">
        <v>114</v>
      </c>
      <c r="L2" s="28" t="s">
        <v>75</v>
      </c>
      <c r="M2" s="28" t="s">
        <v>23</v>
      </c>
      <c r="N2" s="29" t="s">
        <v>115</v>
      </c>
      <c r="O2" s="28" t="s">
        <v>37</v>
      </c>
      <c r="P2" s="28" t="s">
        <v>38</v>
      </c>
      <c r="Q2" s="28" t="s">
        <v>74</v>
      </c>
      <c r="R2" s="29" t="s">
        <v>129</v>
      </c>
    </row>
    <row r="3" spans="1:21">
      <c r="A3" s="6" t="s">
        <v>70</v>
      </c>
      <c r="B3" s="31">
        <v>5860</v>
      </c>
      <c r="C3" s="31">
        <v>5810</v>
      </c>
      <c r="D3" s="31">
        <v>5768</v>
      </c>
      <c r="E3" s="31">
        <v>5826</v>
      </c>
      <c r="F3" s="30">
        <v>6332</v>
      </c>
      <c r="G3" s="31">
        <v>5793</v>
      </c>
      <c r="H3" s="31">
        <v>5906</v>
      </c>
      <c r="I3" s="31">
        <v>5658</v>
      </c>
      <c r="J3" s="30">
        <v>6233</v>
      </c>
      <c r="K3" s="31">
        <v>5946</v>
      </c>
      <c r="L3" s="31">
        <v>5866</v>
      </c>
      <c r="M3" s="31">
        <v>5465</v>
      </c>
      <c r="N3" s="30">
        <v>5555</v>
      </c>
      <c r="O3" s="31">
        <v>6138</v>
      </c>
      <c r="P3" s="31">
        <v>6156</v>
      </c>
      <c r="Q3" s="31">
        <v>5963</v>
      </c>
      <c r="R3" s="30">
        <v>5921</v>
      </c>
    </row>
    <row r="4" spans="1:21">
      <c r="A4" s="6" t="s">
        <v>71</v>
      </c>
      <c r="B4" s="31">
        <v>3910</v>
      </c>
      <c r="C4" s="31">
        <v>3760</v>
      </c>
      <c r="D4" s="31">
        <v>4131</v>
      </c>
      <c r="E4" s="31">
        <v>4361</v>
      </c>
      <c r="F4" s="30">
        <v>4281</v>
      </c>
      <c r="G4" s="31">
        <v>3928</v>
      </c>
      <c r="H4" s="31">
        <v>4379</v>
      </c>
      <c r="I4" s="31">
        <v>4386</v>
      </c>
      <c r="J4" s="30">
        <v>4555</v>
      </c>
      <c r="K4" s="31">
        <v>4299</v>
      </c>
      <c r="L4" s="31">
        <v>4894</v>
      </c>
      <c r="M4" s="31">
        <v>4667</v>
      </c>
      <c r="N4" s="30">
        <v>6527</v>
      </c>
      <c r="O4" s="31">
        <v>4879</v>
      </c>
      <c r="P4" s="31">
        <v>5193</v>
      </c>
      <c r="Q4" s="31">
        <v>5070</v>
      </c>
      <c r="R4" s="30">
        <v>6824</v>
      </c>
    </row>
    <row r="5" spans="1:21">
      <c r="A5" s="6" t="s">
        <v>72</v>
      </c>
      <c r="B5" s="31">
        <f>1858+384</f>
        <v>2242</v>
      </c>
      <c r="C5" s="31">
        <v>1685</v>
      </c>
      <c r="D5" s="31">
        <v>2040</v>
      </c>
      <c r="E5" s="31">
        <f>1783+347</f>
        <v>2130</v>
      </c>
      <c r="F5" s="30">
        <v>2721</v>
      </c>
      <c r="G5" s="31">
        <v>2062</v>
      </c>
      <c r="H5" s="31">
        <v>2847</v>
      </c>
      <c r="I5" s="31">
        <v>1811</v>
      </c>
      <c r="J5" s="30">
        <v>2520</v>
      </c>
      <c r="K5" s="31">
        <v>2034</v>
      </c>
      <c r="L5" s="31">
        <v>2393</v>
      </c>
      <c r="M5" s="31">
        <v>1432</v>
      </c>
      <c r="N5" s="30">
        <v>2509</v>
      </c>
      <c r="O5" s="31">
        <v>2454</v>
      </c>
      <c r="P5" s="31">
        <v>2878</v>
      </c>
      <c r="Q5" s="31">
        <v>2151</v>
      </c>
      <c r="R5" s="30">
        <v>1824</v>
      </c>
    </row>
    <row r="6" spans="1:21">
      <c r="A6" s="6" t="s">
        <v>73</v>
      </c>
      <c r="B6" s="31">
        <v>1379</v>
      </c>
      <c r="C6" s="31">
        <v>1206</v>
      </c>
      <c r="D6" s="31">
        <v>1162</v>
      </c>
      <c r="E6" s="31">
        <v>1195</v>
      </c>
      <c r="F6" s="30">
        <v>1910</v>
      </c>
      <c r="G6" s="31">
        <v>1186</v>
      </c>
      <c r="H6" s="31">
        <v>1145</v>
      </c>
      <c r="I6" s="31">
        <v>1287</v>
      </c>
      <c r="J6" s="30">
        <v>1476</v>
      </c>
      <c r="K6" s="31">
        <v>1057</v>
      </c>
      <c r="L6" s="31">
        <v>1085</v>
      </c>
      <c r="M6" s="31">
        <v>1215</v>
      </c>
      <c r="N6" s="30">
        <v>931</v>
      </c>
      <c r="O6" s="31">
        <v>1077</v>
      </c>
      <c r="P6" s="31">
        <v>1001</v>
      </c>
      <c r="Q6" s="31">
        <v>1123</v>
      </c>
      <c r="R6" s="30">
        <f>918</f>
        <v>918</v>
      </c>
    </row>
    <row r="7" spans="1:21">
      <c r="A7" s="14" t="s">
        <v>130</v>
      </c>
      <c r="B7" s="31"/>
      <c r="C7" s="31"/>
      <c r="D7" s="31"/>
      <c r="E7" s="31"/>
      <c r="F7" s="30"/>
      <c r="G7" s="31"/>
      <c r="H7" s="31"/>
      <c r="I7" s="31"/>
      <c r="J7" s="30"/>
      <c r="K7" s="31"/>
      <c r="L7" s="31"/>
      <c r="M7" s="31"/>
      <c r="N7" s="30">
        <v>-171</v>
      </c>
      <c r="O7" s="31">
        <v>0</v>
      </c>
      <c r="P7" s="31">
        <v>0</v>
      </c>
      <c r="Q7" s="31">
        <v>0</v>
      </c>
      <c r="R7" s="30">
        <v>-184</v>
      </c>
    </row>
    <row r="8" spans="1:21">
      <c r="B8" s="31"/>
      <c r="F8" s="30"/>
      <c r="I8" s="31"/>
    </row>
    <row r="9" spans="1:21" s="12" customFormat="1">
      <c r="A9" s="12" t="s">
        <v>4</v>
      </c>
      <c r="B9" s="33">
        <f t="shared" ref="B9:L9" si="0">SUM(B3:B6)</f>
        <v>13391</v>
      </c>
      <c r="C9" s="33">
        <f t="shared" si="0"/>
        <v>12461</v>
      </c>
      <c r="D9" s="33">
        <f t="shared" si="0"/>
        <v>13101</v>
      </c>
      <c r="E9" s="33">
        <f t="shared" si="0"/>
        <v>13512</v>
      </c>
      <c r="F9" s="34">
        <f t="shared" si="0"/>
        <v>15244</v>
      </c>
      <c r="G9" s="33">
        <f t="shared" si="0"/>
        <v>12969</v>
      </c>
      <c r="H9" s="33">
        <f t="shared" si="0"/>
        <v>14277</v>
      </c>
      <c r="I9" s="33">
        <f t="shared" si="0"/>
        <v>13142</v>
      </c>
      <c r="J9" s="34">
        <f t="shared" si="0"/>
        <v>14784</v>
      </c>
      <c r="K9" s="33">
        <f t="shared" si="0"/>
        <v>13336</v>
      </c>
      <c r="L9" s="33">
        <f t="shared" si="0"/>
        <v>14238</v>
      </c>
      <c r="M9" s="33">
        <f>SUM(M3:M6)</f>
        <v>12779</v>
      </c>
      <c r="N9" s="34">
        <f>SUM(N3:N7)</f>
        <v>15351</v>
      </c>
      <c r="O9" s="33">
        <f>SUM(O3:O7)</f>
        <v>14548</v>
      </c>
      <c r="P9" s="33">
        <f>SUM(P3:P7)</f>
        <v>15228</v>
      </c>
      <c r="Q9" s="33">
        <f>SUM(Q3:Q7)</f>
        <v>14307</v>
      </c>
      <c r="R9" s="34">
        <f>SUM(R3:R7)</f>
        <v>15303</v>
      </c>
      <c r="S9" s="35"/>
      <c r="T9" s="35"/>
      <c r="U9" s="35"/>
    </row>
    <row r="10" spans="1:21">
      <c r="A10" s="6" t="s">
        <v>5</v>
      </c>
      <c r="B10" s="31">
        <f>6134+1522</f>
        <v>7656</v>
      </c>
      <c r="C10" s="31">
        <f>5543+1147</f>
        <v>6690</v>
      </c>
      <c r="D10" s="31">
        <f>5547+1116</f>
        <v>6663</v>
      </c>
      <c r="E10" s="31">
        <f>23191+5173-SUM(B10:D10)</f>
        <v>7355</v>
      </c>
      <c r="F10" s="30">
        <f>7056+1567</f>
        <v>8623</v>
      </c>
      <c r="G10" s="31">
        <f>5566+1298</f>
        <v>6864</v>
      </c>
      <c r="H10" s="31">
        <f>5946+1255</f>
        <v>7201</v>
      </c>
      <c r="I10" s="31">
        <f>24653+5340-SUM(F10:H10)</f>
        <v>7305</v>
      </c>
      <c r="J10" s="30">
        <f>7020+1386</f>
        <v>8406</v>
      </c>
      <c r="K10" s="31">
        <f>5839+1130</f>
        <v>6969</v>
      </c>
      <c r="L10" s="31">
        <f>6469+1248</f>
        <v>7717</v>
      </c>
      <c r="M10" s="31">
        <f>25320+4986-SUM(J10:L10)</f>
        <v>7214</v>
      </c>
      <c r="N10" s="30">
        <f>7334+1403</f>
        <v>8737</v>
      </c>
      <c r="O10" s="31">
        <f>6304+1229</f>
        <v>7533</v>
      </c>
      <c r="P10" s="31">
        <f>7124+1224</f>
        <v>8348</v>
      </c>
      <c r="Q10" s="31">
        <f>27528+5198-SUM(N10:P10)</f>
        <v>8108</v>
      </c>
      <c r="R10" s="30">
        <f>7564+1437</f>
        <v>9001</v>
      </c>
    </row>
    <row r="11" spans="1:21">
      <c r="A11" s="6" t="s">
        <v>6</v>
      </c>
      <c r="B11" s="36">
        <f>B9-B10</f>
        <v>5735</v>
      </c>
      <c r="C11" s="36">
        <f>C9-C10</f>
        <v>5771</v>
      </c>
      <c r="D11" s="36">
        <f>D9-D10</f>
        <v>6438</v>
      </c>
      <c r="E11" s="36">
        <f>E9-E10</f>
        <v>6157</v>
      </c>
      <c r="F11" s="37">
        <f>F9-F10</f>
        <v>6621</v>
      </c>
      <c r="G11" s="36">
        <f t="shared" ref="G11:L11" si="1">G9-G10</f>
        <v>6105</v>
      </c>
      <c r="H11" s="36">
        <f t="shared" si="1"/>
        <v>7076</v>
      </c>
      <c r="I11" s="36">
        <f t="shared" si="1"/>
        <v>5837</v>
      </c>
      <c r="J11" s="37">
        <f t="shared" si="1"/>
        <v>6378</v>
      </c>
      <c r="K11" s="36">
        <f t="shared" si="1"/>
        <v>6367</v>
      </c>
      <c r="L11" s="36">
        <f t="shared" si="1"/>
        <v>6521</v>
      </c>
      <c r="M11" s="36">
        <f t="shared" ref="M11" si="2">M9-M10</f>
        <v>5565</v>
      </c>
      <c r="N11" s="37">
        <f>N9-N10</f>
        <v>6614</v>
      </c>
      <c r="O11" s="36">
        <f>O9-O10</f>
        <v>7015</v>
      </c>
      <c r="P11" s="36">
        <f t="shared" ref="P11:Q11" si="3">P9-P10</f>
        <v>6880</v>
      </c>
      <c r="Q11" s="36">
        <f t="shared" si="3"/>
        <v>6199</v>
      </c>
      <c r="R11" s="37">
        <f>R9-R10</f>
        <v>6302</v>
      </c>
    </row>
    <row r="12" spans="1:21">
      <c r="A12" s="6" t="s">
        <v>113</v>
      </c>
      <c r="B12" s="31">
        <f>1935+592</f>
        <v>2527</v>
      </c>
      <c r="C12" s="31">
        <f>2081+584</f>
        <v>2665</v>
      </c>
      <c r="D12" s="31">
        <f>2101+575</f>
        <v>2676</v>
      </c>
      <c r="E12" s="31">
        <f>8523+2354-SUM(B12:D12)</f>
        <v>3009</v>
      </c>
      <c r="F12" s="30">
        <f>2025+607</f>
        <v>2632</v>
      </c>
      <c r="G12" s="31">
        <f>2137+605</f>
        <v>2742</v>
      </c>
      <c r="H12" s="31">
        <f>2305+626</f>
        <v>2931</v>
      </c>
      <c r="I12" s="31">
        <f>8754+2527-SUM(F12:H12)</f>
        <v>2976</v>
      </c>
      <c r="J12" s="30">
        <f>1985+687</f>
        <v>2672</v>
      </c>
      <c r="K12" s="31">
        <f>1941+676</f>
        <v>2617</v>
      </c>
      <c r="L12" s="31">
        <f>2022+711</f>
        <v>2733</v>
      </c>
      <c r="M12" s="31">
        <f>8176+2782-SUM(J12:L12)</f>
        <v>2936</v>
      </c>
      <c r="N12" s="30">
        <f>2079+742</f>
        <v>2821</v>
      </c>
      <c r="O12" s="31">
        <f>2247+731</f>
        <v>2978</v>
      </c>
      <c r="P12" s="31">
        <f>2212+744</f>
        <v>2956</v>
      </c>
      <c r="Q12" s="31">
        <f>8860+3011-SUM(N12:P12)</f>
        <v>3116</v>
      </c>
      <c r="R12" s="30">
        <f>2152+732</f>
        <v>2884</v>
      </c>
    </row>
    <row r="13" spans="1:21">
      <c r="A13" s="6" t="s">
        <v>7</v>
      </c>
      <c r="B13" s="36">
        <f t="shared" ref="B13:R13" si="4">SUM(B12:B12)</f>
        <v>2527</v>
      </c>
      <c r="C13" s="36">
        <f t="shared" si="4"/>
        <v>2665</v>
      </c>
      <c r="D13" s="36">
        <f t="shared" si="4"/>
        <v>2676</v>
      </c>
      <c r="E13" s="36">
        <f t="shared" si="4"/>
        <v>3009</v>
      </c>
      <c r="F13" s="37">
        <f t="shared" si="4"/>
        <v>2632</v>
      </c>
      <c r="G13" s="36">
        <f t="shared" si="4"/>
        <v>2742</v>
      </c>
      <c r="H13" s="36">
        <f t="shared" si="4"/>
        <v>2931</v>
      </c>
      <c r="I13" s="36">
        <f t="shared" si="4"/>
        <v>2976</v>
      </c>
      <c r="J13" s="37">
        <f t="shared" si="4"/>
        <v>2672</v>
      </c>
      <c r="K13" s="36">
        <f t="shared" si="4"/>
        <v>2617</v>
      </c>
      <c r="L13" s="36">
        <f t="shared" si="4"/>
        <v>2733</v>
      </c>
      <c r="M13" s="36">
        <f t="shared" si="4"/>
        <v>2936</v>
      </c>
      <c r="N13" s="37">
        <f t="shared" si="4"/>
        <v>2821</v>
      </c>
      <c r="O13" s="36">
        <f t="shared" si="4"/>
        <v>2978</v>
      </c>
      <c r="P13" s="36">
        <f t="shared" si="4"/>
        <v>2956</v>
      </c>
      <c r="Q13" s="36">
        <f t="shared" si="4"/>
        <v>3116</v>
      </c>
      <c r="R13" s="37">
        <f t="shared" si="4"/>
        <v>2884</v>
      </c>
    </row>
    <row r="14" spans="1:21">
      <c r="A14" s="6" t="s">
        <v>8</v>
      </c>
      <c r="B14" s="36">
        <f t="shared" ref="B14:R14" si="5">B11-B13</f>
        <v>3208</v>
      </c>
      <c r="C14" s="36">
        <f t="shared" si="5"/>
        <v>3106</v>
      </c>
      <c r="D14" s="36">
        <f t="shared" si="5"/>
        <v>3762</v>
      </c>
      <c r="E14" s="36">
        <f t="shared" si="5"/>
        <v>3148</v>
      </c>
      <c r="F14" s="37">
        <f t="shared" si="5"/>
        <v>3989</v>
      </c>
      <c r="G14" s="36">
        <f t="shared" si="5"/>
        <v>3363</v>
      </c>
      <c r="H14" s="36">
        <f t="shared" si="5"/>
        <v>4145</v>
      </c>
      <c r="I14" s="36">
        <f t="shared" si="5"/>
        <v>2861</v>
      </c>
      <c r="J14" s="37">
        <f t="shared" si="5"/>
        <v>3706</v>
      </c>
      <c r="K14" s="36">
        <f t="shared" si="5"/>
        <v>3750</v>
      </c>
      <c r="L14" s="36">
        <f t="shared" si="5"/>
        <v>3788</v>
      </c>
      <c r="M14" s="36">
        <f t="shared" si="5"/>
        <v>2629</v>
      </c>
      <c r="N14" s="37">
        <f t="shared" si="5"/>
        <v>3793</v>
      </c>
      <c r="O14" s="36">
        <f t="shared" si="5"/>
        <v>4037</v>
      </c>
      <c r="P14" s="36">
        <f t="shared" si="5"/>
        <v>3924</v>
      </c>
      <c r="Q14" s="36">
        <f t="shared" si="5"/>
        <v>3083</v>
      </c>
      <c r="R14" s="37">
        <f t="shared" si="5"/>
        <v>3418</v>
      </c>
    </row>
    <row r="15" spans="1:21">
      <c r="A15" s="6" t="s">
        <v>9</v>
      </c>
      <c r="B15" s="31">
        <f>-58+212</f>
        <v>154</v>
      </c>
      <c r="C15" s="31">
        <f>8+206</f>
        <v>214</v>
      </c>
      <c r="D15" s="31">
        <f>-12+212</f>
        <v>200</v>
      </c>
      <c r="E15" s="31">
        <f>-53-117+814-SUM(B15:D15)</f>
        <v>76</v>
      </c>
      <c r="F15" s="30">
        <f>-81-24+474</f>
        <v>369</v>
      </c>
      <c r="G15" s="31">
        <f>-67+150</f>
        <v>83</v>
      </c>
      <c r="H15" s="31">
        <f>-44-70+152</f>
        <v>38</v>
      </c>
      <c r="I15" s="31">
        <f>-156-260+926-SUM(F15:H15)</f>
        <v>20</v>
      </c>
      <c r="J15" s="30">
        <f>-99+118</f>
        <v>19</v>
      </c>
      <c r="K15" s="31">
        <f>-84+85</f>
        <v>1</v>
      </c>
      <c r="L15" s="31">
        <f>-177-117+124</f>
        <v>-170</v>
      </c>
      <c r="M15" s="31">
        <f>-98+78-385+320-SUM(J15:L15)</f>
        <v>65</v>
      </c>
      <c r="N15" s="30">
        <f>-15+53-129+43</f>
        <v>-48</v>
      </c>
      <c r="O15" s="31">
        <f>-13+41-143+6</f>
        <v>-109</v>
      </c>
      <c r="P15" s="31">
        <f>-143+73</f>
        <v>-70</v>
      </c>
      <c r="Q15" s="31">
        <f>-33+601-574-102-SUM(N15:P15)</f>
        <v>119</v>
      </c>
      <c r="R15" s="30">
        <f>-63+76</f>
        <v>13</v>
      </c>
    </row>
    <row r="16" spans="1:21">
      <c r="A16" s="6" t="s">
        <v>10</v>
      </c>
      <c r="B16" s="36">
        <f>B14+B15</f>
        <v>3362</v>
      </c>
      <c r="C16" s="36">
        <f>C14+C15</f>
        <v>3320</v>
      </c>
      <c r="D16" s="36">
        <f>D14+D15</f>
        <v>3962</v>
      </c>
      <c r="E16" s="36">
        <f>E14+E15</f>
        <v>3224</v>
      </c>
      <c r="F16" s="37">
        <f>F14+F15</f>
        <v>4358</v>
      </c>
      <c r="G16" s="36">
        <f t="shared" ref="G16:I16" si="6">G14+G15</f>
        <v>3446</v>
      </c>
      <c r="H16" s="36">
        <f t="shared" si="6"/>
        <v>4183</v>
      </c>
      <c r="I16" s="36">
        <f t="shared" si="6"/>
        <v>2881</v>
      </c>
      <c r="J16" s="37">
        <f t="shared" ref="J16:K16" si="7">J14+J15</f>
        <v>3725</v>
      </c>
      <c r="K16" s="36">
        <f t="shared" si="7"/>
        <v>3751</v>
      </c>
      <c r="L16" s="36">
        <f t="shared" ref="L16:N16" si="8">L14+L15</f>
        <v>3618</v>
      </c>
      <c r="M16" s="36">
        <f>M14+M15</f>
        <v>2694</v>
      </c>
      <c r="N16" s="37">
        <f t="shared" si="8"/>
        <v>3745</v>
      </c>
      <c r="O16" s="36">
        <f t="shared" ref="O16" si="9">O14+O15</f>
        <v>3928</v>
      </c>
      <c r="P16" s="36">
        <f>P14+P15</f>
        <v>3854</v>
      </c>
      <c r="Q16" s="36">
        <f>Q14+Q15</f>
        <v>3202</v>
      </c>
      <c r="R16" s="37">
        <f t="shared" ref="R16" si="10">R14+R15</f>
        <v>3431</v>
      </c>
    </row>
    <row r="17" spans="1:21">
      <c r="A17" s="6" t="s">
        <v>11</v>
      </c>
      <c r="B17" s="31">
        <v>1118</v>
      </c>
      <c r="C17" s="31">
        <v>1092</v>
      </c>
      <c r="D17" s="31">
        <v>1323</v>
      </c>
      <c r="E17" s="31">
        <f>5016-SUM(B17:D17)</f>
        <v>1483</v>
      </c>
      <c r="F17" s="30">
        <v>1448</v>
      </c>
      <c r="G17" s="31">
        <v>1170</v>
      </c>
      <c r="H17" s="31">
        <v>1471</v>
      </c>
      <c r="I17" s="31">
        <f>5078-SUM(F17:H17)</f>
        <v>989</v>
      </c>
      <c r="J17" s="30">
        <v>1237</v>
      </c>
      <c r="K17" s="31">
        <v>1212</v>
      </c>
      <c r="L17" s="31">
        <v>1144</v>
      </c>
      <c r="M17" s="31">
        <f>4422-SUM(J17:L17)</f>
        <v>829</v>
      </c>
      <c r="N17" s="30">
        <v>728</v>
      </c>
      <c r="O17" s="31">
        <v>813</v>
      </c>
      <c r="P17" s="31">
        <v>795</v>
      </c>
      <c r="Q17" s="31">
        <f>1663-SUM(N17:P17)</f>
        <v>-673</v>
      </c>
      <c r="R17" s="30">
        <v>645</v>
      </c>
    </row>
    <row r="18" spans="1:21" s="12" customFormat="1">
      <c r="A18" s="12" t="s">
        <v>12</v>
      </c>
      <c r="B18" s="33">
        <f t="shared" ref="B18:R18" si="11">B16-B17</f>
        <v>2244</v>
      </c>
      <c r="C18" s="33">
        <f t="shared" si="11"/>
        <v>2228</v>
      </c>
      <c r="D18" s="33">
        <f t="shared" si="11"/>
        <v>2639</v>
      </c>
      <c r="E18" s="33">
        <f t="shared" si="11"/>
        <v>1741</v>
      </c>
      <c r="F18" s="34">
        <f t="shared" si="11"/>
        <v>2910</v>
      </c>
      <c r="G18" s="33">
        <f t="shared" si="11"/>
        <v>2276</v>
      </c>
      <c r="H18" s="33">
        <f t="shared" si="11"/>
        <v>2712</v>
      </c>
      <c r="I18" s="33">
        <f t="shared" si="11"/>
        <v>1892</v>
      </c>
      <c r="J18" s="34">
        <f t="shared" si="11"/>
        <v>2488</v>
      </c>
      <c r="K18" s="33">
        <f t="shared" si="11"/>
        <v>2539</v>
      </c>
      <c r="L18" s="33">
        <f t="shared" si="11"/>
        <v>2474</v>
      </c>
      <c r="M18" s="33">
        <f t="shared" si="11"/>
        <v>1865</v>
      </c>
      <c r="N18" s="34">
        <f t="shared" si="11"/>
        <v>3017</v>
      </c>
      <c r="O18" s="33">
        <f t="shared" si="11"/>
        <v>3115</v>
      </c>
      <c r="P18" s="33">
        <f t="shared" si="11"/>
        <v>3059</v>
      </c>
      <c r="Q18" s="33">
        <f t="shared" si="11"/>
        <v>3875</v>
      </c>
      <c r="R18" s="34">
        <f t="shared" si="11"/>
        <v>2786</v>
      </c>
      <c r="S18" s="35"/>
      <c r="T18" s="35"/>
      <c r="U18" s="35"/>
    </row>
    <row r="19" spans="1:21">
      <c r="A19" s="6" t="s">
        <v>13</v>
      </c>
      <c r="B19" s="38">
        <f>IFERROR(B18/B20,0)</f>
        <v>1.306930693069307</v>
      </c>
      <c r="C19" s="38">
        <f>IFERROR(C18/C20,0)</f>
        <v>1.2991253644314869</v>
      </c>
      <c r="D19" s="38">
        <f>IFERROR(D18/D20,0)</f>
        <v>1.5423728813559323</v>
      </c>
      <c r="E19" s="38">
        <f>IFERROR(E18/E20,0)</f>
        <v>1.018724400234055</v>
      </c>
      <c r="F19" s="39">
        <f t="shared" ref="F19:H19" si="12">IFERROR(F18/F20,0)</f>
        <v>1.7446043165467626</v>
      </c>
      <c r="G19" s="38">
        <f t="shared" si="12"/>
        <v>1.3852708460133902</v>
      </c>
      <c r="H19" s="38">
        <f t="shared" si="12"/>
        <v>1.6627835683629675</v>
      </c>
      <c r="I19" s="38">
        <f t="shared" ref="I19:L19" si="13">IFERROR(I18/I20,0)</f>
        <v>1.1543624161073827</v>
      </c>
      <c r="J19" s="39">
        <f t="shared" si="13"/>
        <v>1.552089831565814</v>
      </c>
      <c r="K19" s="38">
        <f t="shared" si="13"/>
        <v>1.5958516656191075</v>
      </c>
      <c r="L19" s="38">
        <f t="shared" si="13"/>
        <v>1.5737913486005088</v>
      </c>
      <c r="M19" s="38">
        <f t="shared" ref="M19" si="14">IFERROR(M18/M20,0)</f>
        <v>1.1818757921419518</v>
      </c>
      <c r="N19" s="39">
        <f>IFERROR(N18/N20,0)</f>
        <v>1.9835634451019066</v>
      </c>
      <c r="O19" s="38">
        <f>IFERROR(O18/O20,0)</f>
        <v>2.0629139072847682</v>
      </c>
      <c r="P19" s="38">
        <f>IFERROR(P18/P20,0)</f>
        <v>2.042056074766355</v>
      </c>
      <c r="Q19" s="38">
        <f>IFERROR(Q18/Q20,0)</f>
        <v>2.5713337757133377</v>
      </c>
      <c r="R19" s="39">
        <f>IFERROR(R18/R20,0)</f>
        <v>1.8598130841121496</v>
      </c>
    </row>
    <row r="20" spans="1:21">
      <c r="A20" s="6" t="s">
        <v>14</v>
      </c>
      <c r="B20" s="31">
        <v>1717</v>
      </c>
      <c r="C20" s="31">
        <v>1715</v>
      </c>
      <c r="D20" s="31">
        <v>1711</v>
      </c>
      <c r="E20" s="31">
        <v>1709</v>
      </c>
      <c r="F20" s="30">
        <v>1668</v>
      </c>
      <c r="G20" s="31">
        <v>1643</v>
      </c>
      <c r="H20" s="31">
        <v>1631</v>
      </c>
      <c r="I20" s="31">
        <v>1639</v>
      </c>
      <c r="J20" s="30">
        <v>1603</v>
      </c>
      <c r="K20" s="31">
        <v>1591</v>
      </c>
      <c r="L20" s="31">
        <v>1572</v>
      </c>
      <c r="M20" s="31">
        <v>1578</v>
      </c>
      <c r="N20" s="29">
        <v>1521</v>
      </c>
      <c r="O20" s="28">
        <v>1510</v>
      </c>
      <c r="P20" s="28">
        <v>1498</v>
      </c>
      <c r="Q20" s="28">
        <v>1507</v>
      </c>
      <c r="R20" s="29">
        <v>1498</v>
      </c>
    </row>
    <row r="21" spans="1:21">
      <c r="B21" s="31"/>
      <c r="C21" s="31"/>
      <c r="D21" s="31"/>
      <c r="E21" s="31"/>
      <c r="F21" s="30"/>
      <c r="G21" s="31"/>
      <c r="H21" s="31"/>
      <c r="I21" s="31"/>
      <c r="J21" s="30"/>
      <c r="K21" s="31"/>
      <c r="L21" s="31"/>
      <c r="M21" s="31"/>
    </row>
    <row r="22" spans="1:21">
      <c r="A22" s="6" t="s">
        <v>16</v>
      </c>
      <c r="B22" s="44">
        <f t="shared" ref="B22:Q22" si="15">IFERROR(B11/B9,0)</f>
        <v>0.42827272048390708</v>
      </c>
      <c r="C22" s="44">
        <f t="shared" si="15"/>
        <v>0.46312494984351177</v>
      </c>
      <c r="D22" s="44">
        <f t="shared" si="15"/>
        <v>0.49141286924662242</v>
      </c>
      <c r="E22" s="44">
        <f t="shared" si="15"/>
        <v>0.45566903493191235</v>
      </c>
      <c r="F22" s="45">
        <f t="shared" si="15"/>
        <v>0.43433482025715037</v>
      </c>
      <c r="G22" s="44">
        <f t="shared" si="15"/>
        <v>0.47073791348600508</v>
      </c>
      <c r="H22" s="44">
        <f t="shared" si="15"/>
        <v>0.49562232962106884</v>
      </c>
      <c r="I22" s="44">
        <f t="shared" si="15"/>
        <v>0.44414853142596256</v>
      </c>
      <c r="J22" s="45">
        <f t="shared" si="15"/>
        <v>0.43141233766233766</v>
      </c>
      <c r="K22" s="44">
        <f t="shared" si="15"/>
        <v>0.47742951409718054</v>
      </c>
      <c r="L22" s="44">
        <f t="shared" si="15"/>
        <v>0.45799971906166598</v>
      </c>
      <c r="M22" s="44">
        <f t="shared" si="15"/>
        <v>0.43548008451365522</v>
      </c>
      <c r="N22" s="45">
        <f t="shared" si="15"/>
        <v>0.43085141033157448</v>
      </c>
      <c r="O22" s="44">
        <f t="shared" si="15"/>
        <v>0.48219686554852903</v>
      </c>
      <c r="P22" s="44">
        <f t="shared" si="15"/>
        <v>0.451799317047544</v>
      </c>
      <c r="Q22" s="44">
        <f t="shared" si="15"/>
        <v>0.43328440623471026</v>
      </c>
      <c r="R22" s="45">
        <f t="shared" ref="R22" si="16">IFERROR(R11/R9,0)</f>
        <v>0.41181467686074624</v>
      </c>
    </row>
    <row r="23" spans="1:21">
      <c r="A23" s="6" t="s">
        <v>17</v>
      </c>
      <c r="B23" s="46">
        <f t="shared" ref="B23:Q23" si="17">IFERROR(B14/B9,0)</f>
        <v>0.23956388619221866</v>
      </c>
      <c r="C23" s="46">
        <f t="shared" si="17"/>
        <v>0.24925768397399889</v>
      </c>
      <c r="D23" s="46">
        <f t="shared" si="17"/>
        <v>0.2871536523929471</v>
      </c>
      <c r="E23" s="46">
        <f t="shared" si="17"/>
        <v>0.23297809354647719</v>
      </c>
      <c r="F23" s="47">
        <f t="shared" si="17"/>
        <v>0.2616767252689583</v>
      </c>
      <c r="G23" s="46">
        <f t="shared" si="17"/>
        <v>0.25931066389081658</v>
      </c>
      <c r="H23" s="46">
        <f t="shared" si="17"/>
        <v>0.29032709953071373</v>
      </c>
      <c r="I23" s="46">
        <f t="shared" si="17"/>
        <v>0.21769898036828489</v>
      </c>
      <c r="J23" s="47">
        <f t="shared" si="17"/>
        <v>0.25067640692640691</v>
      </c>
      <c r="K23" s="46">
        <f t="shared" si="17"/>
        <v>0.28119376124775047</v>
      </c>
      <c r="L23" s="46">
        <f t="shared" si="17"/>
        <v>0.26604860233178818</v>
      </c>
      <c r="M23" s="46">
        <f t="shared" si="17"/>
        <v>0.20572814774238987</v>
      </c>
      <c r="N23" s="47">
        <f t="shared" si="17"/>
        <v>0.24708488046381344</v>
      </c>
      <c r="O23" s="46">
        <f t="shared" si="17"/>
        <v>0.27749518834204012</v>
      </c>
      <c r="P23" s="46">
        <f t="shared" si="17"/>
        <v>0.25768321513002362</v>
      </c>
      <c r="Q23" s="46">
        <f t="shared" si="17"/>
        <v>0.21548892150695464</v>
      </c>
      <c r="R23" s="47">
        <f t="shared" ref="R23" si="18">IFERROR(R14/R9,0)</f>
        <v>0.22335489773247075</v>
      </c>
    </row>
    <row r="24" spans="1:21">
      <c r="A24" s="6" t="s">
        <v>18</v>
      </c>
      <c r="B24" s="46">
        <f t="shared" ref="B24:Q24" si="19">IFERROR(B17/B16,0)</f>
        <v>0.33254015466983938</v>
      </c>
      <c r="C24" s="46">
        <f t="shared" si="19"/>
        <v>0.3289156626506024</v>
      </c>
      <c r="D24" s="46">
        <f t="shared" si="19"/>
        <v>0.33392226148409893</v>
      </c>
      <c r="E24" s="46">
        <f t="shared" si="19"/>
        <v>0.45998759305210918</v>
      </c>
      <c r="F24" s="47">
        <f t="shared" si="19"/>
        <v>0.3322625057365764</v>
      </c>
      <c r="G24" s="46">
        <f t="shared" si="19"/>
        <v>0.33952408589669181</v>
      </c>
      <c r="H24" s="46">
        <f t="shared" si="19"/>
        <v>0.35166148697107341</v>
      </c>
      <c r="I24" s="46">
        <f t="shared" si="19"/>
        <v>0.34328358208955223</v>
      </c>
      <c r="J24" s="47">
        <f t="shared" si="19"/>
        <v>0.33208053691275169</v>
      </c>
      <c r="K24" s="46">
        <f t="shared" si="19"/>
        <v>0.32311383631031726</v>
      </c>
      <c r="L24" s="46">
        <f t="shared" si="19"/>
        <v>0.31619679380873411</v>
      </c>
      <c r="M24" s="46">
        <f t="shared" si="19"/>
        <v>0.30772086117297698</v>
      </c>
      <c r="N24" s="47">
        <f t="shared" si="19"/>
        <v>0.19439252336448598</v>
      </c>
      <c r="O24" s="46">
        <f t="shared" si="19"/>
        <v>0.20697556008146639</v>
      </c>
      <c r="P24" s="46">
        <f t="shared" si="19"/>
        <v>0.20627919045147899</v>
      </c>
      <c r="Q24" s="46">
        <f t="shared" si="19"/>
        <v>-0.21018113678950656</v>
      </c>
      <c r="R24" s="47">
        <f t="shared" ref="R24" si="20">IFERROR(R17/R16,0)</f>
        <v>0.18799183911396095</v>
      </c>
    </row>
    <row r="25" spans="1:21">
      <c r="B25" s="31"/>
      <c r="C25" s="31"/>
      <c r="D25" s="31"/>
      <c r="E25" s="31"/>
      <c r="F25" s="30"/>
      <c r="G25" s="31"/>
      <c r="H25" s="31"/>
      <c r="I25" s="31"/>
      <c r="J25" s="30"/>
      <c r="K25" s="31"/>
      <c r="L25" s="31"/>
      <c r="M25" s="31"/>
    </row>
    <row r="26" spans="1:21" s="12" customFormat="1">
      <c r="A26" s="12" t="s">
        <v>15</v>
      </c>
      <c r="B26" s="40"/>
      <c r="C26" s="40"/>
      <c r="D26" s="40"/>
      <c r="E26" s="40"/>
      <c r="F26" s="41">
        <f t="shared" ref="F26:Q26" si="21">IFERROR((F9/B9)-1,0)</f>
        <v>0.1383765215443209</v>
      </c>
      <c r="G26" s="40">
        <f t="shared" si="21"/>
        <v>4.0767193644169808E-2</v>
      </c>
      <c r="H26" s="40">
        <f t="shared" si="21"/>
        <v>8.976414014197398E-2</v>
      </c>
      <c r="I26" s="40">
        <f t="shared" si="21"/>
        <v>-2.7383066903493236E-2</v>
      </c>
      <c r="J26" s="41">
        <f t="shared" si="21"/>
        <v>-3.0175806874836009E-2</v>
      </c>
      <c r="K26" s="40">
        <f t="shared" si="21"/>
        <v>2.8298249672295439E-2</v>
      </c>
      <c r="L26" s="40">
        <f t="shared" si="21"/>
        <v>-2.7316663164530519E-3</v>
      </c>
      <c r="M26" s="40">
        <f t="shared" si="21"/>
        <v>-2.7621366610865894E-2</v>
      </c>
      <c r="N26" s="41">
        <f t="shared" si="21"/>
        <v>3.8352272727272707E-2</v>
      </c>
      <c r="O26" s="40">
        <f t="shared" si="21"/>
        <v>9.0881823635272863E-2</v>
      </c>
      <c r="P26" s="40">
        <f t="shared" si="21"/>
        <v>6.9532237673830544E-2</v>
      </c>
      <c r="Q26" s="40">
        <f t="shared" si="21"/>
        <v>0.11957117145316531</v>
      </c>
      <c r="R26" s="41">
        <f>IFERROR((R9/N9)-1,0)</f>
        <v>-3.1268321282000855E-3</v>
      </c>
      <c r="S26" s="35"/>
      <c r="T26" s="35"/>
      <c r="U26" s="35"/>
    </row>
    <row r="27" spans="1:21" s="12" customFormat="1">
      <c r="A27" s="6" t="s">
        <v>116</v>
      </c>
      <c r="B27" s="42"/>
      <c r="C27" s="42"/>
      <c r="D27" s="42"/>
      <c r="E27" s="42"/>
      <c r="F27" s="43">
        <f t="shared" ref="F27:R27" si="22">F12/B12-1</f>
        <v>4.1551246537396169E-2</v>
      </c>
      <c r="G27" s="42">
        <f t="shared" si="22"/>
        <v>2.8893058161350904E-2</v>
      </c>
      <c r="H27" s="42">
        <f t="shared" si="22"/>
        <v>9.5291479820627911E-2</v>
      </c>
      <c r="I27" s="42">
        <f t="shared" si="22"/>
        <v>-1.0967098703888345E-2</v>
      </c>
      <c r="J27" s="43">
        <f t="shared" si="22"/>
        <v>1.5197568389057725E-2</v>
      </c>
      <c r="K27" s="42">
        <f t="shared" si="22"/>
        <v>-4.5587162654996405E-2</v>
      </c>
      <c r="L27" s="42">
        <f t="shared" si="22"/>
        <v>-6.7553735926304981E-2</v>
      </c>
      <c r="M27" s="42">
        <f t="shared" si="22"/>
        <v>-1.3440860215053752E-2</v>
      </c>
      <c r="N27" s="43">
        <f t="shared" si="22"/>
        <v>5.5763473053892287E-2</v>
      </c>
      <c r="O27" s="42">
        <f t="shared" si="22"/>
        <v>0.13794421092854403</v>
      </c>
      <c r="P27" s="42">
        <f t="shared" si="22"/>
        <v>8.159531650201246E-2</v>
      </c>
      <c r="Q27" s="42">
        <f t="shared" si="22"/>
        <v>6.1307901907357021E-2</v>
      </c>
      <c r="R27" s="43">
        <f t="shared" si="22"/>
        <v>2.2332506203474045E-2</v>
      </c>
      <c r="S27" s="35"/>
      <c r="T27" s="35"/>
      <c r="U27" s="35"/>
    </row>
    <row r="29" spans="1:21" s="12" customFormat="1">
      <c r="A29" s="12" t="s">
        <v>25</v>
      </c>
      <c r="B29" s="31"/>
      <c r="C29" s="31"/>
      <c r="D29" s="31"/>
      <c r="E29" s="33">
        <f>E30-E31</f>
        <v>-10424</v>
      </c>
      <c r="F29" s="34">
        <f>F30-F31</f>
        <v>-11346</v>
      </c>
      <c r="G29" s="33">
        <f t="shared" ref="G29:K29" si="23">G30-G31</f>
        <v>-12860</v>
      </c>
      <c r="H29" s="33">
        <f t="shared" si="23"/>
        <v>-11986</v>
      </c>
      <c r="I29" s="33">
        <f t="shared" si="23"/>
        <v>-11639</v>
      </c>
      <c r="J29" s="34">
        <f t="shared" si="23"/>
        <v>-12534</v>
      </c>
      <c r="K29" s="33">
        <f t="shared" si="23"/>
        <v>-13698</v>
      </c>
      <c r="L29" s="33">
        <f t="shared" ref="L29:P29" si="24">L30-L31</f>
        <v>-13710</v>
      </c>
      <c r="M29" s="33">
        <f t="shared" si="24"/>
        <v>-18072</v>
      </c>
      <c r="N29" s="34">
        <f t="shared" si="24"/>
        <v>-18208</v>
      </c>
      <c r="O29" s="33">
        <f t="shared" si="24"/>
        <v>-17357</v>
      </c>
      <c r="P29" s="33">
        <f t="shared" si="24"/>
        <v>-16192</v>
      </c>
      <c r="Q29" s="33">
        <f t="shared" ref="Q29:R29" si="25">Q30-Q31</f>
        <v>-13825</v>
      </c>
      <c r="R29" s="34">
        <f t="shared" si="25"/>
        <v>-13240</v>
      </c>
      <c r="S29" s="35"/>
      <c r="T29" s="35"/>
      <c r="U29" s="35"/>
    </row>
    <row r="30" spans="1:21">
      <c r="A30" s="6" t="s">
        <v>26</v>
      </c>
      <c r="B30" s="31"/>
      <c r="C30" s="31"/>
      <c r="D30" s="31"/>
      <c r="E30" s="31">
        <f>4269+2643</f>
        <v>6912</v>
      </c>
      <c r="F30" s="30">
        <f>4301+3268</f>
        <v>7569</v>
      </c>
      <c r="G30" s="31">
        <f>5015+3247</f>
        <v>8262</v>
      </c>
      <c r="H30" s="31">
        <f>5227+3228</f>
        <v>8455</v>
      </c>
      <c r="I30" s="31">
        <f>4610+4280</f>
        <v>8890</v>
      </c>
      <c r="J30" s="30">
        <f>3736+4220</f>
        <v>7956</v>
      </c>
      <c r="K30" s="31">
        <f>3800+4155</f>
        <v>7955</v>
      </c>
      <c r="L30" s="31">
        <f>4336+4141</f>
        <v>8477</v>
      </c>
      <c r="M30" s="31">
        <f>4017+3202</f>
        <v>7219</v>
      </c>
      <c r="N30" s="30">
        <f>4677+3206</f>
        <v>7883</v>
      </c>
      <c r="O30" s="31">
        <f>4179+3148</f>
        <v>7327</v>
      </c>
      <c r="P30" s="31">
        <f>4326+3155</f>
        <v>7481</v>
      </c>
      <c r="Q30" s="31">
        <f>4150+2899</f>
        <v>7049</v>
      </c>
      <c r="R30" s="30">
        <f>4455+2970</f>
        <v>7425</v>
      </c>
    </row>
    <row r="31" spans="1:21">
      <c r="A31" s="6" t="s">
        <v>27</v>
      </c>
      <c r="B31" s="31"/>
      <c r="C31" s="31"/>
      <c r="D31" s="31"/>
      <c r="E31" s="31">
        <f>4563+12773</f>
        <v>17336</v>
      </c>
      <c r="F31" s="30">
        <f>5950+12965</f>
        <v>18915</v>
      </c>
      <c r="G31" s="31">
        <f>5755+15367</f>
        <v>21122</v>
      </c>
      <c r="H31" s="31">
        <f>5312+15129</f>
        <v>20441</v>
      </c>
      <c r="I31" s="31">
        <f>3687+16842</f>
        <v>20529</v>
      </c>
      <c r="J31" s="30">
        <f>5698+14792</f>
        <v>20490</v>
      </c>
      <c r="K31" s="31">
        <f>4865+16788</f>
        <v>21653</v>
      </c>
      <c r="L31" s="31">
        <f>3338+18849</f>
        <v>22187</v>
      </c>
      <c r="M31" s="31">
        <f>6172+19119</f>
        <v>25291</v>
      </c>
      <c r="N31" s="30">
        <f>6009+20082</f>
        <v>26091</v>
      </c>
      <c r="O31" s="31">
        <f>5918+18766</f>
        <v>24684</v>
      </c>
      <c r="P31" s="31">
        <f>5992+17681</f>
        <v>23673</v>
      </c>
      <c r="Q31" s="31">
        <f>3790+17084</f>
        <v>20874</v>
      </c>
      <c r="R31" s="30">
        <f>3489+17176</f>
        <v>20665</v>
      </c>
    </row>
    <row r="33" spans="1:21">
      <c r="A33" s="26" t="s">
        <v>54</v>
      </c>
      <c r="B33" s="31"/>
      <c r="C33" s="31"/>
      <c r="D33" s="31"/>
      <c r="E33" s="48">
        <f>7172+27826</f>
        <v>34998</v>
      </c>
      <c r="F33" s="30">
        <f>7104+27818</f>
        <v>34922</v>
      </c>
      <c r="G33" s="31">
        <f>7052+27817</f>
        <v>34869</v>
      </c>
      <c r="H33" s="31">
        <f>6995+27802</f>
        <v>34797</v>
      </c>
      <c r="I33" s="48">
        <f>6949+27810</f>
        <v>34759</v>
      </c>
      <c r="J33" s="30">
        <f>6892+27793</f>
        <v>34685</v>
      </c>
      <c r="K33" s="31">
        <f>6845+27831</f>
        <v>34676</v>
      </c>
      <c r="L33" s="31">
        <f>6797+27835</f>
        <v>34632</v>
      </c>
      <c r="M33" s="48">
        <f>6995+31426</f>
        <v>38421</v>
      </c>
      <c r="N33" s="30">
        <f>6930+31430</f>
        <v>38360</v>
      </c>
      <c r="O33" s="31">
        <f>6962+31350</f>
        <v>38312</v>
      </c>
      <c r="P33" s="31">
        <f>6892+31306</f>
        <v>38198</v>
      </c>
      <c r="Q33" s="31">
        <f>6812+31269</f>
        <v>38081</v>
      </c>
      <c r="R33" s="30">
        <f>6747+31289</f>
        <v>38036</v>
      </c>
    </row>
    <row r="34" spans="1:21">
      <c r="A34" s="26" t="s">
        <v>55</v>
      </c>
      <c r="B34" s="31"/>
      <c r="C34" s="31"/>
      <c r="D34" s="31"/>
      <c r="E34" s="48">
        <v>88182</v>
      </c>
      <c r="F34" s="30">
        <v>90121</v>
      </c>
      <c r="G34" s="31">
        <v>90264</v>
      </c>
      <c r="H34" s="31">
        <v>90914</v>
      </c>
      <c r="I34" s="48">
        <v>92033</v>
      </c>
      <c r="J34" s="30">
        <v>91576</v>
      </c>
      <c r="K34" s="31">
        <v>91807</v>
      </c>
      <c r="L34" s="31">
        <v>92752</v>
      </c>
      <c r="M34" s="48">
        <v>95789</v>
      </c>
      <c r="N34" s="30">
        <v>97734</v>
      </c>
      <c r="O34" s="31">
        <v>97943</v>
      </c>
      <c r="P34" s="31">
        <v>98792</v>
      </c>
      <c r="Q34" s="31">
        <v>98598</v>
      </c>
      <c r="R34" s="30">
        <v>99941</v>
      </c>
    </row>
    <row r="35" spans="1:21">
      <c r="A35" s="26" t="s">
        <v>56</v>
      </c>
      <c r="B35" s="31"/>
      <c r="C35" s="31"/>
      <c r="D35" s="31"/>
      <c r="E35" s="48">
        <f>16334+12773+4051+6369</f>
        <v>39527</v>
      </c>
      <c r="F35" s="30">
        <f>18796+12965+3874+6288</f>
        <v>41923</v>
      </c>
      <c r="G35" s="31">
        <f>17073+15367+4044+5770</f>
        <v>42254</v>
      </c>
      <c r="H35" s="31">
        <f>18072+15129+4076+5491</f>
        <v>42768</v>
      </c>
      <c r="I35" s="48">
        <f>16842+16483+3679+7706</f>
        <v>44710</v>
      </c>
      <c r="J35" s="30">
        <f>19317+14792+3888+6402</f>
        <v>44399</v>
      </c>
      <c r="K35" s="31">
        <f>17365+16788+4006+6381</f>
        <v>44540</v>
      </c>
      <c r="L35" s="31">
        <f>17094+18849+4177+6581</f>
        <v>46701</v>
      </c>
      <c r="M35" s="48">
        <f>19595+19119+4480+6443+1148</f>
        <v>50785</v>
      </c>
      <c r="N35" s="30">
        <f>19875+20082+2826+6726+1142</f>
        <v>50651</v>
      </c>
      <c r="O35" s="31">
        <f>19728+18766+2949+6699+1150</f>
        <v>49292</v>
      </c>
      <c r="P35" s="31">
        <f>20214+17681+3222+6467+1137</f>
        <v>48721</v>
      </c>
      <c r="Q35" s="31">
        <f>17860+17084+3109+6590+1123</f>
        <v>45766</v>
      </c>
      <c r="R35" s="30">
        <f>17619+17176+3177+6452+1124</f>
        <v>45548</v>
      </c>
    </row>
    <row r="36" spans="1:21">
      <c r="E36" s="49"/>
      <c r="I36" s="49"/>
      <c r="M36" s="49"/>
    </row>
    <row r="37" spans="1:21">
      <c r="A37" s="26" t="s">
        <v>57</v>
      </c>
      <c r="E37" s="36">
        <f>E34-E30-E33</f>
        <v>46272</v>
      </c>
      <c r="F37" s="37">
        <f t="shared" ref="F37:O37" si="26">F34-F30-F33</f>
        <v>47630</v>
      </c>
      <c r="G37" s="36">
        <f t="shared" si="26"/>
        <v>47133</v>
      </c>
      <c r="H37" s="36">
        <f t="shared" si="26"/>
        <v>47662</v>
      </c>
      <c r="I37" s="36">
        <f t="shared" si="26"/>
        <v>48384</v>
      </c>
      <c r="J37" s="37">
        <f t="shared" si="26"/>
        <v>48935</v>
      </c>
      <c r="K37" s="36">
        <f t="shared" si="26"/>
        <v>49176</v>
      </c>
      <c r="L37" s="36">
        <f t="shared" si="26"/>
        <v>49643</v>
      </c>
      <c r="M37" s="36">
        <f t="shared" si="26"/>
        <v>50149</v>
      </c>
      <c r="N37" s="37">
        <f t="shared" si="26"/>
        <v>51491</v>
      </c>
      <c r="O37" s="36">
        <f t="shared" si="26"/>
        <v>52304</v>
      </c>
      <c r="P37" s="36">
        <f>P34-P30-P33</f>
        <v>53113</v>
      </c>
      <c r="Q37" s="36">
        <f>Q34-Q30-Q33</f>
        <v>53468</v>
      </c>
      <c r="R37" s="37">
        <f t="shared" ref="R37" si="27">R34-R30-R33</f>
        <v>54480</v>
      </c>
    </row>
    <row r="38" spans="1:21">
      <c r="A38" s="26" t="s">
        <v>58</v>
      </c>
      <c r="E38" s="36">
        <f>E34-E35</f>
        <v>48655</v>
      </c>
      <c r="F38" s="37">
        <f t="shared" ref="F38:P38" si="28">F34-F35</f>
        <v>48198</v>
      </c>
      <c r="G38" s="36">
        <f t="shared" si="28"/>
        <v>48010</v>
      </c>
      <c r="H38" s="36">
        <f>H34-H35</f>
        <v>48146</v>
      </c>
      <c r="I38" s="36">
        <f>I34-I35</f>
        <v>47323</v>
      </c>
      <c r="J38" s="37">
        <f t="shared" si="28"/>
        <v>47177</v>
      </c>
      <c r="K38" s="36">
        <f t="shared" si="28"/>
        <v>47267</v>
      </c>
      <c r="L38" s="36">
        <f t="shared" si="28"/>
        <v>46051</v>
      </c>
      <c r="M38" s="36">
        <f t="shared" si="28"/>
        <v>45004</v>
      </c>
      <c r="N38" s="37">
        <f t="shared" si="28"/>
        <v>47083</v>
      </c>
      <c r="O38" s="36">
        <f t="shared" si="28"/>
        <v>48651</v>
      </c>
      <c r="P38" s="36">
        <f t="shared" si="28"/>
        <v>50071</v>
      </c>
      <c r="Q38" s="36">
        <f t="shared" ref="Q38:R38" si="29">Q34-Q35</f>
        <v>52832</v>
      </c>
      <c r="R38" s="37">
        <f t="shared" si="29"/>
        <v>54393</v>
      </c>
    </row>
    <row r="39" spans="1:21">
      <c r="E39" s="49"/>
      <c r="I39" s="49"/>
      <c r="M39" s="49"/>
    </row>
    <row r="40" spans="1:21" s="12" customFormat="1">
      <c r="A40" s="32" t="s">
        <v>59</v>
      </c>
      <c r="B40" s="35"/>
      <c r="C40" s="35"/>
      <c r="D40" s="35"/>
      <c r="E40" s="33">
        <f t="shared" ref="E40:R40" si="30">SUM(B18:E18)</f>
        <v>8852</v>
      </c>
      <c r="F40" s="34">
        <f t="shared" si="30"/>
        <v>9518</v>
      </c>
      <c r="G40" s="33">
        <f t="shared" si="30"/>
        <v>9566</v>
      </c>
      <c r="H40" s="33">
        <f t="shared" si="30"/>
        <v>9639</v>
      </c>
      <c r="I40" s="33">
        <f t="shared" si="30"/>
        <v>9790</v>
      </c>
      <c r="J40" s="34">
        <f t="shared" si="30"/>
        <v>9368</v>
      </c>
      <c r="K40" s="33">
        <f t="shared" si="30"/>
        <v>9631</v>
      </c>
      <c r="L40" s="33">
        <f t="shared" si="30"/>
        <v>9393</v>
      </c>
      <c r="M40" s="33">
        <f t="shared" si="30"/>
        <v>9366</v>
      </c>
      <c r="N40" s="34">
        <f t="shared" si="30"/>
        <v>9895</v>
      </c>
      <c r="O40" s="33">
        <f t="shared" si="30"/>
        <v>10471</v>
      </c>
      <c r="P40" s="33">
        <f t="shared" si="30"/>
        <v>11056</v>
      </c>
      <c r="Q40" s="33">
        <f t="shared" si="30"/>
        <v>13066</v>
      </c>
      <c r="R40" s="34">
        <f t="shared" si="30"/>
        <v>12835</v>
      </c>
      <c r="S40" s="35"/>
      <c r="T40" s="35"/>
      <c r="U40" s="35"/>
    </row>
    <row r="41" spans="1:21">
      <c r="A41" s="26" t="s">
        <v>60</v>
      </c>
      <c r="E41" s="44">
        <f>E18/E38</f>
        <v>3.5782550611447951E-2</v>
      </c>
      <c r="F41" s="45">
        <f t="shared" ref="F41:O41" si="31">F40/F38</f>
        <v>0.19747707373749948</v>
      </c>
      <c r="G41" s="44">
        <f t="shared" si="31"/>
        <v>0.1992501562174547</v>
      </c>
      <c r="H41" s="44">
        <f t="shared" si="31"/>
        <v>0.20020354754289038</v>
      </c>
      <c r="I41" s="44">
        <f t="shared" si="31"/>
        <v>0.2068761490184477</v>
      </c>
      <c r="J41" s="45">
        <f t="shared" si="31"/>
        <v>0.19857133772813024</v>
      </c>
      <c r="K41" s="44">
        <f t="shared" si="31"/>
        <v>0.20375737829775531</v>
      </c>
      <c r="L41" s="44">
        <f t="shared" si="31"/>
        <v>0.20396951206271308</v>
      </c>
      <c r="M41" s="44">
        <f t="shared" si="31"/>
        <v>0.2081148342369567</v>
      </c>
      <c r="N41" s="45">
        <f t="shared" si="31"/>
        <v>0.21016077989932672</v>
      </c>
      <c r="O41" s="44">
        <f t="shared" si="31"/>
        <v>0.21522681959260859</v>
      </c>
      <c r="P41" s="44">
        <f>P40/P38</f>
        <v>0.22080645483413552</v>
      </c>
      <c r="Q41" s="44">
        <f>Q40/Q38</f>
        <v>0.24731223500908539</v>
      </c>
      <c r="R41" s="45">
        <f t="shared" ref="R41" si="32">R40/R38</f>
        <v>0.23596786351184895</v>
      </c>
    </row>
    <row r="42" spans="1:21">
      <c r="A42" s="26" t="s">
        <v>61</v>
      </c>
      <c r="E42" s="44">
        <f>E18/E34</f>
        <v>1.9743258261323171E-2</v>
      </c>
      <c r="F42" s="45">
        <f t="shared" ref="F42:O42" si="33">F40/F34</f>
        <v>0.10561356398619634</v>
      </c>
      <c r="G42" s="44">
        <f t="shared" si="33"/>
        <v>0.10597802003013383</v>
      </c>
      <c r="H42" s="44">
        <f t="shared" si="33"/>
        <v>0.10602327474316386</v>
      </c>
      <c r="I42" s="44">
        <f t="shared" si="33"/>
        <v>0.10637488726869709</v>
      </c>
      <c r="J42" s="45">
        <f t="shared" si="33"/>
        <v>0.10229754520835153</v>
      </c>
      <c r="K42" s="44">
        <f t="shared" si="33"/>
        <v>0.10490485474963783</v>
      </c>
      <c r="L42" s="44">
        <f t="shared" si="33"/>
        <v>0.10127005347593583</v>
      </c>
      <c r="M42" s="44">
        <f t="shared" si="33"/>
        <v>9.7777406591571053E-2</v>
      </c>
      <c r="N42" s="45">
        <f t="shared" si="33"/>
        <v>0.10124419342296437</v>
      </c>
      <c r="O42" s="44">
        <f t="shared" si="33"/>
        <v>0.10690912061096761</v>
      </c>
      <c r="P42" s="44">
        <f>P40/P34</f>
        <v>0.11191189570005669</v>
      </c>
      <c r="Q42" s="44">
        <f>Q40/Q34</f>
        <v>0.13251790097162214</v>
      </c>
      <c r="R42" s="45">
        <f t="shared" ref="R42" si="34">R40/R34</f>
        <v>0.12842577120501095</v>
      </c>
    </row>
    <row r="43" spans="1:21">
      <c r="A43" s="26" t="s">
        <v>62</v>
      </c>
      <c r="E43" s="44">
        <f>E18/(E38-E33)</f>
        <v>0.12748041297503113</v>
      </c>
      <c r="F43" s="45">
        <f t="shared" ref="F43:O43" si="35">F40/(F38-F33)</f>
        <v>0.71693281108767704</v>
      </c>
      <c r="G43" s="44">
        <f t="shared" si="35"/>
        <v>0.7279506886842706</v>
      </c>
      <c r="H43" s="44">
        <f t="shared" si="35"/>
        <v>0.72207656004195075</v>
      </c>
      <c r="I43" s="44">
        <f t="shared" si="35"/>
        <v>0.77921044253422478</v>
      </c>
      <c r="J43" s="45">
        <f t="shared" si="35"/>
        <v>0.74991994876721102</v>
      </c>
      <c r="K43" s="44">
        <f t="shared" si="35"/>
        <v>0.76491144468270988</v>
      </c>
      <c r="L43" s="44">
        <f>L40/(L38-L33)</f>
        <v>0.82257640774148344</v>
      </c>
      <c r="M43" s="44">
        <f t="shared" si="35"/>
        <v>1.4227555825611424</v>
      </c>
      <c r="N43" s="45">
        <f t="shared" si="35"/>
        <v>1.1343574458328556</v>
      </c>
      <c r="O43" s="44">
        <f t="shared" si="35"/>
        <v>1.0127671921849308</v>
      </c>
      <c r="P43" s="44">
        <f>P40/(P38-P33)</f>
        <v>0.93118841067969338</v>
      </c>
      <c r="Q43" s="44">
        <f>Q40/(Q38-Q33)</f>
        <v>0.88577045624025486</v>
      </c>
      <c r="R43" s="45">
        <f t="shared" ref="R43" si="36">R40/(R38-R33)</f>
        <v>0.78467934217766089</v>
      </c>
    </row>
    <row r="44" spans="1:21">
      <c r="A44" s="26" t="s">
        <v>63</v>
      </c>
      <c r="E44" s="44">
        <f>E18/E37</f>
        <v>3.7625345781466112E-2</v>
      </c>
      <c r="F44" s="45">
        <f t="shared" ref="F44:O44" si="37">F40/F37</f>
        <v>0.19983203863111484</v>
      </c>
      <c r="G44" s="44">
        <f t="shared" si="37"/>
        <v>0.2029575881017546</v>
      </c>
      <c r="H44" s="44">
        <f t="shared" si="37"/>
        <v>0.20223658260249255</v>
      </c>
      <c r="I44" s="44">
        <f t="shared" si="37"/>
        <v>0.2023396164021164</v>
      </c>
      <c r="J44" s="45">
        <f t="shared" si="37"/>
        <v>0.19143762133442321</v>
      </c>
      <c r="K44" s="44">
        <f t="shared" si="37"/>
        <v>0.19584756791931024</v>
      </c>
      <c r="L44" s="44">
        <f t="shared" si="37"/>
        <v>0.18921096629937756</v>
      </c>
      <c r="M44" s="44">
        <f t="shared" si="37"/>
        <v>0.18676344493409638</v>
      </c>
      <c r="N44" s="45">
        <f t="shared" si="37"/>
        <v>0.1921695053504496</v>
      </c>
      <c r="O44" s="44">
        <f t="shared" si="37"/>
        <v>0.20019501376567758</v>
      </c>
      <c r="P44" s="44">
        <f>P40/P37</f>
        <v>0.20815996083821287</v>
      </c>
      <c r="Q44" s="44">
        <f>Q40/Q37</f>
        <v>0.24437046457694322</v>
      </c>
      <c r="R44" s="45">
        <f t="shared" ref="R44" si="38">R40/R37</f>
        <v>0.23559104258443467</v>
      </c>
    </row>
    <row r="46" spans="1:21">
      <c r="A46" s="6" t="s">
        <v>125</v>
      </c>
      <c r="F46" s="45">
        <f t="shared" ref="F46:R49" si="39">F3/B3-1</f>
        <v>8.0546075085324187E-2</v>
      </c>
      <c r="G46" s="44">
        <f t="shared" si="39"/>
        <v>-2.9259896729776358E-3</v>
      </c>
      <c r="H46" s="44">
        <f t="shared" si="39"/>
        <v>2.3925104022191501E-2</v>
      </c>
      <c r="I46" s="44">
        <f t="shared" si="39"/>
        <v>-2.8836251287332693E-2</v>
      </c>
      <c r="J46" s="45">
        <f t="shared" si="39"/>
        <v>-1.5634870499052433E-2</v>
      </c>
      <c r="K46" s="44">
        <f t="shared" si="39"/>
        <v>2.641118591403413E-2</v>
      </c>
      <c r="L46" s="44">
        <f t="shared" si="39"/>
        <v>-6.7727734507280202E-3</v>
      </c>
      <c r="M46" s="44">
        <f t="shared" si="39"/>
        <v>-3.4110993283845925E-2</v>
      </c>
      <c r="N46" s="45">
        <f t="shared" si="39"/>
        <v>-0.10877587036739933</v>
      </c>
      <c r="O46" s="44">
        <f t="shared" si="39"/>
        <v>3.2290615539858791E-2</v>
      </c>
      <c r="P46" s="44">
        <f t="shared" si="39"/>
        <v>4.9437436072280905E-2</v>
      </c>
      <c r="Q46" s="44">
        <f t="shared" si="39"/>
        <v>9.1125343092406164E-2</v>
      </c>
      <c r="R46" s="45">
        <f t="shared" si="39"/>
        <v>6.5886588658865985E-2</v>
      </c>
      <c r="S46" s="6"/>
      <c r="T46" s="6"/>
      <c r="U46" s="6"/>
    </row>
    <row r="47" spans="1:21">
      <c r="A47" s="6" t="s">
        <v>126</v>
      </c>
      <c r="F47" s="45">
        <f t="shared" si="39"/>
        <v>9.4884910485933505E-2</v>
      </c>
      <c r="G47" s="44">
        <f t="shared" si="39"/>
        <v>4.4680851063829685E-2</v>
      </c>
      <c r="H47" s="44">
        <f t="shared" si="39"/>
        <v>6.0033890099249643E-2</v>
      </c>
      <c r="I47" s="44">
        <f t="shared" si="39"/>
        <v>5.7326301307039085E-3</v>
      </c>
      <c r="J47" s="45">
        <f t="shared" si="39"/>
        <v>6.4003737444522368E-2</v>
      </c>
      <c r="K47" s="44">
        <f t="shared" si="39"/>
        <v>9.445010183299396E-2</v>
      </c>
      <c r="L47" s="44">
        <f t="shared" si="39"/>
        <v>0.11760675953414013</v>
      </c>
      <c r="M47" s="44">
        <f t="shared" si="39"/>
        <v>6.4067487460100381E-2</v>
      </c>
      <c r="N47" s="45">
        <f t="shared" si="39"/>
        <v>0.43293084522502734</v>
      </c>
      <c r="O47" s="44">
        <f t="shared" si="39"/>
        <v>0.13491509653407774</v>
      </c>
      <c r="P47" s="44">
        <f t="shared" si="39"/>
        <v>6.1095218635063286E-2</v>
      </c>
      <c r="Q47" s="44">
        <f t="shared" si="39"/>
        <v>8.6350974930362145E-2</v>
      </c>
      <c r="R47" s="45">
        <f t="shared" si="39"/>
        <v>4.550329400949904E-2</v>
      </c>
      <c r="S47" s="6"/>
      <c r="T47" s="6"/>
      <c r="U47" s="6"/>
    </row>
    <row r="48" spans="1:21">
      <c r="A48" s="6" t="s">
        <v>127</v>
      </c>
      <c r="F48" s="45">
        <f t="shared" si="39"/>
        <v>0.21364852809991075</v>
      </c>
      <c r="G48" s="44">
        <f t="shared" si="39"/>
        <v>0.22373887240356094</v>
      </c>
      <c r="H48" s="44">
        <f t="shared" si="39"/>
        <v>0.39558823529411757</v>
      </c>
      <c r="I48" s="44">
        <f t="shared" si="39"/>
        <v>-0.14976525821596243</v>
      </c>
      <c r="J48" s="45">
        <f t="shared" si="39"/>
        <v>-7.3869900771775132E-2</v>
      </c>
      <c r="K48" s="44">
        <f t="shared" si="39"/>
        <v>-1.3579049466537318E-2</v>
      </c>
      <c r="L48" s="44">
        <f t="shared" si="39"/>
        <v>-0.15946610467158417</v>
      </c>
      <c r="M48" s="44">
        <f t="shared" si="39"/>
        <v>-0.2092766427388183</v>
      </c>
      <c r="N48" s="45">
        <f t="shared" si="39"/>
        <v>-4.3650793650793496E-3</v>
      </c>
      <c r="O48" s="44">
        <f t="shared" si="39"/>
        <v>0.20648967551622421</v>
      </c>
      <c r="P48" s="44">
        <f t="shared" si="39"/>
        <v>0.20267446719598836</v>
      </c>
      <c r="Q48" s="44">
        <f t="shared" si="39"/>
        <v>0.50209497206703912</v>
      </c>
      <c r="R48" s="45">
        <f t="shared" si="39"/>
        <v>-0.27301713830211238</v>
      </c>
      <c r="S48" s="6"/>
      <c r="T48" s="6"/>
      <c r="U48" s="6"/>
    </row>
    <row r="49" spans="1:18">
      <c r="A49" s="6" t="s">
        <v>128</v>
      </c>
      <c r="F49" s="45">
        <f t="shared" si="39"/>
        <v>0.38506163886874556</v>
      </c>
      <c r="G49" s="44">
        <f t="shared" si="39"/>
        <v>-1.6583747927031545E-2</v>
      </c>
      <c r="H49" s="44">
        <f t="shared" si="39"/>
        <v>-1.4629948364888179E-2</v>
      </c>
      <c r="I49" s="44">
        <f t="shared" si="39"/>
        <v>7.698744769874466E-2</v>
      </c>
      <c r="J49" s="45">
        <f t="shared" si="39"/>
        <v>-0.22722513089005236</v>
      </c>
      <c r="K49" s="44">
        <f t="shared" si="39"/>
        <v>-0.10876897133220909</v>
      </c>
      <c r="L49" s="44">
        <f t="shared" si="39"/>
        <v>-5.2401746724890841E-2</v>
      </c>
      <c r="M49" s="44">
        <f t="shared" si="39"/>
        <v>-5.5944055944055937E-2</v>
      </c>
      <c r="N49" s="45">
        <f t="shared" si="39"/>
        <v>-0.3692411924119241</v>
      </c>
      <c r="O49" s="44">
        <f t="shared" si="39"/>
        <v>1.8921475875118166E-2</v>
      </c>
      <c r="P49" s="44">
        <f t="shared" si="39"/>
        <v>-7.7419354838709653E-2</v>
      </c>
      <c r="Q49" s="44">
        <f t="shared" si="39"/>
        <v>-7.5720164609053509E-2</v>
      </c>
      <c r="R49" s="45">
        <f t="shared" si="39"/>
        <v>-1.3963480128893702E-2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A31" sqref="A31"/>
    </sheetView>
  </sheetViews>
  <sheetFormatPr baseColWidth="10" defaultRowHeight="13"/>
  <cols>
    <col min="1" max="1" width="23.5" style="3" customWidth="1"/>
    <col min="2" max="16384" width="10.83203125" style="3"/>
  </cols>
  <sheetData>
    <row r="1" spans="1:2">
      <c r="A1" s="2" t="s">
        <v>76</v>
      </c>
      <c r="B1" s="3" t="s">
        <v>84</v>
      </c>
    </row>
    <row r="2" spans="1:2">
      <c r="A2" s="3" t="s">
        <v>77</v>
      </c>
    </row>
    <row r="3" spans="1:2">
      <c r="A3" s="3" t="s">
        <v>78</v>
      </c>
    </row>
    <row r="4" spans="1:2">
      <c r="A4" s="3" t="s">
        <v>79</v>
      </c>
    </row>
    <row r="5" spans="1:2">
      <c r="A5" s="3" t="s">
        <v>80</v>
      </c>
    </row>
    <row r="6" spans="1:2">
      <c r="A6" s="2" t="s">
        <v>81</v>
      </c>
      <c r="B6" s="3" t="s">
        <v>85</v>
      </c>
    </row>
    <row r="7" spans="1:2">
      <c r="A7" s="3" t="s">
        <v>82</v>
      </c>
    </row>
    <row r="8" spans="1:2">
      <c r="A8" s="3" t="s">
        <v>83</v>
      </c>
    </row>
    <row r="9" spans="1:2">
      <c r="A9" s="2" t="s">
        <v>86</v>
      </c>
      <c r="B9" s="3" t="s">
        <v>87</v>
      </c>
    </row>
    <row r="10" spans="1:2">
      <c r="A10" s="2" t="s">
        <v>88</v>
      </c>
      <c r="B10" s="3" t="s">
        <v>89</v>
      </c>
    </row>
    <row r="11" spans="1:2">
      <c r="A11" s="3" t="s">
        <v>90</v>
      </c>
    </row>
    <row r="12" spans="1:2">
      <c r="A12" s="3" t="s">
        <v>91</v>
      </c>
    </row>
    <row r="13" spans="1:2">
      <c r="A13" s="2" t="s">
        <v>92</v>
      </c>
      <c r="B13" s="3" t="s">
        <v>93</v>
      </c>
    </row>
    <row r="14" spans="1:2">
      <c r="A14" s="3" t="s">
        <v>94</v>
      </c>
    </row>
    <row r="15" spans="1:2">
      <c r="A15" s="2" t="s">
        <v>95</v>
      </c>
      <c r="B15" s="3" t="s">
        <v>96</v>
      </c>
    </row>
    <row r="16" spans="1:2">
      <c r="A16" s="3" t="s">
        <v>97</v>
      </c>
    </row>
    <row r="17" spans="1:2">
      <c r="A17" s="2" t="s">
        <v>98</v>
      </c>
      <c r="B17" s="3" t="s">
        <v>99</v>
      </c>
    </row>
    <row r="18" spans="1:2">
      <c r="A18" s="3" t="s">
        <v>100</v>
      </c>
    </row>
    <row r="19" spans="1:2">
      <c r="A19" s="3" t="s">
        <v>101</v>
      </c>
    </row>
    <row r="20" spans="1:2">
      <c r="A20" s="2" t="s">
        <v>102</v>
      </c>
    </row>
    <row r="21" spans="1:2">
      <c r="A21" s="2" t="s">
        <v>103</v>
      </c>
    </row>
    <row r="22" spans="1:2">
      <c r="A22" s="2" t="s">
        <v>104</v>
      </c>
    </row>
    <row r="23" spans="1:2">
      <c r="A23" s="2" t="s">
        <v>105</v>
      </c>
    </row>
    <row r="24" spans="1:2">
      <c r="A24" s="2" t="s">
        <v>106</v>
      </c>
    </row>
    <row r="25" spans="1:2">
      <c r="A25" s="2" t="s">
        <v>107</v>
      </c>
    </row>
    <row r="26" spans="1:2">
      <c r="A26" s="2" t="s">
        <v>108</v>
      </c>
    </row>
    <row r="27" spans="1:2">
      <c r="A27" s="3" t="s">
        <v>109</v>
      </c>
    </row>
    <row r="28" spans="1:2">
      <c r="A28" s="3" t="s">
        <v>110</v>
      </c>
    </row>
    <row r="29" spans="1:2">
      <c r="A29" s="2" t="s">
        <v>111</v>
      </c>
    </row>
    <row r="30" spans="1:2">
      <c r="A30" s="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2020-01-03T18:23:38Z</dcterms:modified>
</cp:coreProperties>
</file>