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- PROJECTS/- Investing/stocks/"/>
    </mc:Choice>
  </mc:AlternateContent>
  <xr:revisionPtr revIDLastSave="0" documentId="13_ncr:1_{DE107526-55E6-B548-A3D1-BA1D957769BF}" xr6:coauthVersionLast="45" xr6:coauthVersionMax="45" xr10:uidLastSave="{00000000-0000-0000-0000-000000000000}"/>
  <bookViews>
    <workbookView xWindow="12080" yWindow="460" windowWidth="2376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2" l="1"/>
  <c r="I20" i="2" s="1"/>
  <c r="J20" i="2" s="1"/>
  <c r="K20" i="2" s="1"/>
  <c r="G20" i="2"/>
  <c r="G15" i="2"/>
  <c r="H19" i="2"/>
  <c r="I19" i="2" s="1"/>
  <c r="J19" i="2" s="1"/>
  <c r="K19" i="2" s="1"/>
  <c r="G19" i="2"/>
  <c r="G34" i="2"/>
  <c r="G12" i="2"/>
  <c r="H13" i="2"/>
  <c r="I13" i="2" s="1"/>
  <c r="J13" i="2" s="1"/>
  <c r="K13" i="2" s="1"/>
  <c r="G13" i="2"/>
  <c r="H18" i="2"/>
  <c r="I18" i="2" s="1"/>
  <c r="J18" i="2" s="1"/>
  <c r="K18" i="2" s="1"/>
  <c r="G18" i="2"/>
  <c r="F15" i="2"/>
  <c r="F13" i="2"/>
  <c r="H12" i="2"/>
  <c r="I12" i="2" s="1"/>
  <c r="J12" i="2" s="1"/>
  <c r="K12" i="2" s="1"/>
  <c r="F38" i="2"/>
  <c r="E38" i="2"/>
  <c r="D38" i="2"/>
  <c r="F16" i="2"/>
  <c r="E10" i="2"/>
  <c r="E18" i="2"/>
  <c r="E16" i="2"/>
  <c r="U6" i="1"/>
  <c r="U7" i="1"/>
  <c r="U10" i="1" l="1"/>
  <c r="U3" i="1"/>
  <c r="F4" i="2"/>
  <c r="C5" i="2"/>
  <c r="F19" i="2"/>
  <c r="F28" i="2"/>
  <c r="C3" i="2" s="1"/>
  <c r="F25" i="2"/>
  <c r="F23" i="2"/>
  <c r="F20" i="2"/>
  <c r="F18" i="2"/>
  <c r="U49" i="1"/>
  <c r="U48" i="1"/>
  <c r="F10" i="2"/>
  <c r="U18" i="1"/>
  <c r="U15" i="1"/>
  <c r="U9" i="1"/>
  <c r="U8" i="1"/>
  <c r="U27" i="1"/>
  <c r="U26" i="1"/>
  <c r="U25" i="1"/>
  <c r="U11" i="1"/>
  <c r="U5" i="1"/>
  <c r="T33" i="1"/>
  <c r="T37" i="1" s="1"/>
  <c r="T13" i="1"/>
  <c r="T49" i="1"/>
  <c r="T46" i="1"/>
  <c r="T38" i="1"/>
  <c r="T29" i="1"/>
  <c r="T27" i="1"/>
  <c r="T26" i="1"/>
  <c r="T25" i="1"/>
  <c r="T11" i="1"/>
  <c r="T5" i="1"/>
  <c r="T7" i="1" s="1"/>
  <c r="S49" i="1"/>
  <c r="S33" i="1"/>
  <c r="S31" i="1"/>
  <c r="S46" i="1"/>
  <c r="S38" i="1"/>
  <c r="S37" i="1"/>
  <c r="S29" i="1"/>
  <c r="S27" i="1"/>
  <c r="S26" i="1"/>
  <c r="S25" i="1"/>
  <c r="S11" i="1"/>
  <c r="S5" i="1"/>
  <c r="S24" i="1" s="1"/>
  <c r="F34" i="2" l="1"/>
  <c r="F21" i="2"/>
  <c r="U20" i="1"/>
  <c r="U24" i="1"/>
  <c r="T24" i="1"/>
  <c r="T12" i="1"/>
  <c r="T20" i="1"/>
  <c r="S7" i="1"/>
  <c r="R46" i="1"/>
  <c r="N33" i="1"/>
  <c r="N31" i="1"/>
  <c r="N30" i="1"/>
  <c r="N37" i="1" s="1"/>
  <c r="N38" i="1"/>
  <c r="N29" i="1"/>
  <c r="R33" i="1"/>
  <c r="R37" i="1" s="1"/>
  <c r="R31" i="1"/>
  <c r="R30" i="1"/>
  <c r="R29" i="1" s="1"/>
  <c r="R13" i="1"/>
  <c r="R5" i="1"/>
  <c r="R49" i="1"/>
  <c r="R7" i="1"/>
  <c r="R20" i="1" s="1"/>
  <c r="R11" i="1"/>
  <c r="R38" i="1"/>
  <c r="R27" i="1"/>
  <c r="R26" i="1"/>
  <c r="R25" i="1"/>
  <c r="E12" i="2"/>
  <c r="F56" i="2" s="1"/>
  <c r="C4" i="2"/>
  <c r="N49" i="1"/>
  <c r="Q49" i="1"/>
  <c r="P49" i="1"/>
  <c r="O49" i="1"/>
  <c r="E46" i="2"/>
  <c r="E45" i="2"/>
  <c r="E49" i="2" s="1"/>
  <c r="E44" i="2"/>
  <c r="E42" i="2"/>
  <c r="E20" i="2"/>
  <c r="E19" i="2"/>
  <c r="D12" i="2"/>
  <c r="D10" i="2"/>
  <c r="C15" i="2"/>
  <c r="E25" i="2"/>
  <c r="O27" i="1"/>
  <c r="O26" i="1"/>
  <c r="O25" i="1"/>
  <c r="N27" i="1"/>
  <c r="N26" i="1"/>
  <c r="N25" i="1"/>
  <c r="Q27" i="1"/>
  <c r="Q26" i="1"/>
  <c r="Q25" i="1"/>
  <c r="Q18" i="1"/>
  <c r="E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N46" i="1"/>
  <c r="O46" i="1"/>
  <c r="Q33" i="1"/>
  <c r="Q31" i="1"/>
  <c r="Q30" i="1"/>
  <c r="E41" i="2" s="1"/>
  <c r="E40" i="2" s="1"/>
  <c r="Q46" i="1"/>
  <c r="Q37" i="1"/>
  <c r="Q38" i="1"/>
  <c r="Q29" i="1"/>
  <c r="J13" i="1"/>
  <c r="J5" i="1"/>
  <c r="J7" i="1"/>
  <c r="J12" i="1" s="1"/>
  <c r="J11" i="1"/>
  <c r="K13" i="1"/>
  <c r="K5" i="1"/>
  <c r="K7" i="1"/>
  <c r="K20" i="1" s="1"/>
  <c r="K11" i="1"/>
  <c r="K12" i="1"/>
  <c r="K14" i="1" s="1"/>
  <c r="O13" i="1"/>
  <c r="O5" i="1"/>
  <c r="O11" i="1"/>
  <c r="N13" i="1"/>
  <c r="E23" i="2" s="1"/>
  <c r="N5" i="1"/>
  <c r="R24" i="1" s="1"/>
  <c r="N7" i="1"/>
  <c r="N12" i="1" s="1"/>
  <c r="N11" i="1"/>
  <c r="N20" i="1"/>
  <c r="M13" i="1"/>
  <c r="M5" i="1"/>
  <c r="M7" i="1"/>
  <c r="M12" i="1" s="1"/>
  <c r="M11" i="1"/>
  <c r="Q13" i="1"/>
  <c r="Q5" i="1"/>
  <c r="Q24" i="1" s="1"/>
  <c r="Q7" i="1"/>
  <c r="Q12" i="1" s="1"/>
  <c r="Q20" i="1"/>
  <c r="Q11" i="1"/>
  <c r="P18" i="1"/>
  <c r="E9" i="2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D44" i="2"/>
  <c r="C44" i="2"/>
  <c r="C48" i="2" s="1"/>
  <c r="D42" i="2"/>
  <c r="D41" i="2"/>
  <c r="D40" i="2" s="1"/>
  <c r="C41" i="2"/>
  <c r="C40" i="2" s="1"/>
  <c r="D23" i="2"/>
  <c r="C23" i="2"/>
  <c r="O33" i="1"/>
  <c r="O30" i="1"/>
  <c r="O37" i="1"/>
  <c r="O38" i="1"/>
  <c r="O29" i="1"/>
  <c r="I33" i="1"/>
  <c r="I30" i="1"/>
  <c r="I37" i="1" s="1"/>
  <c r="I40" i="1"/>
  <c r="I44" i="1" s="1"/>
  <c r="I38" i="1"/>
  <c r="L5" i="1"/>
  <c r="L7" i="1"/>
  <c r="L20" i="1" s="1"/>
  <c r="L11" i="1"/>
  <c r="L12" i="1" s="1"/>
  <c r="L13" i="1"/>
  <c r="M38" i="1"/>
  <c r="M33" i="1"/>
  <c r="M37" i="1" s="1"/>
  <c r="M31" i="1"/>
  <c r="M29" i="1" s="1"/>
  <c r="M30" i="1"/>
  <c r="P33" i="1"/>
  <c r="P31" i="1"/>
  <c r="P30" i="1"/>
  <c r="P29" i="1" s="1"/>
  <c r="P13" i="1"/>
  <c r="P5" i="1"/>
  <c r="P24" i="1" s="1"/>
  <c r="P11" i="1"/>
  <c r="P46" i="1"/>
  <c r="P38" i="1"/>
  <c r="C17" i="2"/>
  <c r="C30" i="2" s="1"/>
  <c r="C21" i="2"/>
  <c r="C22" i="2"/>
  <c r="C31" i="2" s="1"/>
  <c r="C49" i="2"/>
  <c r="D48" i="2"/>
  <c r="D21" i="2"/>
  <c r="D49" i="2"/>
  <c r="P37" i="1"/>
  <c r="P27" i="1"/>
  <c r="P26" i="1"/>
  <c r="P25" i="1"/>
  <c r="E37" i="2"/>
  <c r="D37" i="2"/>
  <c r="E36" i="2"/>
  <c r="D36" i="2"/>
  <c r="D35" i="2"/>
  <c r="E56" i="2" l="1"/>
  <c r="E13" i="2"/>
  <c r="E15" i="2" s="1"/>
  <c r="G56" i="2"/>
  <c r="D13" i="2"/>
  <c r="D15" i="2" s="1"/>
  <c r="D17" i="2" s="1"/>
  <c r="E21" i="2"/>
  <c r="E35" i="2"/>
  <c r="F35" i="2"/>
  <c r="C6" i="2"/>
  <c r="C7" i="2" s="1"/>
  <c r="U12" i="1"/>
  <c r="U21" i="1" s="1"/>
  <c r="U14" i="1"/>
  <c r="T21" i="1"/>
  <c r="T14" i="1"/>
  <c r="S20" i="1"/>
  <c r="S12" i="1"/>
  <c r="J14" i="1"/>
  <c r="J21" i="1"/>
  <c r="K22" i="1"/>
  <c r="K16" i="1"/>
  <c r="Q14" i="1"/>
  <c r="Q21" i="1"/>
  <c r="L21" i="1"/>
  <c r="L14" i="1"/>
  <c r="N14" i="1"/>
  <c r="N21" i="1"/>
  <c r="E57" i="2"/>
  <c r="F37" i="2"/>
  <c r="M14" i="1"/>
  <c r="M21" i="1"/>
  <c r="F36" i="2"/>
  <c r="E48" i="2"/>
  <c r="C24" i="2"/>
  <c r="P7" i="1"/>
  <c r="O7" i="1"/>
  <c r="R12" i="1"/>
  <c r="M20" i="1"/>
  <c r="O24" i="1"/>
  <c r="J20" i="1"/>
  <c r="I41" i="1"/>
  <c r="N24" i="1"/>
  <c r="I42" i="1"/>
  <c r="I29" i="1"/>
  <c r="I43" i="1"/>
  <c r="K21" i="1"/>
  <c r="D34" i="2" l="1"/>
  <c r="F17" i="2"/>
  <c r="F22" i="2" s="1"/>
  <c r="F24" i="2" s="1"/>
  <c r="U22" i="1"/>
  <c r="U16" i="1"/>
  <c r="T22" i="1"/>
  <c r="T16" i="1"/>
  <c r="S14" i="1"/>
  <c r="S21" i="1"/>
  <c r="P20" i="1"/>
  <c r="P12" i="1"/>
  <c r="L22" i="1"/>
  <c r="L16" i="1"/>
  <c r="C32" i="2"/>
  <c r="C26" i="2"/>
  <c r="G35" i="2"/>
  <c r="G21" i="2"/>
  <c r="G38" i="2" s="1"/>
  <c r="G36" i="2"/>
  <c r="H56" i="2"/>
  <c r="Q16" i="1"/>
  <c r="Q17" i="1" s="1"/>
  <c r="Q22" i="1"/>
  <c r="O20" i="1"/>
  <c r="O12" i="1"/>
  <c r="M22" i="1"/>
  <c r="M16" i="1"/>
  <c r="D22" i="2"/>
  <c r="D30" i="2"/>
  <c r="K17" i="1"/>
  <c r="G37" i="2"/>
  <c r="N16" i="1"/>
  <c r="N40" i="1" s="1"/>
  <c r="N22" i="1"/>
  <c r="F57" i="2"/>
  <c r="E17" i="2"/>
  <c r="I2" i="2"/>
  <c r="E34" i="2"/>
  <c r="I4" i="2" s="1"/>
  <c r="R21" i="1"/>
  <c r="R14" i="1"/>
  <c r="J22" i="1"/>
  <c r="J16" i="1"/>
  <c r="U17" i="1" l="1"/>
  <c r="T17" i="1"/>
  <c r="T40" i="1"/>
  <c r="S22" i="1"/>
  <c r="S16" i="1"/>
  <c r="N41" i="1"/>
  <c r="N44" i="1"/>
  <c r="N43" i="1"/>
  <c r="N42" i="1"/>
  <c r="I56" i="2"/>
  <c r="H37" i="2"/>
  <c r="M40" i="1"/>
  <c r="J17" i="1"/>
  <c r="D24" i="2"/>
  <c r="D31" i="2"/>
  <c r="C51" i="2"/>
  <c r="C27" i="2"/>
  <c r="C54" i="2"/>
  <c r="C53" i="2"/>
  <c r="C52" i="2"/>
  <c r="R22" i="1"/>
  <c r="R16" i="1"/>
  <c r="R17" i="1" s="1"/>
  <c r="M17" i="1"/>
  <c r="G57" i="2"/>
  <c r="H36" i="2"/>
  <c r="L17" i="1"/>
  <c r="O21" i="1"/>
  <c r="O14" i="1"/>
  <c r="P14" i="1"/>
  <c r="P21" i="1"/>
  <c r="N17" i="1"/>
  <c r="H35" i="2"/>
  <c r="H21" i="2"/>
  <c r="H38" i="2" s="1"/>
  <c r="E30" i="2"/>
  <c r="I5" i="2" s="1"/>
  <c r="E22" i="2"/>
  <c r="K15" i="2" l="1"/>
  <c r="H15" i="2"/>
  <c r="T42" i="1"/>
  <c r="T44" i="1"/>
  <c r="T43" i="1"/>
  <c r="T41" i="1"/>
  <c r="S17" i="1"/>
  <c r="S40" i="1"/>
  <c r="I35" i="2"/>
  <c r="I21" i="2"/>
  <c r="I38" i="2" s="1"/>
  <c r="D26" i="2"/>
  <c r="D32" i="2"/>
  <c r="O16" i="1"/>
  <c r="O22" i="1"/>
  <c r="J56" i="2"/>
  <c r="H57" i="2"/>
  <c r="P22" i="1"/>
  <c r="P16" i="1"/>
  <c r="P17" i="1" s="1"/>
  <c r="E24" i="2"/>
  <c r="E31" i="2"/>
  <c r="I6" i="2" s="1"/>
  <c r="I36" i="2"/>
  <c r="M44" i="1"/>
  <c r="M41" i="1"/>
  <c r="M43" i="1"/>
  <c r="M42" i="1"/>
  <c r="I37" i="2"/>
  <c r="S44" i="1" l="1"/>
  <c r="S43" i="1"/>
  <c r="S42" i="1"/>
  <c r="S41" i="1"/>
  <c r="H34" i="2"/>
  <c r="I57" i="2"/>
  <c r="I15" i="2"/>
  <c r="E26" i="2"/>
  <c r="E32" i="2"/>
  <c r="J37" i="2"/>
  <c r="O17" i="1"/>
  <c r="R40" i="1"/>
  <c r="O40" i="1"/>
  <c r="Q40" i="1"/>
  <c r="P40" i="1"/>
  <c r="D51" i="2"/>
  <c r="D54" i="2"/>
  <c r="D27" i="2"/>
  <c r="D53" i="2"/>
  <c r="D52" i="2"/>
  <c r="J36" i="2"/>
  <c r="F30" i="2"/>
  <c r="G17" i="2" s="1"/>
  <c r="J35" i="2"/>
  <c r="J21" i="2"/>
  <c r="J38" i="2" s="1"/>
  <c r="Q42" i="1" l="1"/>
  <c r="Q44" i="1"/>
  <c r="Q41" i="1"/>
  <c r="Q43" i="1"/>
  <c r="P43" i="1"/>
  <c r="P42" i="1"/>
  <c r="P41" i="1"/>
  <c r="P44" i="1"/>
  <c r="G30" i="2"/>
  <c r="H17" i="2" s="1"/>
  <c r="G22" i="2"/>
  <c r="G16" i="2"/>
  <c r="F31" i="2"/>
  <c r="L19" i="2"/>
  <c r="K36" i="2"/>
  <c r="J57" i="2"/>
  <c r="J15" i="2"/>
  <c r="O44" i="1"/>
  <c r="O43" i="1"/>
  <c r="O42" i="1"/>
  <c r="O41" i="1"/>
  <c r="R43" i="1"/>
  <c r="R44" i="1"/>
  <c r="R42" i="1"/>
  <c r="R41" i="1"/>
  <c r="L18" i="2"/>
  <c r="K35" i="2"/>
  <c r="K21" i="2"/>
  <c r="K38" i="2" s="1"/>
  <c r="K37" i="2"/>
  <c r="L20" i="2"/>
  <c r="I3" i="2"/>
  <c r="E27" i="2"/>
  <c r="E54" i="2"/>
  <c r="E53" i="2"/>
  <c r="E52" i="2"/>
  <c r="E51" i="2"/>
  <c r="I34" i="2"/>
  <c r="F32" i="2" l="1"/>
  <c r="L37" i="2"/>
  <c r="M20" i="2"/>
  <c r="L21" i="2"/>
  <c r="L38" i="2" s="1"/>
  <c r="L35" i="2"/>
  <c r="M18" i="2"/>
  <c r="G31" i="2"/>
  <c r="M19" i="2"/>
  <c r="L36" i="2"/>
  <c r="H30" i="2"/>
  <c r="I17" i="2" s="1"/>
  <c r="H22" i="2"/>
  <c r="H16" i="2"/>
  <c r="J34" i="2"/>
  <c r="F26" i="2" l="1"/>
  <c r="H31" i="2"/>
  <c r="M36" i="2"/>
  <c r="N19" i="2"/>
  <c r="M37" i="2"/>
  <c r="N20" i="2"/>
  <c r="K34" i="2"/>
  <c r="L15" i="2"/>
  <c r="I22" i="2"/>
  <c r="I30" i="2"/>
  <c r="J17" i="2" s="1"/>
  <c r="I16" i="2"/>
  <c r="M21" i="2"/>
  <c r="M38" i="2" s="1"/>
  <c r="M35" i="2"/>
  <c r="N18" i="2"/>
  <c r="F27" i="2" l="1"/>
  <c r="F40" i="2"/>
  <c r="G23" i="2" s="1"/>
  <c r="G24" i="2" s="1"/>
  <c r="J30" i="2"/>
  <c r="K17" i="2" s="1"/>
  <c r="J22" i="2"/>
  <c r="J16" i="2"/>
  <c r="O20" i="2"/>
  <c r="N37" i="2"/>
  <c r="O19" i="2"/>
  <c r="N36" i="2"/>
  <c r="N21" i="2"/>
  <c r="N38" i="2" s="1"/>
  <c r="N35" i="2"/>
  <c r="O18" i="2"/>
  <c r="I31" i="2"/>
  <c r="M15" i="2"/>
  <c r="L34" i="2"/>
  <c r="P18" i="2" l="1"/>
  <c r="O21" i="2"/>
  <c r="O38" i="2" s="1"/>
  <c r="O35" i="2"/>
  <c r="G25" i="2"/>
  <c r="G32" i="2" s="1"/>
  <c r="J31" i="2"/>
  <c r="N15" i="2"/>
  <c r="M34" i="2"/>
  <c r="P19" i="2"/>
  <c r="O36" i="2"/>
  <c r="P20" i="2"/>
  <c r="O37" i="2"/>
  <c r="K22" i="2"/>
  <c r="K30" i="2"/>
  <c r="L17" i="2" s="1"/>
  <c r="K16" i="2"/>
  <c r="G26" i="2" l="1"/>
  <c r="G27" i="2" s="1"/>
  <c r="Q19" i="2"/>
  <c r="Q36" i="2" s="1"/>
  <c r="P36" i="2"/>
  <c r="K31" i="2"/>
  <c r="P37" i="2"/>
  <c r="Q20" i="2"/>
  <c r="Q37" i="2" s="1"/>
  <c r="O15" i="2"/>
  <c r="N34" i="2"/>
  <c r="L22" i="2"/>
  <c r="L30" i="2"/>
  <c r="M17" i="2" s="1"/>
  <c r="L16" i="2"/>
  <c r="Q18" i="2"/>
  <c r="P21" i="2"/>
  <c r="P38" i="2" s="1"/>
  <c r="P35" i="2"/>
  <c r="G40" i="2" l="1"/>
  <c r="H23" i="2" s="1"/>
  <c r="H24" i="2" s="1"/>
  <c r="L31" i="2"/>
  <c r="M30" i="2"/>
  <c r="N17" i="2" s="1"/>
  <c r="M22" i="2"/>
  <c r="M16" i="2"/>
  <c r="P15" i="2"/>
  <c r="O34" i="2"/>
  <c r="Q35" i="2"/>
  <c r="Q21" i="2"/>
  <c r="Q38" i="2" s="1"/>
  <c r="H25" i="2" l="1"/>
  <c r="H32" i="2" s="1"/>
  <c r="P34" i="2"/>
  <c r="Q15" i="2"/>
  <c r="M31" i="2"/>
  <c r="N22" i="2"/>
  <c r="N30" i="2"/>
  <c r="O17" i="2" s="1"/>
  <c r="N16" i="2"/>
  <c r="H26" i="2" l="1"/>
  <c r="O30" i="2"/>
  <c r="P17" i="2" s="1"/>
  <c r="O22" i="2"/>
  <c r="O16" i="2"/>
  <c r="N31" i="2"/>
  <c r="Q34" i="2"/>
  <c r="H27" i="2" l="1"/>
  <c r="H40" i="2"/>
  <c r="I23" i="2" s="1"/>
  <c r="I24" i="2" s="1"/>
  <c r="O31" i="2"/>
  <c r="P22" i="2"/>
  <c r="P30" i="2"/>
  <c r="Q17" i="2" s="1"/>
  <c r="P16" i="2"/>
  <c r="I25" i="2" l="1"/>
  <c r="I32" i="2" s="1"/>
  <c r="Q30" i="2"/>
  <c r="Q22" i="2"/>
  <c r="Q16" i="2"/>
  <c r="P31" i="2"/>
  <c r="Q31" i="2" l="1"/>
  <c r="I26" i="2"/>
  <c r="I27" i="2" l="1"/>
  <c r="I40" i="2"/>
  <c r="J23" i="2" l="1"/>
  <c r="J24" i="2" s="1"/>
  <c r="J25" i="2" l="1"/>
  <c r="J32" i="2" s="1"/>
  <c r="J26" i="2" l="1"/>
  <c r="J27" i="2" s="1"/>
  <c r="J40" i="2" l="1"/>
  <c r="K23" i="2" s="1"/>
  <c r="K24" i="2" s="1"/>
  <c r="K25" i="2" l="1"/>
  <c r="K32" i="2" s="1"/>
  <c r="K26" i="2" l="1"/>
  <c r="K27" i="2"/>
  <c r="K40" i="2"/>
  <c r="L23" i="2" l="1"/>
  <c r="L24" i="2" s="1"/>
  <c r="L25" i="2" l="1"/>
  <c r="L32" i="2" s="1"/>
  <c r="L26" i="2" l="1"/>
  <c r="L27" i="2" s="1"/>
  <c r="L40" i="2" l="1"/>
  <c r="M23" i="2" s="1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27" i="2" s="1"/>
  <c r="N40" i="2"/>
  <c r="O23" i="2" l="1"/>
  <c r="O24" i="2" s="1"/>
  <c r="O25" i="2" l="1"/>
  <c r="O32" i="2" s="1"/>
  <c r="O26" i="2" l="1"/>
  <c r="O27" i="2" l="1"/>
  <c r="O40" i="2"/>
  <c r="P23" i="2" l="1"/>
  <c r="P24" i="2" s="1"/>
  <c r="P25" i="2" l="1"/>
  <c r="P32" i="2" s="1"/>
  <c r="P26" i="2" l="1"/>
  <c r="P27" i="2" s="1"/>
  <c r="P40" i="2"/>
  <c r="Q23" i="2" l="1"/>
  <c r="Q24" i="2" s="1"/>
  <c r="Q25" i="2" l="1"/>
  <c r="Q32" i="2" s="1"/>
  <c r="Q26" i="2" l="1"/>
  <c r="R26" i="2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F5" i="2" s="1"/>
  <c r="F6" i="2" s="1"/>
  <c r="Q27" i="2"/>
  <c r="Q40" i="2"/>
  <c r="F7" i="2" l="1"/>
  <c r="G7" i="2" l="1"/>
</calcChain>
</file>

<file path=xl/sharedStrings.xml><?xml version="1.0" encoding="utf-8"?>
<sst xmlns="http://schemas.openxmlformats.org/spreadsheetml/2006/main" count="150" uniqueCount="107">
  <si>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</si>
  <si>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</si>
  <si>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</si>
  <si>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</si>
  <si>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</si>
  <si>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</si>
  <si>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</si>
  <si>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</si>
  <si>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</si>
  <si>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</si>
  <si>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</si>
  <si>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</si>
  <si>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</si>
  <si>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</si>
  <si>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</si>
  <si>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</si>
  <si>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</si>
  <si>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</si>
  <si>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</si>
  <si>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</si>
  <si>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</si>
  <si>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</si>
  <si>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</si>
  <si>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</si>
  <si>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</si>
  <si>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</si>
  <si>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</si>
  <si>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</si>
  <si>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</si>
  <si>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</si>
  <si>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</si>
  <si>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</si>
  <si>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</si>
  <si>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</si>
  <si>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</si>
  <si>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</si>
  <si>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</si>
  <si>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</si>
  <si>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</si>
  <si>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</si>
  <si>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</si>
  <si>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</si>
  <si>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</si>
  <si>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</si>
  <si>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</si>
  <si>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</si>
  <si>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</si>
  <si>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</si>
  <si>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</si>
  <si>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</si>
  <si>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</si>
  <si>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</si>
  <si>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</si>
  <si>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</si>
  <si>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</si>
  <si>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</si>
  <si>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</si>
  <si>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</si>
  <si>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</si>
  <si>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</si>
  <si>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</si>
  <si>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</si>
  <si>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</si>
  <si>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</si>
  <si>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</si>
  <si>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</si>
  <si>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</si>
  <si>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</si>
  <si>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</si>
  <si>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NPV on net income (terminal value)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</si>
  <si>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</si>
  <si>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</si>
  <si>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</si>
  <si>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</si>
  <si>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</si>
  <si>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</si>
  <si>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</si>
  <si>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</si>
  <si>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</si>
  <si>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</si>
  <si>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</si>
  <si>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</si>
  <si>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</si>
  <si>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</si>
  <si>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</si>
  <si>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</si>
  <si>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Eventbrite Inc (EB)</t>
  </si>
  <si>
    <t>Julia Hartz</t>
  </si>
  <si>
    <t>Kevin Hartz</t>
  </si>
  <si>
    <t>Paid tickets</t>
  </si>
  <si>
    <t>Service fees</t>
  </si>
  <si>
    <t>Service fees y/y</t>
  </si>
  <si>
    <t>ARPU</t>
  </si>
  <si>
    <t>Paid tickets y/y</t>
  </si>
  <si>
    <t>ARPU y/y</t>
  </si>
  <si>
    <t>31/3/2019</t>
  </si>
  <si>
    <t>30/6/2019</t>
  </si>
  <si>
    <t>30/9/2019</t>
  </si>
  <si>
    <t>31/12/2019</t>
  </si>
  <si>
    <t>Earnings</t>
  </si>
  <si>
    <t>Growth</t>
  </si>
  <si>
    <t>GM</t>
  </si>
  <si>
    <t>OM</t>
  </si>
  <si>
    <t>75-79</t>
  </si>
  <si>
    <t>319-323</t>
  </si>
  <si>
    <t>30/12/2019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</si>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</sst>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0" fontId="6" fillId="0" borderId="1" xfId="0" applyFont="1" applyBorder="1"/>
    <xf numFmtId="4" fontId="6" fillId="2" borderId="0" xfId="0" applyNumberFormat="1" applyFont="1" applyFill="1" applyBorder="1"/>
    <xf numFmtId="166" fontId="6" fillId="0" borderId="0" xfId="0" applyNumberFormat="1" applyFont="1"/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/>
    <xf numFmtId="3" fontId="5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4" fontId="6" fillId="0" borderId="0" xfId="0" applyNumberFormat="1" applyFont="1"/>
    <xf numFmtId="0" fontId="7" fillId="0" borderId="1" xfId="0" applyFont="1" applyBorder="1" applyAlignment="1">
      <alignment horizontal="right"/>
    </xf>
    <xf numFmtId="0" fontId="5" fillId="0" borderId="1" xfId="0" applyFont="1" applyBorder="1"/>
    <xf numFmtId="3" fontId="6" fillId="0" borderId="1" xfId="0" applyNumberFormat="1" applyFont="1" applyBorder="1"/>
    <xf numFmtId="166" fontId="6" fillId="0" borderId="1" xfId="0" applyNumberFormat="1" applyFont="1" applyBorder="1"/>
    <xf numFmtId="3" fontId="5" fillId="0" borderId="1" xfId="0" applyNumberFormat="1" applyFont="1" applyBorder="1"/>
    <xf numFmtId="3" fontId="7" fillId="0" borderId="0" xfId="0" applyNumberFormat="1" applyFont="1" applyAlignment="1">
      <alignment horizontal="right"/>
    </xf>
    <xf numFmtId="9" fontId="7" fillId="0" borderId="0" xfId="1" applyFont="1" applyBorder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7</xdr:row>
      <xdr:rowOff>152400</xdr:rowOff>
    </xdr:from>
    <xdr:to>
      <xdr:col>6</xdr:col>
      <xdr:colOff>152400</xdr:colOff>
      <xdr:row>58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613400" y="1308100"/>
          <a:ext cx="0" cy="810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0</xdr:row>
      <xdr:rowOff>152400</xdr:rowOff>
    </xdr:from>
    <xdr:to>
      <xdr:col>20</xdr:col>
      <xdr:colOff>215900</xdr:colOff>
      <xdr:row>50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233900" y="152400"/>
          <a:ext cx="0" cy="8115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.eventbrite.com/overview/default.aspx" TargetMode="External"/><Relationship Id="rId2" Type="http://schemas.openxmlformats.org/officeDocument/2006/relationships/hyperlink" Target="https://en.wikipedia.org/wiki/Kevin_Hartz" TargetMode="External"/><Relationship Id="rId1" Type="http://schemas.openxmlformats.org/officeDocument/2006/relationships/hyperlink" Target="https://en.wikipedia.org/wiki/Julia_Hartz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ulia_Hart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EB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57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10" sqref="H10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122" x14ac:dyDescent="0.15">
      <c r="A1" s="1" t="s">
        <v>84</v>
      </c>
      <c r="B1" s="2" t="s">
        <v>86</v>
      </c>
    </row>
    <row r="2" spans="1:122" x14ac:dyDescent="0.15">
      <c r="B2" s="3" t="s">
        <v>64</v>
      </c>
      <c r="C2" s="4">
        <v>20.43</v>
      </c>
      <c r="D2" s="3" t="s">
        <v>105</v>
      </c>
      <c r="E2" s="6" t="s">
        <v>37</v>
      </c>
      <c r="F2" s="7">
        <v>-0.02</v>
      </c>
      <c r="H2" s="3" t="s">
        <v>4</v>
      </c>
      <c r="I2" s="16">
        <f>E15</f>
        <v>291.61099999999999</v>
      </c>
      <c r="L2" s="2"/>
    </row>
    <row r="3" spans="1:122" x14ac:dyDescent="0.15">
      <c r="A3" s="2" t="s">
        <v>62</v>
      </c>
      <c r="B3" s="3" t="s">
        <v>17</v>
      </c>
      <c r="C3" s="8">
        <f>F28</f>
        <v>83.063000000000002</v>
      </c>
      <c r="D3" s="3" t="s">
        <v>72</v>
      </c>
      <c r="E3" s="6" t="s">
        <v>38</v>
      </c>
      <c r="F3" s="7">
        <v>0.02</v>
      </c>
      <c r="G3" s="5" t="s">
        <v>85</v>
      </c>
      <c r="H3" s="3" t="s">
        <v>99</v>
      </c>
      <c r="I3" s="16">
        <f>E26</f>
        <v>-64.078000000000003</v>
      </c>
    </row>
    <row r="4" spans="1:122" x14ac:dyDescent="0.15">
      <c r="A4" s="9" t="s">
        <v>87</v>
      </c>
      <c r="B4" s="3" t="s">
        <v>65</v>
      </c>
      <c r="C4" s="10">
        <f>C2*C3</f>
        <v>1696.9770900000001</v>
      </c>
      <c r="E4" s="6" t="s">
        <v>39</v>
      </c>
      <c r="F4" s="7">
        <f>6%</f>
        <v>0.06</v>
      </c>
      <c r="G4" s="5" t="s">
        <v>68</v>
      </c>
      <c r="H4" s="3" t="s">
        <v>100</v>
      </c>
      <c r="I4" s="27">
        <f>E34</f>
        <v>0.44650466028760349</v>
      </c>
    </row>
    <row r="5" spans="1:122" x14ac:dyDescent="0.15">
      <c r="B5" s="3" t="s">
        <v>33</v>
      </c>
      <c r="C5" s="8">
        <f>Reports!T29</f>
        <v>485</v>
      </c>
      <c r="D5" s="3" t="s">
        <v>72</v>
      </c>
      <c r="E5" s="6" t="s">
        <v>40</v>
      </c>
      <c r="F5" s="11">
        <f>NPV(F4,G26:DR26)</f>
        <v>1445.5530699089161</v>
      </c>
      <c r="G5" s="5" t="s">
        <v>69</v>
      </c>
      <c r="H5" s="3" t="s">
        <v>101</v>
      </c>
      <c r="I5" s="27">
        <f>E30</f>
        <v>0.58625360497374923</v>
      </c>
    </row>
    <row r="6" spans="1:122" x14ac:dyDescent="0.15">
      <c r="A6" s="2" t="s">
        <v>63</v>
      </c>
      <c r="B6" s="3" t="s">
        <v>66</v>
      </c>
      <c r="C6" s="10">
        <f>C4-C5</f>
        <v>1211.9770900000001</v>
      </c>
      <c r="E6" s="12" t="s">
        <v>41</v>
      </c>
      <c r="F6" s="13">
        <f>F5+C5</f>
        <v>1930.5530699089161</v>
      </c>
      <c r="H6" s="3" t="s">
        <v>102</v>
      </c>
      <c r="I6" s="27">
        <f>E31</f>
        <v>-0.13262531248821208</v>
      </c>
    </row>
    <row r="7" spans="1:122" x14ac:dyDescent="0.15">
      <c r="A7" s="9" t="s">
        <v>87</v>
      </c>
      <c r="B7" s="5" t="s">
        <v>67</v>
      </c>
      <c r="C7" s="50">
        <f>C6/C3</f>
        <v>14.591058473688646</v>
      </c>
      <c r="E7" s="14" t="s">
        <v>67</v>
      </c>
      <c r="F7" s="48">
        <f>F6/C3</f>
        <v>23.242033997193889</v>
      </c>
      <c r="G7" s="27">
        <f>F7/C2-1</f>
        <v>0.13764238850679833</v>
      </c>
    </row>
    <row r="8" spans="1:122" x14ac:dyDescent="0.15">
      <c r="A8" s="9" t="s">
        <v>88</v>
      </c>
      <c r="E8" s="6"/>
      <c r="F8" s="15"/>
    </row>
    <row r="9" spans="1:122" x14ac:dyDescent="0.15">
      <c r="B9" s="3">
        <v>2015</v>
      </c>
      <c r="C9" s="3">
        <v>2016</v>
      </c>
      <c r="D9" s="3">
        <v>2017</v>
      </c>
      <c r="E9" s="3">
        <f>D9+1</f>
        <v>2018</v>
      </c>
      <c r="F9" s="3">
        <f t="shared" ref="F9:Q9" si="0">E9+1</f>
        <v>2019</v>
      </c>
      <c r="G9" s="3">
        <f t="shared" si="0"/>
        <v>2020</v>
      </c>
      <c r="H9" s="3">
        <f t="shared" si="0"/>
        <v>2021</v>
      </c>
      <c r="I9" s="3">
        <f>H9+1</f>
        <v>2022</v>
      </c>
      <c r="J9" s="3">
        <f t="shared" si="0"/>
        <v>2023</v>
      </c>
      <c r="K9" s="3">
        <f t="shared" si="0"/>
        <v>2024</v>
      </c>
      <c r="L9" s="3">
        <f t="shared" si="0"/>
        <v>2025</v>
      </c>
      <c r="M9" s="3">
        <f t="shared" si="0"/>
        <v>2026</v>
      </c>
      <c r="N9" s="3">
        <f t="shared" si="0"/>
        <v>2027</v>
      </c>
      <c r="O9" s="3">
        <f t="shared" si="0"/>
        <v>2028</v>
      </c>
      <c r="P9" s="3">
        <f t="shared" si="0"/>
        <v>2029</v>
      </c>
      <c r="Q9" s="3">
        <f t="shared" si="0"/>
        <v>2030</v>
      </c>
    </row>
    <row r="10" spans="1:122" x14ac:dyDescent="0.15">
      <c r="A10" s="3" t="s">
        <v>90</v>
      </c>
      <c r="B10" s="8"/>
      <c r="C10" s="8">
        <v>133.499</v>
      </c>
      <c r="D10" s="16">
        <f>SUM(Reports!J3:M3)</f>
        <v>201.59699999999998</v>
      </c>
      <c r="E10" s="16">
        <f>SUM(Reports!N3:Q3)</f>
        <v>291.61099999999999</v>
      </c>
      <c r="F10" s="16">
        <f>SUM(Reports!R3:U3)</f>
        <v>324.03674999999998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x14ac:dyDescent="0.15">
      <c r="B11" s="8"/>
      <c r="C11" s="8"/>
      <c r="D11" s="16"/>
      <c r="E11" s="16"/>
      <c r="F11" s="68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s="16" customFormat="1" x14ac:dyDescent="0.15">
      <c r="A12" s="16" t="s">
        <v>89</v>
      </c>
      <c r="B12" s="3"/>
      <c r="D12" s="16">
        <f>SUM(Reports!J48:M48)</f>
        <v>71.347999999999999</v>
      </c>
      <c r="E12" s="16">
        <f>SUM(Reports!N48:Q48)</f>
        <v>97.195999999999998</v>
      </c>
      <c r="F12" s="16">
        <v>110</v>
      </c>
      <c r="G12" s="16">
        <f>F12*1.1</f>
        <v>121.00000000000001</v>
      </c>
      <c r="H12" s="16">
        <f t="shared" ref="H12:K12" si="1">G12*1.1</f>
        <v>133.10000000000002</v>
      </c>
      <c r="I12" s="16">
        <f t="shared" si="1"/>
        <v>146.41000000000003</v>
      </c>
      <c r="J12" s="16">
        <f t="shared" si="1"/>
        <v>161.05100000000004</v>
      </c>
      <c r="K12" s="16">
        <f t="shared" si="1"/>
        <v>177.15610000000007</v>
      </c>
    </row>
    <row r="13" spans="1:122" s="62" customFormat="1" x14ac:dyDescent="0.15">
      <c r="A13" s="62" t="s">
        <v>92</v>
      </c>
      <c r="D13" s="48">
        <f>D10/D12</f>
        <v>2.8255452150025224</v>
      </c>
      <c r="E13" s="48">
        <f>E10/E12</f>
        <v>3.0002366352524796</v>
      </c>
      <c r="F13" s="48">
        <f>F10/F12</f>
        <v>2.9457886363636363</v>
      </c>
      <c r="G13" s="62">
        <f>F13*1.05</f>
        <v>3.0930780681818182</v>
      </c>
      <c r="H13" s="62">
        <f t="shared" ref="H13:K13" si="2">G13*1.05</f>
        <v>3.2477319715909094</v>
      </c>
      <c r="I13" s="62">
        <f t="shared" si="2"/>
        <v>3.4101185701704551</v>
      </c>
      <c r="J13" s="62">
        <f t="shared" si="2"/>
        <v>3.5806244986789779</v>
      </c>
      <c r="K13" s="62">
        <f t="shared" si="2"/>
        <v>3.7596557236129269</v>
      </c>
    </row>
    <row r="14" spans="1:122" x14ac:dyDescent="0.15">
      <c r="F14" s="68" t="s">
        <v>104</v>
      </c>
      <c r="G14" s="16"/>
      <c r="H14" s="16"/>
      <c r="I14" s="16"/>
    </row>
    <row r="15" spans="1:122" x14ac:dyDescent="0.15">
      <c r="A15" s="2" t="s">
        <v>4</v>
      </c>
      <c r="C15" s="17">
        <f>SUM(C10:C10)</f>
        <v>133.499</v>
      </c>
      <c r="D15" s="17">
        <f>D12*D13</f>
        <v>201.59699999999998</v>
      </c>
      <c r="E15" s="17">
        <f>E12*E13</f>
        <v>291.61099999999999</v>
      </c>
      <c r="F15" s="17">
        <f>F12*F13</f>
        <v>324.03674999999998</v>
      </c>
      <c r="G15" s="18">
        <f>G12*G13</f>
        <v>374.26244625000004</v>
      </c>
      <c r="H15" s="18">
        <f>H12*H13</f>
        <v>432.27312541875011</v>
      </c>
      <c r="I15" s="18">
        <f t="shared" ref="I15" si="3">I12*I13</f>
        <v>499.2754598586564</v>
      </c>
      <c r="J15" s="18">
        <f>J12*J13</f>
        <v>576.66315613674828</v>
      </c>
      <c r="K15" s="18">
        <f>K12*K13</f>
        <v>666.04594533794432</v>
      </c>
      <c r="L15" s="18">
        <f t="shared" ref="L15:Q15" si="4">K15*1.1</f>
        <v>732.65053987173883</v>
      </c>
      <c r="M15" s="18">
        <f t="shared" si="4"/>
        <v>805.91559385891276</v>
      </c>
      <c r="N15" s="18">
        <f t="shared" si="4"/>
        <v>886.50715324480416</v>
      </c>
      <c r="O15" s="18">
        <f t="shared" si="4"/>
        <v>975.15786856928469</v>
      </c>
      <c r="P15" s="18">
        <f t="shared" si="4"/>
        <v>1072.6736554262131</v>
      </c>
      <c r="Q15" s="18">
        <f t="shared" si="4"/>
        <v>1179.9410209688347</v>
      </c>
      <c r="R15" s="18"/>
      <c r="S15" s="18"/>
      <c r="T15" s="18"/>
      <c r="U15" s="18"/>
      <c r="V15" s="18"/>
    </row>
    <row r="16" spans="1:122" x14ac:dyDescent="0.15">
      <c r="A16" s="3" t="s">
        <v>5</v>
      </c>
      <c r="C16" s="8">
        <v>55.689</v>
      </c>
      <c r="D16" s="16">
        <v>81.667000000000002</v>
      </c>
      <c r="E16" s="16">
        <f>SUM(Reports!N6:Q6)</f>
        <v>120.65300000000001</v>
      </c>
      <c r="F16" s="16">
        <f>SUM(Reports!R6:U6)</f>
        <v>127.07371646341464</v>
      </c>
      <c r="G16" s="8">
        <f t="shared" ref="G16:H16" si="5">G15-G17</f>
        <v>146.77014251524395</v>
      </c>
      <c r="H16" s="8">
        <f t="shared" si="5"/>
        <v>169.51951460510679</v>
      </c>
      <c r="I16" s="8">
        <f t="shared" ref="I16:Q16" si="6">I15-I17</f>
        <v>195.79503936889836</v>
      </c>
      <c r="J16" s="8">
        <f t="shared" si="6"/>
        <v>226.14327047107764</v>
      </c>
      <c r="K16" s="8">
        <f t="shared" si="6"/>
        <v>261.19547739409467</v>
      </c>
      <c r="L16" s="8">
        <f t="shared" si="6"/>
        <v>287.31502513350415</v>
      </c>
      <c r="M16" s="8">
        <f t="shared" si="6"/>
        <v>316.0465276468546</v>
      </c>
      <c r="N16" s="8">
        <f t="shared" si="6"/>
        <v>347.65118041154017</v>
      </c>
      <c r="O16" s="8">
        <f t="shared" si="6"/>
        <v>382.41629845269415</v>
      </c>
      <c r="P16" s="8">
        <f t="shared" si="6"/>
        <v>420.65792829796362</v>
      </c>
      <c r="Q16" s="8">
        <f t="shared" si="6"/>
        <v>462.72372112776009</v>
      </c>
      <c r="R16" s="8"/>
      <c r="S16" s="8"/>
      <c r="T16" s="8"/>
      <c r="U16" s="8"/>
      <c r="V16" s="8"/>
    </row>
    <row r="17" spans="1:122" x14ac:dyDescent="0.15">
      <c r="A17" s="3" t="s">
        <v>6</v>
      </c>
      <c r="C17" s="10">
        <f>C15-C16</f>
        <v>77.81</v>
      </c>
      <c r="D17" s="10">
        <f>D15-D16</f>
        <v>119.92999999999998</v>
      </c>
      <c r="E17" s="10">
        <f>E15-E16</f>
        <v>170.95799999999997</v>
      </c>
      <c r="F17" s="10">
        <f>F15-F16</f>
        <v>196.96303353658533</v>
      </c>
      <c r="G17" s="8">
        <f t="shared" ref="G17:Q17" si="7">G15*F30</f>
        <v>227.49230373475609</v>
      </c>
      <c r="H17" s="8">
        <f t="shared" si="7"/>
        <v>262.75361081364332</v>
      </c>
      <c r="I17" s="8">
        <f t="shared" si="7"/>
        <v>303.48042048975805</v>
      </c>
      <c r="J17" s="8">
        <f t="shared" si="7"/>
        <v>350.51988566567064</v>
      </c>
      <c r="K17" s="8">
        <f t="shared" si="7"/>
        <v>404.85046794384965</v>
      </c>
      <c r="L17" s="8">
        <f t="shared" si="7"/>
        <v>445.33551473823468</v>
      </c>
      <c r="M17" s="8">
        <f t="shared" si="7"/>
        <v>489.86906621205816</v>
      </c>
      <c r="N17" s="8">
        <f t="shared" si="7"/>
        <v>538.85597283326399</v>
      </c>
      <c r="O17" s="8">
        <f t="shared" si="7"/>
        <v>592.74157011659054</v>
      </c>
      <c r="P17" s="8">
        <f t="shared" si="7"/>
        <v>652.01572712824952</v>
      </c>
      <c r="Q17" s="8">
        <f t="shared" si="7"/>
        <v>717.21729984107458</v>
      </c>
      <c r="R17" s="8"/>
      <c r="S17" s="8"/>
      <c r="T17" s="8"/>
      <c r="U17" s="8"/>
      <c r="V17" s="8"/>
    </row>
    <row r="18" spans="1:122" x14ac:dyDescent="0.15">
      <c r="A18" s="3" t="s">
        <v>7</v>
      </c>
      <c r="C18" s="8">
        <v>22.722999999999999</v>
      </c>
      <c r="D18" s="16">
        <v>30.608000000000001</v>
      </c>
      <c r="E18" s="16">
        <f>SUM(Reports!N8:Q8)</f>
        <v>46.070999999999998</v>
      </c>
      <c r="F18" s="16">
        <f>SUM(Reports!R8:U8)</f>
        <v>62.263999999999996</v>
      </c>
      <c r="G18" s="8">
        <f>F18*1.15</f>
        <v>71.603599999999986</v>
      </c>
      <c r="H18" s="8">
        <f t="shared" ref="H18:K18" si="8">G18*1.15</f>
        <v>82.344139999999982</v>
      </c>
      <c r="I18" s="8">
        <f t="shared" si="8"/>
        <v>94.695760999999976</v>
      </c>
      <c r="J18" s="8">
        <f t="shared" si="8"/>
        <v>108.90012514999997</v>
      </c>
      <c r="K18" s="8">
        <f t="shared" si="8"/>
        <v>125.23514392249994</v>
      </c>
      <c r="L18" s="8">
        <f t="shared" ref="K18:Q18" si="9">K18*1.05</f>
        <v>131.49690111862495</v>
      </c>
      <c r="M18" s="8">
        <f t="shared" si="9"/>
        <v>138.07174617455621</v>
      </c>
      <c r="N18" s="8">
        <f t="shared" si="9"/>
        <v>144.97533348328403</v>
      </c>
      <c r="O18" s="8">
        <f t="shared" si="9"/>
        <v>152.22410015744825</v>
      </c>
      <c r="P18" s="8">
        <f t="shared" si="9"/>
        <v>159.83530516532068</v>
      </c>
      <c r="Q18" s="8">
        <f t="shared" si="9"/>
        <v>167.82707042358672</v>
      </c>
      <c r="R18" s="8"/>
      <c r="S18" s="8"/>
      <c r="T18" s="8"/>
      <c r="U18" s="8"/>
      <c r="V18" s="8"/>
    </row>
    <row r="19" spans="1:122" x14ac:dyDescent="0.15">
      <c r="A19" s="3" t="s">
        <v>8</v>
      </c>
      <c r="C19" s="8">
        <v>48.390999999999998</v>
      </c>
      <c r="D19" s="16">
        <v>55.17</v>
      </c>
      <c r="E19" s="16">
        <f>SUM(Reports!N9:Q9)</f>
        <v>69.78</v>
      </c>
      <c r="F19" s="16">
        <f>SUM(Reports!R9:U9)</f>
        <v>105.17</v>
      </c>
      <c r="G19" s="8">
        <f>F19*1.15</f>
        <v>120.9455</v>
      </c>
      <c r="H19" s="8">
        <f t="shared" ref="H19:K19" si="10">G19*1.15</f>
        <v>139.08732499999999</v>
      </c>
      <c r="I19" s="8">
        <f t="shared" si="10"/>
        <v>159.95042374999997</v>
      </c>
      <c r="J19" s="8">
        <f t="shared" si="10"/>
        <v>183.94298731249995</v>
      </c>
      <c r="K19" s="8">
        <f t="shared" si="10"/>
        <v>211.53443540937494</v>
      </c>
      <c r="L19" s="8">
        <f t="shared" ref="L19:Q19" si="11">K19*1.02</f>
        <v>215.76512411756244</v>
      </c>
      <c r="M19" s="8">
        <f t="shared" si="11"/>
        <v>220.08042659991369</v>
      </c>
      <c r="N19" s="8">
        <f t="shared" si="11"/>
        <v>224.48203513191197</v>
      </c>
      <c r="O19" s="8">
        <f t="shared" si="11"/>
        <v>228.97167583455021</v>
      </c>
      <c r="P19" s="8">
        <f t="shared" si="11"/>
        <v>233.55110935124122</v>
      </c>
      <c r="Q19" s="8">
        <f t="shared" si="11"/>
        <v>238.22213153826604</v>
      </c>
      <c r="R19" s="8"/>
      <c r="S19" s="8"/>
      <c r="T19" s="8"/>
      <c r="U19" s="8"/>
      <c r="V19" s="8"/>
    </row>
    <row r="20" spans="1:122" x14ac:dyDescent="0.15">
      <c r="A20" s="3" t="s">
        <v>9</v>
      </c>
      <c r="C20" s="8">
        <v>41.749000000000002</v>
      </c>
      <c r="D20" s="16">
        <v>67.558999999999997</v>
      </c>
      <c r="E20" s="16">
        <f>SUM(Reports!N10:Q10)</f>
        <v>93.781999999999996</v>
      </c>
      <c r="F20" s="16">
        <f>SUM(Reports!R10:U10)</f>
        <v>104.51900000000001</v>
      </c>
      <c r="G20" s="8">
        <f>F20*0.98</f>
        <v>102.42862000000001</v>
      </c>
      <c r="H20" s="8">
        <f t="shared" ref="H20:K20" si="12">G20*0.98</f>
        <v>100.38004760000001</v>
      </c>
      <c r="I20" s="8">
        <f t="shared" si="12"/>
        <v>98.372446648000007</v>
      </c>
      <c r="J20" s="8">
        <f t="shared" si="12"/>
        <v>96.404997715040011</v>
      </c>
      <c r="K20" s="8">
        <f t="shared" si="12"/>
        <v>94.476897760739206</v>
      </c>
      <c r="L20" s="8">
        <f t="shared" ref="L20:Q20" si="13">K20*0.98</f>
        <v>92.587359805524414</v>
      </c>
      <c r="M20" s="8">
        <f t="shared" si="13"/>
        <v>90.73561260941392</v>
      </c>
      <c r="N20" s="8">
        <f t="shared" si="13"/>
        <v>88.920900357225634</v>
      </c>
      <c r="O20" s="8">
        <f t="shared" si="13"/>
        <v>87.142482350081124</v>
      </c>
      <c r="P20" s="8">
        <f t="shared" si="13"/>
        <v>85.399632703079504</v>
      </c>
      <c r="Q20" s="8">
        <f t="shared" si="13"/>
        <v>83.691640049017906</v>
      </c>
      <c r="R20" s="8"/>
      <c r="S20" s="8"/>
      <c r="T20" s="8"/>
      <c r="U20" s="8"/>
      <c r="V20" s="8"/>
    </row>
    <row r="21" spans="1:122" x14ac:dyDescent="0.15">
      <c r="A21" s="3" t="s">
        <v>10</v>
      </c>
      <c r="C21" s="10">
        <f>SUM(C18:C20)</f>
        <v>112.863</v>
      </c>
      <c r="D21" s="10">
        <f>SUM(D18:D20)</f>
        <v>153.33699999999999</v>
      </c>
      <c r="E21" s="10">
        <f>SUM(E18:E20)</f>
        <v>209.63299999999998</v>
      </c>
      <c r="F21" s="10">
        <f>SUM(F18:F20)</f>
        <v>271.95299999999997</v>
      </c>
      <c r="G21" s="8">
        <f t="shared" ref="G21:H21" si="14">SUM(G18:G20)</f>
        <v>294.97771999999998</v>
      </c>
      <c r="H21" s="8">
        <f t="shared" si="14"/>
        <v>321.81151260000001</v>
      </c>
      <c r="I21" s="8">
        <f t="shared" ref="I21:Q21" si="15">SUM(I18:I20)</f>
        <v>353.01863139799997</v>
      </c>
      <c r="J21" s="8">
        <f t="shared" si="15"/>
        <v>389.2481101775399</v>
      </c>
      <c r="K21" s="8">
        <f t="shared" si="15"/>
        <v>431.2464770926141</v>
      </c>
      <c r="L21" s="8">
        <f t="shared" si="15"/>
        <v>439.8493850417118</v>
      </c>
      <c r="M21" s="8">
        <f t="shared" si="15"/>
        <v>448.88778538388385</v>
      </c>
      <c r="N21" s="8">
        <f t="shared" si="15"/>
        <v>458.37826897242167</v>
      </c>
      <c r="O21" s="8">
        <f t="shared" si="15"/>
        <v>468.3382583420796</v>
      </c>
      <c r="P21" s="8">
        <f t="shared" si="15"/>
        <v>478.78604721964143</v>
      </c>
      <c r="Q21" s="8">
        <f t="shared" si="15"/>
        <v>489.74084201087067</v>
      </c>
      <c r="R21" s="8"/>
      <c r="S21" s="8"/>
      <c r="T21" s="8"/>
      <c r="U21" s="8"/>
      <c r="V21" s="8"/>
    </row>
    <row r="22" spans="1:122" x14ac:dyDescent="0.15">
      <c r="A22" s="3" t="s">
        <v>11</v>
      </c>
      <c r="C22" s="10">
        <f>C17-C21</f>
        <v>-35.052999999999997</v>
      </c>
      <c r="D22" s="10">
        <f>D17-D21</f>
        <v>-33.407000000000011</v>
      </c>
      <c r="E22" s="10">
        <f>E17-E21</f>
        <v>-38.675000000000011</v>
      </c>
      <c r="F22" s="10">
        <f>F17-F21</f>
        <v>-74.989966463414646</v>
      </c>
      <c r="G22" s="8">
        <f t="shared" ref="G22:H22" si="16">G17-G21</f>
        <v>-67.485416265243884</v>
      </c>
      <c r="H22" s="8">
        <f t="shared" si="16"/>
        <v>-59.057901786356695</v>
      </c>
      <c r="I22" s="8">
        <f t="shared" ref="I22:Q22" si="17">I17-I21</f>
        <v>-49.538210908241922</v>
      </c>
      <c r="J22" s="8">
        <f t="shared" si="17"/>
        <v>-38.728224511869257</v>
      </c>
      <c r="K22" s="8">
        <f t="shared" si="17"/>
        <v>-26.396009148764449</v>
      </c>
      <c r="L22" s="8">
        <f t="shared" si="17"/>
        <v>5.4861296965228803</v>
      </c>
      <c r="M22" s="8">
        <f t="shared" si="17"/>
        <v>40.981280828174306</v>
      </c>
      <c r="N22" s="8">
        <f t="shared" si="17"/>
        <v>80.477703860842325</v>
      </c>
      <c r="O22" s="8">
        <f t="shared" si="17"/>
        <v>124.40331177451094</v>
      </c>
      <c r="P22" s="8">
        <f t="shared" si="17"/>
        <v>173.22967990860809</v>
      </c>
      <c r="Q22" s="8">
        <f t="shared" si="17"/>
        <v>227.47645783020391</v>
      </c>
      <c r="R22" s="8"/>
      <c r="S22" s="8"/>
      <c r="T22" s="8"/>
      <c r="U22" s="8"/>
      <c r="V22" s="8"/>
    </row>
    <row r="23" spans="1:122" x14ac:dyDescent="0.15">
      <c r="A23" s="3" t="s">
        <v>12</v>
      </c>
      <c r="C23" s="8">
        <f>-3.513-1.695</f>
        <v>-5.2080000000000002</v>
      </c>
      <c r="D23" s="16">
        <f>-6.462-2.2+3.509</f>
        <v>-5.1529999999999987</v>
      </c>
      <c r="E23" s="16">
        <f>SUM(Reports!N13:Q13)</f>
        <v>-24.252999999999993</v>
      </c>
      <c r="F23" s="16">
        <f>SUM(Reports!R13:U13)</f>
        <v>-9.7530000000000001</v>
      </c>
      <c r="G23" s="8">
        <f t="shared" ref="G23:Q23" si="18">F40*$F$3</f>
        <v>6.8266406707317069</v>
      </c>
      <c r="H23" s="8">
        <f t="shared" si="18"/>
        <v>5.6134651588414632</v>
      </c>
      <c r="I23" s="8">
        <f t="shared" si="18"/>
        <v>4.544576426291159</v>
      </c>
      <c r="J23" s="8">
        <f t="shared" si="18"/>
        <v>3.6447037366521431</v>
      </c>
      <c r="K23" s="8">
        <f t="shared" si="18"/>
        <v>2.9430333211478006</v>
      </c>
      <c r="L23" s="8">
        <f t="shared" si="18"/>
        <v>2.4739738045954676</v>
      </c>
      <c r="M23" s="8">
        <f t="shared" si="18"/>
        <v>2.6092955641144795</v>
      </c>
      <c r="N23" s="8">
        <f t="shared" si="18"/>
        <v>3.3503353627833889</v>
      </c>
      <c r="O23" s="8">
        <f t="shared" si="18"/>
        <v>4.7754120295850262</v>
      </c>
      <c r="P23" s="8">
        <f t="shared" si="18"/>
        <v>6.9714503342546577</v>
      </c>
      <c r="Q23" s="8">
        <f t="shared" si="18"/>
        <v>10.034869548383325</v>
      </c>
      <c r="R23" s="8"/>
      <c r="S23" s="8"/>
      <c r="T23" s="8"/>
      <c r="U23" s="8"/>
      <c r="V23" s="8"/>
    </row>
    <row r="24" spans="1:122" x14ac:dyDescent="0.15">
      <c r="A24" s="3" t="s">
        <v>13</v>
      </c>
      <c r="C24" s="10">
        <f>C22+C23</f>
        <v>-40.260999999999996</v>
      </c>
      <c r="D24" s="10">
        <f>D22+D23</f>
        <v>-38.560000000000009</v>
      </c>
      <c r="E24" s="10">
        <f>E22+E23</f>
        <v>-62.928000000000004</v>
      </c>
      <c r="F24" s="10">
        <f>F22+F23</f>
        <v>-84.742966463414646</v>
      </c>
      <c r="G24" s="8">
        <f t="shared" ref="G24:H24" si="19">G22+G23</f>
        <v>-60.658775594512178</v>
      </c>
      <c r="H24" s="8">
        <f t="shared" si="19"/>
        <v>-53.44443662751523</v>
      </c>
      <c r="I24" s="8">
        <f t="shared" ref="I24" si="20">I22+I23</f>
        <v>-44.993634481950764</v>
      </c>
      <c r="J24" s="8">
        <f t="shared" ref="J24" si="21">J22+J23</f>
        <v>-35.083520775217117</v>
      </c>
      <c r="K24" s="8">
        <f t="shared" ref="K24" si="22">K22+K23</f>
        <v>-23.452975827616648</v>
      </c>
      <c r="L24" s="8">
        <f t="shared" ref="L24" si="23">L22+L23</f>
        <v>7.9601035011183479</v>
      </c>
      <c r="M24" s="8">
        <f t="shared" ref="M24" si="24">M22+M23</f>
        <v>43.590576392288789</v>
      </c>
      <c r="N24" s="8">
        <f t="shared" ref="N24" si="25">N22+N23</f>
        <v>83.828039223625709</v>
      </c>
      <c r="O24" s="8">
        <f t="shared" ref="O24" si="26">O22+O23</f>
        <v>129.17872380409597</v>
      </c>
      <c r="P24" s="8">
        <f t="shared" ref="P24" si="27">P22+P23</f>
        <v>180.20113024286275</v>
      </c>
      <c r="Q24" s="8">
        <f t="shared" ref="Q24" si="28">Q22+Q23</f>
        <v>237.51132737858723</v>
      </c>
      <c r="R24" s="8"/>
      <c r="S24" s="8"/>
      <c r="T24" s="8"/>
      <c r="U24" s="8"/>
      <c r="V24" s="8"/>
    </row>
    <row r="25" spans="1:122" x14ac:dyDescent="0.15">
      <c r="A25" s="3" t="s">
        <v>14</v>
      </c>
      <c r="C25" s="8">
        <v>0.13100000000000001</v>
      </c>
      <c r="D25" s="16">
        <v>-1.2999999999999999E-2</v>
      </c>
      <c r="E25" s="16">
        <f>SUM(Reports!N15:Q15)</f>
        <v>1.1500000000000001</v>
      </c>
      <c r="F25" s="16">
        <f>SUM(Reports!R15:U15)</f>
        <v>-0.70000000000000007</v>
      </c>
      <c r="G25" s="8">
        <f t="shared" ref="G25:K25" si="29">G24*0</f>
        <v>0</v>
      </c>
      <c r="H25" s="8">
        <f t="shared" si="29"/>
        <v>0</v>
      </c>
      <c r="I25" s="8">
        <f t="shared" si="29"/>
        <v>0</v>
      </c>
      <c r="J25" s="8">
        <f t="shared" si="29"/>
        <v>0</v>
      </c>
      <c r="K25" s="8">
        <f t="shared" si="29"/>
        <v>0</v>
      </c>
      <c r="L25" s="8">
        <f t="shared" ref="L25:Q25" si="30">L24*0.15</f>
        <v>1.1940155251677522</v>
      </c>
      <c r="M25" s="8">
        <f t="shared" si="30"/>
        <v>6.5385864588433185</v>
      </c>
      <c r="N25" s="8">
        <f t="shared" si="30"/>
        <v>12.574205883543856</v>
      </c>
      <c r="O25" s="8">
        <f t="shared" si="30"/>
        <v>19.376808570614394</v>
      </c>
      <c r="P25" s="8">
        <f t="shared" si="30"/>
        <v>27.030169536429412</v>
      </c>
      <c r="Q25" s="8">
        <f t="shared" si="30"/>
        <v>35.626699106788081</v>
      </c>
      <c r="R25" s="8"/>
      <c r="S25" s="8"/>
      <c r="T25" s="8"/>
      <c r="U25" s="8"/>
      <c r="V25" s="8"/>
    </row>
    <row r="26" spans="1:122" s="2" customFormat="1" x14ac:dyDescent="0.15">
      <c r="A26" s="2" t="s">
        <v>15</v>
      </c>
      <c r="B26" s="3"/>
      <c r="C26" s="17">
        <f>C24-C25</f>
        <v>-40.391999999999996</v>
      </c>
      <c r="D26" s="17">
        <f>D24-D25</f>
        <v>-38.547000000000011</v>
      </c>
      <c r="E26" s="17">
        <f>E24-E25</f>
        <v>-64.078000000000003</v>
      </c>
      <c r="F26" s="17">
        <f t="shared" ref="F26:H26" si="31">F24-F25</f>
        <v>-84.042966463414643</v>
      </c>
      <c r="G26" s="17">
        <f>G24-G25</f>
        <v>-60.658775594512178</v>
      </c>
      <c r="H26" s="17">
        <f t="shared" si="31"/>
        <v>-53.44443662751523</v>
      </c>
      <c r="I26" s="17">
        <f t="shared" ref="I26:Q26" si="32">I24-I25</f>
        <v>-44.993634481950764</v>
      </c>
      <c r="J26" s="17">
        <f t="shared" si="32"/>
        <v>-35.083520775217117</v>
      </c>
      <c r="K26" s="17">
        <f t="shared" si="32"/>
        <v>-23.452975827616648</v>
      </c>
      <c r="L26" s="17">
        <f t="shared" si="32"/>
        <v>6.7660879759505956</v>
      </c>
      <c r="M26" s="17">
        <f t="shared" si="32"/>
        <v>37.051989933445469</v>
      </c>
      <c r="N26" s="17">
        <f t="shared" si="32"/>
        <v>71.253833340081854</v>
      </c>
      <c r="O26" s="17">
        <f t="shared" si="32"/>
        <v>109.80191523348157</v>
      </c>
      <c r="P26" s="17">
        <f t="shared" si="32"/>
        <v>153.17096070643333</v>
      </c>
      <c r="Q26" s="17">
        <f t="shared" si="32"/>
        <v>201.88462827179916</v>
      </c>
      <c r="R26" s="17">
        <f>Q26*($F$2+1)</f>
        <v>197.84693570636318</v>
      </c>
      <c r="S26" s="17">
        <f t="shared" ref="S26:CD26" si="33">R26*($F$2+1)</f>
        <v>193.88999699223592</v>
      </c>
      <c r="T26" s="17">
        <f t="shared" si="33"/>
        <v>190.0121970523912</v>
      </c>
      <c r="U26" s="17">
        <f t="shared" si="33"/>
        <v>186.21195311134338</v>
      </c>
      <c r="V26" s="17">
        <f t="shared" si="33"/>
        <v>182.48771404911651</v>
      </c>
      <c r="W26" s="17">
        <f t="shared" si="33"/>
        <v>178.83795976813417</v>
      </c>
      <c r="X26" s="17">
        <f t="shared" si="33"/>
        <v>175.26120057277149</v>
      </c>
      <c r="Y26" s="17">
        <f t="shared" si="33"/>
        <v>171.75597656131606</v>
      </c>
      <c r="Z26" s="17">
        <f t="shared" si="33"/>
        <v>168.32085703008974</v>
      </c>
      <c r="AA26" s="17">
        <f t="shared" si="33"/>
        <v>164.95443988948793</v>
      </c>
      <c r="AB26" s="17">
        <f t="shared" si="33"/>
        <v>161.65535109169818</v>
      </c>
      <c r="AC26" s="17">
        <f t="shared" si="33"/>
        <v>158.42224406986421</v>
      </c>
      <c r="AD26" s="17">
        <f t="shared" si="33"/>
        <v>155.25379918846693</v>
      </c>
      <c r="AE26" s="17">
        <f t="shared" si="33"/>
        <v>152.14872320469757</v>
      </c>
      <c r="AF26" s="17">
        <f t="shared" si="33"/>
        <v>149.10574874060362</v>
      </c>
      <c r="AG26" s="17">
        <f t="shared" si="33"/>
        <v>146.12363376579154</v>
      </c>
      <c r="AH26" s="17">
        <f t="shared" si="33"/>
        <v>143.20116109047569</v>
      </c>
      <c r="AI26" s="17">
        <f t="shared" si="33"/>
        <v>140.33713786866619</v>
      </c>
      <c r="AJ26" s="17">
        <f t="shared" si="33"/>
        <v>137.53039511129288</v>
      </c>
      <c r="AK26" s="17">
        <f t="shared" si="33"/>
        <v>134.77978720906702</v>
      </c>
      <c r="AL26" s="17">
        <f t="shared" si="33"/>
        <v>132.08419146488569</v>
      </c>
      <c r="AM26" s="17">
        <f t="shared" si="33"/>
        <v>129.44250763558799</v>
      </c>
      <c r="AN26" s="17">
        <f t="shared" si="33"/>
        <v>126.85365748287623</v>
      </c>
      <c r="AO26" s="17">
        <f t="shared" si="33"/>
        <v>124.3165843332187</v>
      </c>
      <c r="AP26" s="17">
        <f t="shared" si="33"/>
        <v>121.83025264655433</v>
      </c>
      <c r="AQ26" s="17">
        <f t="shared" si="33"/>
        <v>119.39364759362324</v>
      </c>
      <c r="AR26" s="17">
        <f t="shared" si="33"/>
        <v>117.00577464175078</v>
      </c>
      <c r="AS26" s="17">
        <f t="shared" si="33"/>
        <v>114.66565914891576</v>
      </c>
      <c r="AT26" s="17">
        <f t="shared" si="33"/>
        <v>112.37234596593744</v>
      </c>
      <c r="AU26" s="17">
        <f t="shared" si="33"/>
        <v>110.12489904661869</v>
      </c>
      <c r="AV26" s="17">
        <f t="shared" si="33"/>
        <v>107.92240106568632</v>
      </c>
      <c r="AW26" s="17">
        <f t="shared" si="33"/>
        <v>105.76395304437258</v>
      </c>
      <c r="AX26" s="17">
        <f t="shared" si="33"/>
        <v>103.64867398348512</v>
      </c>
      <c r="AY26" s="17">
        <f t="shared" si="33"/>
        <v>101.57570050381543</v>
      </c>
      <c r="AZ26" s="17">
        <f t="shared" si="33"/>
        <v>99.544186493739119</v>
      </c>
      <c r="BA26" s="17">
        <f t="shared" si="33"/>
        <v>97.553302763864338</v>
      </c>
      <c r="BB26" s="17">
        <f t="shared" si="33"/>
        <v>95.602236708587043</v>
      </c>
      <c r="BC26" s="17">
        <f t="shared" si="33"/>
        <v>93.690191974415299</v>
      </c>
      <c r="BD26" s="17">
        <f t="shared" si="33"/>
        <v>91.816388134926996</v>
      </c>
      <c r="BE26" s="17">
        <f t="shared" si="33"/>
        <v>89.980060372228451</v>
      </c>
      <c r="BF26" s="17">
        <f t="shared" si="33"/>
        <v>88.180459164783883</v>
      </c>
      <c r="BG26" s="17">
        <f t="shared" si="33"/>
        <v>86.416849981488198</v>
      </c>
      <c r="BH26" s="17">
        <f t="shared" si="33"/>
        <v>84.688512981858437</v>
      </c>
      <c r="BI26" s="17">
        <f t="shared" si="33"/>
        <v>82.994742722221261</v>
      </c>
      <c r="BJ26" s="17">
        <f t="shared" si="33"/>
        <v>81.33484786777683</v>
      </c>
      <c r="BK26" s="17">
        <f t="shared" si="33"/>
        <v>79.708150910421296</v>
      </c>
      <c r="BL26" s="17">
        <f t="shared" si="33"/>
        <v>78.113987892212862</v>
      </c>
      <c r="BM26" s="17">
        <f t="shared" si="33"/>
        <v>76.55170813436861</v>
      </c>
      <c r="BN26" s="17">
        <f t="shared" si="33"/>
        <v>75.020673971681234</v>
      </c>
      <c r="BO26" s="17">
        <f t="shared" si="33"/>
        <v>73.520260492247601</v>
      </c>
      <c r="BP26" s="17">
        <f t="shared" si="33"/>
        <v>72.049855282402646</v>
      </c>
      <c r="BQ26" s="17">
        <f t="shared" si="33"/>
        <v>70.608858176754595</v>
      </c>
      <c r="BR26" s="17">
        <f t="shared" si="33"/>
        <v>69.196681013219504</v>
      </c>
      <c r="BS26" s="17">
        <f t="shared" si="33"/>
        <v>67.812747392955117</v>
      </c>
      <c r="BT26" s="17">
        <f t="shared" si="33"/>
        <v>66.456492445096018</v>
      </c>
      <c r="BU26" s="17">
        <f t="shared" si="33"/>
        <v>65.127362596194089</v>
      </c>
      <c r="BV26" s="17">
        <f t="shared" si="33"/>
        <v>63.824815344270206</v>
      </c>
      <c r="BW26" s="17">
        <f t="shared" si="33"/>
        <v>62.5483190373848</v>
      </c>
      <c r="BX26" s="17">
        <f t="shared" si="33"/>
        <v>61.297352656637102</v>
      </c>
      <c r="BY26" s="17">
        <f t="shared" si="33"/>
        <v>60.07140560350436</v>
      </c>
      <c r="BZ26" s="17">
        <f t="shared" si="33"/>
        <v>58.86997749143427</v>
      </c>
      <c r="CA26" s="17">
        <f t="shared" si="33"/>
        <v>57.692577941605585</v>
      </c>
      <c r="CB26" s="17">
        <f t="shared" si="33"/>
        <v>56.538726382773469</v>
      </c>
      <c r="CC26" s="17">
        <f t="shared" si="33"/>
        <v>55.407951855118</v>
      </c>
      <c r="CD26" s="17">
        <f t="shared" si="33"/>
        <v>54.299792818015639</v>
      </c>
      <c r="CE26" s="17">
        <f t="shared" ref="CE26:DR26" si="34">CD26*($F$2+1)</f>
        <v>53.213796961655326</v>
      </c>
      <c r="CF26" s="17">
        <f t="shared" si="34"/>
        <v>52.149521022422221</v>
      </c>
      <c r="CG26" s="17">
        <f t="shared" si="34"/>
        <v>51.106530601973773</v>
      </c>
      <c r="CH26" s="17">
        <f t="shared" si="34"/>
        <v>50.084399989934298</v>
      </c>
      <c r="CI26" s="17">
        <f t="shared" si="34"/>
        <v>49.082711990135614</v>
      </c>
      <c r="CJ26" s="17">
        <f t="shared" si="34"/>
        <v>48.101057750332899</v>
      </c>
      <c r="CK26" s="17">
        <f t="shared" si="34"/>
        <v>47.139036595326239</v>
      </c>
      <c r="CL26" s="17">
        <f t="shared" si="34"/>
        <v>46.196255863419715</v>
      </c>
      <c r="CM26" s="17">
        <f t="shared" si="34"/>
        <v>45.272330746151319</v>
      </c>
      <c r="CN26" s="17">
        <f t="shared" si="34"/>
        <v>44.366884131228289</v>
      </c>
      <c r="CO26" s="17">
        <f t="shared" si="34"/>
        <v>43.47954644860372</v>
      </c>
      <c r="CP26" s="17">
        <f t="shared" si="34"/>
        <v>42.609955519631647</v>
      </c>
      <c r="CQ26" s="17">
        <f t="shared" si="34"/>
        <v>41.757756409239015</v>
      </c>
      <c r="CR26" s="17">
        <f t="shared" si="34"/>
        <v>40.922601281054234</v>
      </c>
      <c r="CS26" s="17">
        <f t="shared" si="34"/>
        <v>40.10414925543315</v>
      </c>
      <c r="CT26" s="17">
        <f t="shared" si="34"/>
        <v>39.302066270324488</v>
      </c>
      <c r="CU26" s="17">
        <f t="shared" si="34"/>
        <v>38.516024944917994</v>
      </c>
      <c r="CV26" s="17">
        <f t="shared" si="34"/>
        <v>37.745704446019637</v>
      </c>
      <c r="CW26" s="17">
        <f t="shared" si="34"/>
        <v>36.990790357099243</v>
      </c>
      <c r="CX26" s="17">
        <f t="shared" si="34"/>
        <v>36.250974549957256</v>
      </c>
      <c r="CY26" s="17">
        <f t="shared" si="34"/>
        <v>35.525955058958111</v>
      </c>
      <c r="CZ26" s="17">
        <f t="shared" si="34"/>
        <v>34.815435957778945</v>
      </c>
      <c r="DA26" s="17">
        <f t="shared" si="34"/>
        <v>34.119127238623363</v>
      </c>
      <c r="DB26" s="17">
        <f t="shared" si="34"/>
        <v>33.436744693850898</v>
      </c>
      <c r="DC26" s="17">
        <f t="shared" si="34"/>
        <v>32.768009799973882</v>
      </c>
      <c r="DD26" s="17">
        <f t="shared" si="34"/>
        <v>32.112649603974404</v>
      </c>
      <c r="DE26" s="17">
        <f t="shared" si="34"/>
        <v>31.470396611894916</v>
      </c>
      <c r="DF26" s="17">
        <f t="shared" si="34"/>
        <v>30.840988679657016</v>
      </c>
      <c r="DG26" s="17">
        <f t="shared" si="34"/>
        <v>30.224168906063877</v>
      </c>
      <c r="DH26" s="17">
        <f t="shared" si="34"/>
        <v>29.6196855279426</v>
      </c>
      <c r="DI26" s="17">
        <f t="shared" si="34"/>
        <v>29.027291817383748</v>
      </c>
      <c r="DJ26" s="17">
        <f t="shared" si="34"/>
        <v>28.446745981036074</v>
      </c>
      <c r="DK26" s="17">
        <f t="shared" si="34"/>
        <v>27.87781106141535</v>
      </c>
      <c r="DL26" s="17">
        <f t="shared" si="34"/>
        <v>27.320254840187044</v>
      </c>
      <c r="DM26" s="17">
        <f t="shared" si="34"/>
        <v>26.773849743383302</v>
      </c>
      <c r="DN26" s="17">
        <f t="shared" si="34"/>
        <v>26.238372748515637</v>
      </c>
      <c r="DO26" s="17">
        <f t="shared" si="34"/>
        <v>25.713605293545324</v>
      </c>
      <c r="DP26" s="17">
        <f t="shared" si="34"/>
        <v>25.199333187674416</v>
      </c>
      <c r="DQ26" s="17">
        <f t="shared" si="34"/>
        <v>24.695346523920929</v>
      </c>
      <c r="DR26" s="17">
        <f t="shared" si="34"/>
        <v>24.201439593442508</v>
      </c>
    </row>
    <row r="27" spans="1:122" x14ac:dyDescent="0.15">
      <c r="A27" s="3" t="s">
        <v>16</v>
      </c>
      <c r="C27" s="19">
        <f>C26/C28</f>
        <v>-2.4794058068872382</v>
      </c>
      <c r="D27" s="19">
        <f>D26/D28</f>
        <v>-1.9767692307692313</v>
      </c>
      <c r="E27" s="19">
        <f>E26/E28</f>
        <v>-0.81519940421413994</v>
      </c>
      <c r="F27" s="19">
        <f>F26/F28</f>
        <v>-1.0117978698507717</v>
      </c>
      <c r="G27" s="20">
        <f t="shared" ref="G27:H27" si="35">G26/G28</f>
        <v>-0.73027431701855428</v>
      </c>
      <c r="H27" s="20">
        <f t="shared" si="35"/>
        <v>-0.64342049561796744</v>
      </c>
      <c r="I27" s="20">
        <f t="shared" ref="I27:Q27" si="36">I26/I28</f>
        <v>-0.54168082638419945</v>
      </c>
      <c r="J27" s="20">
        <f t="shared" si="36"/>
        <v>-0.4223724254507677</v>
      </c>
      <c r="K27" s="20">
        <f t="shared" si="36"/>
        <v>-0.28235165871226237</v>
      </c>
      <c r="L27" s="20">
        <f t="shared" si="36"/>
        <v>8.1457303202997669E-2</v>
      </c>
      <c r="M27" s="20">
        <f t="shared" si="36"/>
        <v>0.446070933309</v>
      </c>
      <c r="N27" s="20">
        <f t="shared" si="36"/>
        <v>0.85782879669746881</v>
      </c>
      <c r="O27" s="20">
        <f t="shared" si="36"/>
        <v>1.3219112629387522</v>
      </c>
      <c r="P27" s="20">
        <f t="shared" si="36"/>
        <v>1.8440335733892748</v>
      </c>
      <c r="Q27" s="20">
        <f t="shared" si="36"/>
        <v>2.4305000815260605</v>
      </c>
      <c r="R27" s="20"/>
      <c r="S27" s="20"/>
      <c r="T27" s="20"/>
      <c r="U27" s="20"/>
      <c r="V27" s="20"/>
    </row>
    <row r="28" spans="1:122" s="16" customFormat="1" x14ac:dyDescent="0.15">
      <c r="A28" s="16" t="s">
        <v>17</v>
      </c>
      <c r="B28" s="3"/>
      <c r="C28" s="8">
        <v>16.291</v>
      </c>
      <c r="D28" s="8">
        <v>19.5</v>
      </c>
      <c r="E28" s="8">
        <f>Reports!Q18</f>
        <v>78.604081000000008</v>
      </c>
      <c r="F28" s="8">
        <f>Reports!U18</f>
        <v>83.063000000000002</v>
      </c>
      <c r="G28" s="8">
        <f t="shared" ref="G28" si="37">F28</f>
        <v>83.063000000000002</v>
      </c>
      <c r="H28" s="8">
        <f t="shared" ref="H28" si="38">G28</f>
        <v>83.063000000000002</v>
      </c>
      <c r="I28" s="8">
        <f t="shared" ref="I28" si="39">H28</f>
        <v>83.063000000000002</v>
      </c>
      <c r="J28" s="8">
        <f t="shared" ref="J28" si="40">I28</f>
        <v>83.063000000000002</v>
      </c>
      <c r="K28" s="8">
        <f t="shared" ref="K28" si="41">J28</f>
        <v>83.063000000000002</v>
      </c>
      <c r="L28" s="8">
        <f t="shared" ref="L28" si="42">K28</f>
        <v>83.063000000000002</v>
      </c>
      <c r="M28" s="8">
        <f t="shared" ref="M28" si="43">L28</f>
        <v>83.063000000000002</v>
      </c>
      <c r="N28" s="8">
        <f t="shared" ref="N28" si="44">M28</f>
        <v>83.063000000000002</v>
      </c>
      <c r="O28" s="8">
        <f t="shared" ref="O28" si="45">N28</f>
        <v>83.063000000000002</v>
      </c>
      <c r="P28" s="8">
        <f t="shared" ref="P28" si="46">O28</f>
        <v>83.063000000000002</v>
      </c>
      <c r="Q28" s="8">
        <f t="shared" ref="Q28" si="47">P28</f>
        <v>83.063000000000002</v>
      </c>
      <c r="R28" s="8"/>
      <c r="S28" s="8"/>
      <c r="T28" s="8"/>
      <c r="U28" s="8"/>
      <c r="V28" s="8"/>
    </row>
    <row r="29" spans="1:122" x14ac:dyDescent="0.1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122" x14ac:dyDescent="0.15">
      <c r="A30" s="3" t="s">
        <v>19</v>
      </c>
      <c r="C30" s="23">
        <f t="shared" ref="C30:Q30" si="48">IFERROR(C17/C15,0)</f>
        <v>0.58285080787122001</v>
      </c>
      <c r="D30" s="23">
        <f t="shared" si="48"/>
        <v>0.59489972569036242</v>
      </c>
      <c r="E30" s="23">
        <f>IFERROR(E17/E15,0)</f>
        <v>0.58625360497374923</v>
      </c>
      <c r="F30" s="23">
        <f t="shared" si="48"/>
        <v>0.60784165233290777</v>
      </c>
      <c r="G30" s="23">
        <f t="shared" si="48"/>
        <v>0.60784165233290777</v>
      </c>
      <c r="H30" s="23">
        <f>IFERROR(H17/H15,0)</f>
        <v>0.60784165233290777</v>
      </c>
      <c r="I30" s="23">
        <f t="shared" si="48"/>
        <v>0.60784165233290777</v>
      </c>
      <c r="J30" s="23">
        <f t="shared" si="48"/>
        <v>0.60784165233290777</v>
      </c>
      <c r="K30" s="23">
        <f t="shared" si="48"/>
        <v>0.60784165233290777</v>
      </c>
      <c r="L30" s="23">
        <f t="shared" si="48"/>
        <v>0.60784165233290777</v>
      </c>
      <c r="M30" s="23">
        <f t="shared" si="48"/>
        <v>0.60784165233290777</v>
      </c>
      <c r="N30" s="23">
        <f t="shared" si="48"/>
        <v>0.60784165233290777</v>
      </c>
      <c r="O30" s="23">
        <f t="shared" si="48"/>
        <v>0.60784165233290777</v>
      </c>
      <c r="P30" s="23">
        <f t="shared" si="48"/>
        <v>0.60784165233290777</v>
      </c>
      <c r="Q30" s="23">
        <f t="shared" si="48"/>
        <v>0.60784165233290777</v>
      </c>
      <c r="R30" s="23"/>
      <c r="S30" s="23"/>
      <c r="T30" s="23"/>
      <c r="U30" s="23"/>
      <c r="V30" s="23"/>
    </row>
    <row r="31" spans="1:122" x14ac:dyDescent="0.15">
      <c r="A31" s="3" t="s">
        <v>20</v>
      </c>
      <c r="C31" s="22">
        <f t="shared" ref="C31:Q31" si="49">IFERROR(C22/C15,0)</f>
        <v>-0.26257125521539487</v>
      </c>
      <c r="D31" s="22">
        <f t="shared" si="49"/>
        <v>-0.16571179134610145</v>
      </c>
      <c r="E31" s="22">
        <f>IFERROR(E22/E15,0)</f>
        <v>-0.13262531248821208</v>
      </c>
      <c r="F31" s="22">
        <f t="shared" si="49"/>
        <v>-0.23142426426451521</v>
      </c>
      <c r="G31" s="22">
        <f t="shared" si="49"/>
        <v>-0.18031575687442852</v>
      </c>
      <c r="H31" s="22">
        <f t="shared" si="49"/>
        <v>-0.13662172898013572</v>
      </c>
      <c r="I31" s="22">
        <f t="shared" si="49"/>
        <v>-9.9220199851733276E-2</v>
      </c>
      <c r="J31" s="22">
        <f t="shared" si="49"/>
        <v>-6.7159179669674191E-2</v>
      </c>
      <c r="K31" s="22">
        <f t="shared" si="49"/>
        <v>-3.963091335293905E-2</v>
      </c>
      <c r="L31" s="22">
        <f t="shared" si="49"/>
        <v>7.4880579457203529E-3</v>
      </c>
      <c r="M31" s="22">
        <f t="shared" si="49"/>
        <v>5.0850586761755447E-2</v>
      </c>
      <c r="N31" s="22">
        <f t="shared" si="49"/>
        <v>9.0780659317047652E-2</v>
      </c>
      <c r="O31" s="22">
        <f t="shared" si="49"/>
        <v>0.12757248419379608</v>
      </c>
      <c r="P31" s="22">
        <f t="shared" si="49"/>
        <v>0.1614933666286206</v>
      </c>
      <c r="Q31" s="22">
        <f t="shared" si="49"/>
        <v>0.19278629506704145</v>
      </c>
      <c r="R31" s="22"/>
      <c r="S31" s="22"/>
      <c r="T31" s="22"/>
      <c r="U31" s="22"/>
      <c r="V31" s="22"/>
    </row>
    <row r="32" spans="1:122" x14ac:dyDescent="0.15">
      <c r="A32" s="3" t="s">
        <v>21</v>
      </c>
      <c r="C32" s="22">
        <f t="shared" ref="C32:Q32" si="50">IFERROR(C25/C24,0)</f>
        <v>-3.2537691562554336E-3</v>
      </c>
      <c r="D32" s="22">
        <f t="shared" si="50"/>
        <v>3.371369294605808E-4</v>
      </c>
      <c r="E32" s="22">
        <f t="shared" si="50"/>
        <v>-1.8274853801169593E-2</v>
      </c>
      <c r="F32" s="22">
        <f t="shared" si="50"/>
        <v>8.2602725537370119E-3</v>
      </c>
      <c r="G32" s="22">
        <f t="shared" si="50"/>
        <v>0</v>
      </c>
      <c r="H32" s="22">
        <f t="shared" si="50"/>
        <v>0</v>
      </c>
      <c r="I32" s="22">
        <f t="shared" si="50"/>
        <v>0</v>
      </c>
      <c r="J32" s="22">
        <f t="shared" si="50"/>
        <v>0</v>
      </c>
      <c r="K32" s="22">
        <f t="shared" si="50"/>
        <v>0</v>
      </c>
      <c r="L32" s="22">
        <f t="shared" si="50"/>
        <v>0.15</v>
      </c>
      <c r="M32" s="22">
        <f t="shared" si="50"/>
        <v>0.15</v>
      </c>
      <c r="N32" s="22">
        <f t="shared" si="50"/>
        <v>0.15</v>
      </c>
      <c r="O32" s="22">
        <f t="shared" si="50"/>
        <v>0.15</v>
      </c>
      <c r="P32" s="22">
        <f t="shared" si="50"/>
        <v>0.15</v>
      </c>
      <c r="Q32" s="22">
        <f t="shared" si="50"/>
        <v>0.15</v>
      </c>
      <c r="R32" s="22"/>
      <c r="S32" s="22"/>
      <c r="T32" s="22"/>
      <c r="U32" s="22"/>
      <c r="V32" s="22"/>
    </row>
    <row r="33" spans="1:122" x14ac:dyDescent="0.15"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122" x14ac:dyDescent="0.15">
      <c r="A34" s="2" t="s">
        <v>18</v>
      </c>
      <c r="C34" s="22"/>
      <c r="D34" s="21">
        <f t="shared" ref="D34:Q34" si="51">D15/C15-1</f>
        <v>0.51010119925991937</v>
      </c>
      <c r="E34" s="21">
        <f t="shared" si="51"/>
        <v>0.44650466028760349</v>
      </c>
      <c r="F34" s="21">
        <f>F15/E15-1</f>
        <v>0.11119522240244706</v>
      </c>
      <c r="G34" s="21">
        <f>G15/F15-1</f>
        <v>0.15500000000000025</v>
      </c>
      <c r="H34" s="21">
        <f t="shared" si="51"/>
        <v>0.15500000000000025</v>
      </c>
      <c r="I34" s="21">
        <f t="shared" si="51"/>
        <v>0.15500000000000003</v>
      </c>
      <c r="J34" s="21">
        <f t="shared" si="51"/>
        <v>0.15500000000000025</v>
      </c>
      <c r="K34" s="21">
        <f t="shared" si="51"/>
        <v>0.15500000000000003</v>
      </c>
      <c r="L34" s="21">
        <f t="shared" si="51"/>
        <v>0.10000000000000009</v>
      </c>
      <c r="M34" s="21">
        <f t="shared" si="51"/>
        <v>0.10000000000000009</v>
      </c>
      <c r="N34" s="21">
        <f t="shared" si="51"/>
        <v>0.10000000000000009</v>
      </c>
      <c r="O34" s="21">
        <f t="shared" si="51"/>
        <v>0.10000000000000009</v>
      </c>
      <c r="P34" s="21">
        <f t="shared" si="51"/>
        <v>0.10000000000000009</v>
      </c>
      <c r="Q34" s="21">
        <f t="shared" si="51"/>
        <v>0.10000000000000009</v>
      </c>
      <c r="R34" s="21"/>
      <c r="S34" s="21"/>
      <c r="T34" s="21"/>
      <c r="U34" s="21"/>
      <c r="V34" s="21"/>
    </row>
    <row r="35" spans="1:122" x14ac:dyDescent="0.15">
      <c r="A35" s="3" t="s">
        <v>58</v>
      </c>
      <c r="C35" s="22"/>
      <c r="D35" s="22">
        <f t="shared" ref="D35:Q35" si="52">D18/C18-1</f>
        <v>0.3470052369845531</v>
      </c>
      <c r="E35" s="22">
        <f t="shared" si="52"/>
        <v>0.50519472033455304</v>
      </c>
      <c r="F35" s="22">
        <f t="shared" si="52"/>
        <v>0.35147923856656038</v>
      </c>
      <c r="G35" s="22">
        <f t="shared" si="52"/>
        <v>0.14999999999999991</v>
      </c>
      <c r="H35" s="22">
        <f t="shared" si="52"/>
        <v>0.14999999999999991</v>
      </c>
      <c r="I35" s="22">
        <f t="shared" si="52"/>
        <v>0.14999999999999991</v>
      </c>
      <c r="J35" s="22">
        <f t="shared" si="52"/>
        <v>0.14999999999999991</v>
      </c>
      <c r="K35" s="22">
        <f t="shared" si="52"/>
        <v>0.14999999999999991</v>
      </c>
      <c r="L35" s="22">
        <f t="shared" si="52"/>
        <v>5.0000000000000044E-2</v>
      </c>
      <c r="M35" s="22">
        <f t="shared" si="52"/>
        <v>5.0000000000000044E-2</v>
      </c>
      <c r="N35" s="22">
        <f t="shared" si="52"/>
        <v>5.0000000000000044E-2</v>
      </c>
      <c r="O35" s="22">
        <f t="shared" si="52"/>
        <v>5.0000000000000044E-2</v>
      </c>
      <c r="P35" s="22">
        <f t="shared" si="52"/>
        <v>5.0000000000000044E-2</v>
      </c>
      <c r="Q35" s="22">
        <f t="shared" si="52"/>
        <v>5.0000000000000044E-2</v>
      </c>
      <c r="R35" s="22"/>
      <c r="S35" s="22"/>
      <c r="T35" s="22"/>
      <c r="U35" s="22"/>
      <c r="V35" s="22"/>
    </row>
    <row r="36" spans="1:122" x14ac:dyDescent="0.15">
      <c r="A36" s="3" t="s">
        <v>59</v>
      </c>
      <c r="C36" s="22"/>
      <c r="D36" s="22">
        <f t="shared" ref="D36:Q36" si="53">D19/C19-1</f>
        <v>0.14008803289867955</v>
      </c>
      <c r="E36" s="22">
        <f t="shared" si="53"/>
        <v>0.26481783578031548</v>
      </c>
      <c r="F36" s="22">
        <f t="shared" si="53"/>
        <v>0.5071653768988249</v>
      </c>
      <c r="G36" s="22">
        <f t="shared" si="53"/>
        <v>0.14999999999999991</v>
      </c>
      <c r="H36" s="22">
        <f t="shared" si="53"/>
        <v>0.14999999999999991</v>
      </c>
      <c r="I36" s="22">
        <f t="shared" si="53"/>
        <v>0.14999999999999991</v>
      </c>
      <c r="J36" s="22">
        <f t="shared" si="53"/>
        <v>0.14999999999999991</v>
      </c>
      <c r="K36" s="22">
        <f t="shared" si="53"/>
        <v>0.14999999999999991</v>
      </c>
      <c r="L36" s="22">
        <f t="shared" si="53"/>
        <v>2.0000000000000018E-2</v>
      </c>
      <c r="M36" s="22">
        <f t="shared" si="53"/>
        <v>2.0000000000000018E-2</v>
      </c>
      <c r="N36" s="22">
        <f t="shared" si="53"/>
        <v>2.0000000000000018E-2</v>
      </c>
      <c r="O36" s="22">
        <f t="shared" si="53"/>
        <v>2.0000000000000018E-2</v>
      </c>
      <c r="P36" s="22">
        <f t="shared" si="53"/>
        <v>2.0000000000000018E-2</v>
      </c>
      <c r="Q36" s="22">
        <f t="shared" si="53"/>
        <v>2.0000000000000018E-2</v>
      </c>
      <c r="R36" s="22"/>
      <c r="S36" s="22"/>
      <c r="T36" s="22"/>
      <c r="U36" s="22"/>
      <c r="V36" s="22"/>
    </row>
    <row r="37" spans="1:122" x14ac:dyDescent="0.15">
      <c r="A37" s="3" t="s">
        <v>60</v>
      </c>
      <c r="C37" s="22"/>
      <c r="D37" s="22">
        <f t="shared" ref="D37:Q37" si="54">D20/C20-1</f>
        <v>0.61821840044072895</v>
      </c>
      <c r="E37" s="22">
        <f t="shared" si="54"/>
        <v>0.38814961737148268</v>
      </c>
      <c r="F37" s="22">
        <f t="shared" si="54"/>
        <v>0.11448892111492626</v>
      </c>
      <c r="G37" s="22">
        <f t="shared" si="54"/>
        <v>-1.9999999999999907E-2</v>
      </c>
      <c r="H37" s="22">
        <f t="shared" si="54"/>
        <v>-2.0000000000000018E-2</v>
      </c>
      <c r="I37" s="22">
        <f t="shared" si="54"/>
        <v>-2.0000000000000018E-2</v>
      </c>
      <c r="J37" s="22">
        <f t="shared" si="54"/>
        <v>-2.0000000000000018E-2</v>
      </c>
      <c r="K37" s="22">
        <f t="shared" si="54"/>
        <v>-2.0000000000000018E-2</v>
      </c>
      <c r="L37" s="22">
        <f t="shared" si="54"/>
        <v>-2.0000000000000129E-2</v>
      </c>
      <c r="M37" s="22">
        <f t="shared" si="54"/>
        <v>-2.0000000000000018E-2</v>
      </c>
      <c r="N37" s="22">
        <f t="shared" si="54"/>
        <v>-2.0000000000000129E-2</v>
      </c>
      <c r="O37" s="22">
        <f t="shared" si="54"/>
        <v>-1.9999999999999907E-2</v>
      </c>
      <c r="P37" s="22">
        <f t="shared" si="54"/>
        <v>-2.0000000000000018E-2</v>
      </c>
      <c r="Q37" s="22">
        <f t="shared" si="54"/>
        <v>-2.0000000000000129E-2</v>
      </c>
      <c r="R37" s="22"/>
      <c r="S37" s="22"/>
      <c r="T37" s="22"/>
      <c r="U37" s="22"/>
      <c r="V37" s="22"/>
    </row>
    <row r="38" spans="1:122" s="5" customFormat="1" x14ac:dyDescent="0.15">
      <c r="A38" s="5" t="s">
        <v>106</v>
      </c>
      <c r="C38" s="69"/>
      <c r="D38" s="69">
        <f>D21/C21-1</f>
        <v>0.35861176825000207</v>
      </c>
      <c r="E38" s="69">
        <f>E21/D21-1</f>
        <v>0.36713904667497088</v>
      </c>
      <c r="F38" s="69">
        <f>F21/E21-1</f>
        <v>0.29728143946802277</v>
      </c>
      <c r="G38" s="69">
        <f t="shared" ref="G38:Q38" si="55">G21/F21-1</f>
        <v>8.4664335381481326E-2</v>
      </c>
      <c r="H38" s="69">
        <f t="shared" si="55"/>
        <v>9.0968879276712933E-2</v>
      </c>
      <c r="I38" s="69">
        <f t="shared" si="55"/>
        <v>9.6973282732707222E-2</v>
      </c>
      <c r="J38" s="69">
        <f t="shared" si="55"/>
        <v>0.10262766765614173</v>
      </c>
      <c r="K38" s="69">
        <f t="shared" si="55"/>
        <v>0.10789613569586343</v>
      </c>
      <c r="L38" s="69">
        <f t="shared" si="55"/>
        <v>1.9948935019937997E-2</v>
      </c>
      <c r="M38" s="69">
        <f t="shared" si="55"/>
        <v>2.05488529700113E-2</v>
      </c>
      <c r="N38" s="69">
        <f t="shared" si="55"/>
        <v>2.1142218384092804E-2</v>
      </c>
      <c r="O38" s="69">
        <f t="shared" si="55"/>
        <v>2.1728755579940362E-2</v>
      </c>
      <c r="P38" s="69">
        <f t="shared" si="55"/>
        <v>2.2308211408025969E-2</v>
      </c>
      <c r="Q38" s="69">
        <f t="shared" si="55"/>
        <v>2.2880355129070384E-2</v>
      </c>
      <c r="R38" s="69"/>
      <c r="S38" s="69"/>
      <c r="T38" s="69"/>
      <c r="U38" s="69"/>
      <c r="V38" s="69"/>
    </row>
    <row r="39" spans="1:122" x14ac:dyDescent="0.1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122" x14ac:dyDescent="0.15">
      <c r="A40" s="2" t="s">
        <v>33</v>
      </c>
      <c r="C40" s="17">
        <f>C41-C42</f>
        <v>169.607</v>
      </c>
      <c r="D40" s="17">
        <f>D41-D42</f>
        <v>158.83800000000002</v>
      </c>
      <c r="E40" s="17">
        <f>E41-E42</f>
        <v>425.375</v>
      </c>
      <c r="F40" s="43">
        <f>E40+F26</f>
        <v>341.33203353658536</v>
      </c>
      <c r="G40" s="43">
        <f t="shared" ref="G40:Q40" si="56">F40+G26</f>
        <v>280.67325794207318</v>
      </c>
      <c r="H40" s="43">
        <f t="shared" si="56"/>
        <v>227.22882131455793</v>
      </c>
      <c r="I40" s="43">
        <f t="shared" si="56"/>
        <v>182.23518683260716</v>
      </c>
      <c r="J40" s="43">
        <f t="shared" si="56"/>
        <v>147.15166605739003</v>
      </c>
      <c r="K40" s="43">
        <f t="shared" si="56"/>
        <v>123.69869022977338</v>
      </c>
      <c r="L40" s="43">
        <f t="shared" si="56"/>
        <v>130.46477820572397</v>
      </c>
      <c r="M40" s="43">
        <f t="shared" si="56"/>
        <v>167.51676813916944</v>
      </c>
      <c r="N40" s="43">
        <f t="shared" si="56"/>
        <v>238.7706014792513</v>
      </c>
      <c r="O40" s="43">
        <f t="shared" si="56"/>
        <v>348.57251671273286</v>
      </c>
      <c r="P40" s="43">
        <f t="shared" si="56"/>
        <v>501.7434774191662</v>
      </c>
      <c r="Q40" s="43">
        <f t="shared" si="56"/>
        <v>703.62810569096541</v>
      </c>
      <c r="R40" s="18"/>
      <c r="S40" s="18"/>
      <c r="T40" s="18"/>
      <c r="U40" s="18"/>
      <c r="V40" s="18"/>
    </row>
    <row r="41" spans="1:122" x14ac:dyDescent="0.15">
      <c r="A41" s="3" t="s">
        <v>34</v>
      </c>
      <c r="C41" s="45">
        <f>139.538+26.069+4</f>
        <v>169.607</v>
      </c>
      <c r="D41" s="45">
        <f>188.986+51.639+3.235</f>
        <v>243.86</v>
      </c>
      <c r="E41" s="45">
        <f>Reports!Q30</f>
        <v>498.09699999999998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8"/>
      <c r="S41" s="8"/>
      <c r="T41" s="8"/>
      <c r="U41" s="8"/>
      <c r="V41" s="8"/>
    </row>
    <row r="42" spans="1:122" x14ac:dyDescent="0.15">
      <c r="A42" s="3" t="s">
        <v>35</v>
      </c>
      <c r="C42" s="45">
        <v>0</v>
      </c>
      <c r="D42" s="45">
        <f>7.271+51.082+26.669</f>
        <v>85.022000000000006</v>
      </c>
      <c r="E42" s="45">
        <f>Reports!Q31</f>
        <v>72.722000000000008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8"/>
      <c r="S42" s="8"/>
      <c r="T42" s="8"/>
      <c r="U42" s="8"/>
      <c r="V42" s="8"/>
    </row>
    <row r="43" spans="1:122" x14ac:dyDescent="0.1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25"/>
      <c r="T43" s="25"/>
      <c r="U43" s="25"/>
      <c r="V43" s="25"/>
    </row>
    <row r="44" spans="1:122" x14ac:dyDescent="0.15">
      <c r="A44" s="3" t="s">
        <v>74</v>
      </c>
      <c r="C44" s="44">
        <f>9.725+1.684</f>
        <v>11.408999999999999</v>
      </c>
      <c r="D44" s="44">
        <f>158.766+79.541</f>
        <v>238.30699999999999</v>
      </c>
      <c r="E44" s="45">
        <f>Reports!Q33</f>
        <v>230.53300000000002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</row>
    <row r="45" spans="1:122" x14ac:dyDescent="0.15">
      <c r="A45" s="3" t="s">
        <v>75</v>
      </c>
      <c r="C45" s="44">
        <v>245.33699999999999</v>
      </c>
      <c r="D45" s="44">
        <v>571.92399999999998</v>
      </c>
      <c r="E45" s="45">
        <f>Reports!Q34</f>
        <v>836.88400000000001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</row>
    <row r="46" spans="1:122" x14ac:dyDescent="0.15">
      <c r="A46" s="3" t="s">
        <v>76</v>
      </c>
      <c r="C46" s="44">
        <v>194.339</v>
      </c>
      <c r="D46" s="44">
        <v>393.72</v>
      </c>
      <c r="E46" s="45">
        <f>Reports!Q35</f>
        <v>421.66199999999998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</row>
    <row r="48" spans="1:122" x14ac:dyDescent="0.15">
      <c r="A48" s="3" t="s">
        <v>77</v>
      </c>
      <c r="C48" s="46">
        <f>C45-C44-C41</f>
        <v>64.320999999999998</v>
      </c>
      <c r="D48" s="46">
        <f>D45-D44-D41</f>
        <v>89.756999999999948</v>
      </c>
      <c r="E48" s="46">
        <f>E45-E44-E41</f>
        <v>108.25400000000002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1:122" x14ac:dyDescent="0.15">
      <c r="A49" s="3" t="s">
        <v>78</v>
      </c>
      <c r="C49" s="46">
        <f>C45-C46</f>
        <v>50.99799999999999</v>
      </c>
      <c r="D49" s="46">
        <f>D45-D46</f>
        <v>178.20399999999995</v>
      </c>
      <c r="E49" s="46">
        <f>E45-E46</f>
        <v>415.22200000000004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1" spans="1:122" x14ac:dyDescent="0.15">
      <c r="A51" s="26" t="s">
        <v>80</v>
      </c>
      <c r="C51" s="27">
        <f>C26/C49</f>
        <v>-0.79203106004157031</v>
      </c>
      <c r="D51" s="27">
        <f>D26/D49</f>
        <v>-0.21630827590850948</v>
      </c>
      <c r="E51" s="27">
        <f>E26/E49</f>
        <v>-0.15432226616123423</v>
      </c>
    </row>
    <row r="52" spans="1:122" x14ac:dyDescent="0.15">
      <c r="A52" s="26" t="s">
        <v>81</v>
      </c>
      <c r="C52" s="27">
        <f>C26/C45</f>
        <v>-0.16463884371293364</v>
      </c>
      <c r="D52" s="27">
        <f>D26/D45</f>
        <v>-6.7398815227198039E-2</v>
      </c>
      <c r="E52" s="27">
        <f>E26/E45</f>
        <v>-7.6567361784906876E-2</v>
      </c>
    </row>
    <row r="53" spans="1:122" x14ac:dyDescent="0.15">
      <c r="A53" s="26" t="s">
        <v>82</v>
      </c>
      <c r="C53" s="27">
        <f>C26/(C49-C44)</f>
        <v>-1.0202834120589053</v>
      </c>
      <c r="D53" s="27">
        <f>D26/(D49-D44)</f>
        <v>0.6413490175199239</v>
      </c>
      <c r="E53" s="27">
        <f>E26/(E49-E44)</f>
        <v>-0.34695082002718081</v>
      </c>
    </row>
    <row r="54" spans="1:122" x14ac:dyDescent="0.15">
      <c r="A54" s="26" t="s">
        <v>83</v>
      </c>
      <c r="C54" s="27">
        <f>C26/C48</f>
        <v>-0.62797531132911488</v>
      </c>
      <c r="D54" s="27">
        <f>D26/D48</f>
        <v>-0.42945954076005249</v>
      </c>
      <c r="E54" s="27">
        <f>E26/E48</f>
        <v>-0.59192270031592353</v>
      </c>
    </row>
    <row r="56" spans="1:122" x14ac:dyDescent="0.15">
      <c r="A56" s="3" t="s">
        <v>93</v>
      </c>
      <c r="E56" s="27">
        <f>E12/D12-1</f>
        <v>0.36228065257610576</v>
      </c>
      <c r="F56" s="27">
        <f>F12/E12-1</f>
        <v>0.13173381620642832</v>
      </c>
      <c r="G56" s="27">
        <f>G12/F12-1</f>
        <v>0.10000000000000009</v>
      </c>
      <c r="H56" s="27">
        <f>H12/G12-1</f>
        <v>0.10000000000000009</v>
      </c>
      <c r="I56" s="27">
        <f>I12/H12-1</f>
        <v>0.10000000000000009</v>
      </c>
      <c r="J56" s="27">
        <f t="shared" ref="J56" si="57">J12/I12-1</f>
        <v>0.10000000000000009</v>
      </c>
    </row>
    <row r="57" spans="1:122" x14ac:dyDescent="0.15">
      <c r="A57" s="3" t="s">
        <v>94</v>
      </c>
      <c r="E57" s="27">
        <f>E13/D13-1</f>
        <v>6.1825738736161595E-2</v>
      </c>
      <c r="F57" s="27">
        <f t="shared" ref="F57:I57" si="58">F13/E13-1</f>
        <v>-1.8147901485197848E-2</v>
      </c>
      <c r="G57" s="27">
        <f t="shared" si="58"/>
        <v>5.0000000000000044E-2</v>
      </c>
      <c r="H57" s="27">
        <f t="shared" si="58"/>
        <v>5.0000000000000044E-2</v>
      </c>
      <c r="I57" s="27">
        <f t="shared" si="58"/>
        <v>5.0000000000000044E-2</v>
      </c>
      <c r="J57" s="27">
        <f t="shared" ref="J57" si="59">J13/I13-1</f>
        <v>5.0000000000000044E-2</v>
      </c>
    </row>
  </sheetData>
  <hyperlinks>
    <hyperlink ref="A4" r:id="rId1" xr:uid="{00000000-0004-0000-0000-000000000000}"/>
    <hyperlink ref="A8" r:id="rId2" xr:uid="{00000000-0004-0000-0000-000001000000}"/>
    <hyperlink ref="A1" r:id="rId3" xr:uid="{00000000-0004-0000-0000-000002000000}"/>
    <hyperlink ref="A7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V6" sqref="V6"/>
    </sheetView>
  </sheetViews>
  <sheetFormatPr baseColWidth="10" defaultRowHeight="13" x14ac:dyDescent="0.15"/>
  <cols>
    <col min="1" max="1" width="17.5" style="6" bestFit="1" customWidth="1"/>
    <col min="2" max="5" width="10.83203125" style="28" customWidth="1"/>
    <col min="6" max="6" width="10.83203125" style="29" customWidth="1"/>
    <col min="7" max="8" width="10.83203125" style="28" customWidth="1"/>
    <col min="9" max="9" width="10.83203125" style="28"/>
    <col min="10" max="10" width="10.83203125" style="29"/>
    <col min="11" max="13" width="10.83203125" style="28"/>
    <col min="14" max="14" width="10.83203125" style="29"/>
    <col min="15" max="17" width="10.83203125" style="28"/>
    <col min="18" max="18" width="10.83203125" style="29"/>
    <col min="19" max="21" width="10.83203125" style="28"/>
    <col min="22" max="22" width="10.83203125" style="49"/>
    <col min="23" max="16384" width="10.83203125" style="6"/>
  </cols>
  <sheetData>
    <row r="1" spans="1:22" x14ac:dyDescent="0.15">
      <c r="A1" s="1" t="s">
        <v>61</v>
      </c>
      <c r="B1" s="28" t="s">
        <v>50</v>
      </c>
      <c r="C1" s="28" t="s">
        <v>51</v>
      </c>
      <c r="D1" s="28" t="s">
        <v>52</v>
      </c>
      <c r="E1" s="28" t="s">
        <v>53</v>
      </c>
      <c r="F1" s="29" t="s">
        <v>22</v>
      </c>
      <c r="G1" s="28" t="s">
        <v>23</v>
      </c>
      <c r="H1" s="28" t="s">
        <v>24</v>
      </c>
      <c r="I1" s="28" t="s">
        <v>25</v>
      </c>
      <c r="J1" s="30" t="s">
        <v>0</v>
      </c>
      <c r="K1" s="31" t="s">
        <v>1</v>
      </c>
      <c r="L1" s="31" t="s">
        <v>2</v>
      </c>
      <c r="M1" s="31" t="s">
        <v>3</v>
      </c>
      <c r="N1" s="30" t="s">
        <v>42</v>
      </c>
      <c r="O1" s="31" t="s">
        <v>43</v>
      </c>
      <c r="P1" s="31" t="s">
        <v>44</v>
      </c>
      <c r="Q1" s="31" t="s">
        <v>45</v>
      </c>
      <c r="R1" s="30" t="s">
        <v>70</v>
      </c>
      <c r="S1" s="31" t="s">
        <v>71</v>
      </c>
      <c r="T1" s="31" t="s">
        <v>72</v>
      </c>
      <c r="U1" s="31" t="s">
        <v>73</v>
      </c>
    </row>
    <row r="2" spans="1:22" s="28" customFormat="1" x14ac:dyDescent="0.15">
      <c r="A2" s="1"/>
      <c r="B2" s="28" t="s">
        <v>54</v>
      </c>
      <c r="C2" s="28" t="s">
        <v>55</v>
      </c>
      <c r="D2" s="28" t="s">
        <v>56</v>
      </c>
      <c r="E2" s="28" t="s">
        <v>57</v>
      </c>
      <c r="F2" s="29" t="s">
        <v>29</v>
      </c>
      <c r="G2" s="28" t="s">
        <v>28</v>
      </c>
      <c r="H2" s="28" t="s">
        <v>27</v>
      </c>
      <c r="I2" s="28" t="s">
        <v>32</v>
      </c>
      <c r="J2" s="29" t="s">
        <v>31</v>
      </c>
      <c r="K2" s="28" t="s">
        <v>30</v>
      </c>
      <c r="L2" s="28" t="s">
        <v>26</v>
      </c>
      <c r="M2" s="28" t="s">
        <v>36</v>
      </c>
      <c r="N2" s="29" t="s">
        <v>46</v>
      </c>
      <c r="O2" s="28" t="s">
        <v>47</v>
      </c>
      <c r="P2" s="28" t="s">
        <v>48</v>
      </c>
      <c r="Q2" s="28" t="s">
        <v>49</v>
      </c>
      <c r="R2" s="29" t="s">
        <v>95</v>
      </c>
      <c r="S2" s="28" t="s">
        <v>96</v>
      </c>
      <c r="T2" s="28" t="s">
        <v>97</v>
      </c>
      <c r="U2" s="28" t="s">
        <v>98</v>
      </c>
      <c r="V2" s="29"/>
    </row>
    <row r="3" spans="1:22" s="8" customFormat="1" x14ac:dyDescent="0.15">
      <c r="A3" s="8" t="s">
        <v>90</v>
      </c>
      <c r="B3" s="31"/>
      <c r="C3" s="31"/>
      <c r="D3" s="31"/>
      <c r="E3" s="31"/>
      <c r="F3" s="30"/>
      <c r="G3" s="31"/>
      <c r="H3" s="31"/>
      <c r="I3" s="31"/>
      <c r="J3" s="30">
        <v>43.350999999999999</v>
      </c>
      <c r="K3" s="31">
        <v>44.802</v>
      </c>
      <c r="L3" s="31">
        <v>50.749000000000002</v>
      </c>
      <c r="M3" s="31">
        <v>62.695</v>
      </c>
      <c r="N3" s="30">
        <v>74.525999999999996</v>
      </c>
      <c r="O3" s="31">
        <v>67.542000000000002</v>
      </c>
      <c r="P3" s="31">
        <v>73.628</v>
      </c>
      <c r="Q3" s="31">
        <v>75.915000000000006</v>
      </c>
      <c r="R3" s="30">
        <v>81.325999999999993</v>
      </c>
      <c r="S3" s="31">
        <v>81</v>
      </c>
      <c r="T3" s="31">
        <v>82</v>
      </c>
      <c r="U3" s="31">
        <f>Q3*1.05</f>
        <v>79.710750000000004</v>
      </c>
      <c r="V3" s="65"/>
    </row>
    <row r="4" spans="1:22" x14ac:dyDescent="0.15">
      <c r="B4" s="31"/>
      <c r="F4" s="30"/>
      <c r="I4" s="31"/>
      <c r="Q4" s="47"/>
      <c r="R4" s="63"/>
      <c r="S4" s="47"/>
      <c r="T4" s="47"/>
      <c r="U4" s="47" t="s">
        <v>103</v>
      </c>
    </row>
    <row r="5" spans="1:22" s="18" customFormat="1" x14ac:dyDescent="0.15">
      <c r="A5" s="18" t="s">
        <v>4</v>
      </c>
      <c r="B5" s="31"/>
      <c r="C5" s="31"/>
      <c r="D5" s="31"/>
      <c r="E5" s="31"/>
      <c r="F5" s="30"/>
      <c r="G5" s="31"/>
      <c r="H5" s="31"/>
      <c r="I5" s="31"/>
      <c r="J5" s="55">
        <f t="shared" ref="J5:Q5" si="0">SUM(J3:J3)</f>
        <v>43.350999999999999</v>
      </c>
      <c r="K5" s="33">
        <f t="shared" si="0"/>
        <v>44.802</v>
      </c>
      <c r="L5" s="33">
        <f t="shared" si="0"/>
        <v>50.749000000000002</v>
      </c>
      <c r="M5" s="33">
        <f t="shared" si="0"/>
        <v>62.695</v>
      </c>
      <c r="N5" s="55">
        <f t="shared" si="0"/>
        <v>74.525999999999996</v>
      </c>
      <c r="O5" s="33">
        <f t="shared" si="0"/>
        <v>67.542000000000002</v>
      </c>
      <c r="P5" s="33">
        <f t="shared" si="0"/>
        <v>73.628</v>
      </c>
      <c r="Q5" s="33">
        <f t="shared" si="0"/>
        <v>75.915000000000006</v>
      </c>
      <c r="R5" s="55">
        <f>SUM(R3:R3)</f>
        <v>81.325999999999993</v>
      </c>
      <c r="S5" s="33">
        <f t="shared" ref="S5:T5" si="1">SUM(S3:S3)</f>
        <v>81</v>
      </c>
      <c r="T5" s="33">
        <f t="shared" si="1"/>
        <v>82</v>
      </c>
      <c r="U5" s="33">
        <f t="shared" ref="U5" si="2">SUM(U3:U3)</f>
        <v>79.710750000000004</v>
      </c>
      <c r="V5" s="67"/>
    </row>
    <row r="6" spans="1:22" s="8" customFormat="1" x14ac:dyDescent="0.15">
      <c r="A6" s="8" t="s">
        <v>5</v>
      </c>
      <c r="B6" s="31"/>
      <c r="C6" s="31"/>
      <c r="D6" s="31"/>
      <c r="E6" s="31"/>
      <c r="F6" s="30"/>
      <c r="G6" s="31"/>
      <c r="H6" s="31"/>
      <c r="I6" s="31"/>
      <c r="J6" s="30">
        <v>17.157</v>
      </c>
      <c r="K6" s="31">
        <v>18.145</v>
      </c>
      <c r="L6" s="31">
        <v>20.992999999999999</v>
      </c>
      <c r="M6" s="31">
        <v>25.372</v>
      </c>
      <c r="N6" s="30">
        <v>28.084</v>
      </c>
      <c r="O6" s="31">
        <v>29.863</v>
      </c>
      <c r="P6" s="31">
        <v>31.477</v>
      </c>
      <c r="Q6" s="31">
        <v>31.228999999999999</v>
      </c>
      <c r="R6" s="30">
        <v>30.518000000000001</v>
      </c>
      <c r="S6" s="31">
        <v>31.477</v>
      </c>
      <c r="T6" s="31">
        <v>33</v>
      </c>
      <c r="U6" s="31">
        <f>U5-U7</f>
        <v>32.078716463414636</v>
      </c>
      <c r="V6" s="65"/>
    </row>
    <row r="7" spans="1:22" s="8" customFormat="1" x14ac:dyDescent="0.15">
      <c r="A7" s="8" t="s">
        <v>6</v>
      </c>
      <c r="B7" s="31"/>
      <c r="C7" s="31"/>
      <c r="D7" s="31"/>
      <c r="E7" s="31"/>
      <c r="F7" s="30"/>
      <c r="G7" s="31"/>
      <c r="H7" s="31"/>
      <c r="I7" s="31"/>
      <c r="J7" s="56">
        <f t="shared" ref="J7:K7" si="3">J5-J6</f>
        <v>26.193999999999999</v>
      </c>
      <c r="K7" s="35">
        <f t="shared" si="3"/>
        <v>26.657</v>
      </c>
      <c r="L7" s="35">
        <f t="shared" ref="L7:M7" si="4">L5-L6</f>
        <v>29.756000000000004</v>
      </c>
      <c r="M7" s="35">
        <f t="shared" si="4"/>
        <v>37.323</v>
      </c>
      <c r="N7" s="56">
        <f t="shared" ref="N7:O7" si="5">N5-N6</f>
        <v>46.441999999999993</v>
      </c>
      <c r="O7" s="35">
        <f t="shared" si="5"/>
        <v>37.679000000000002</v>
      </c>
      <c r="P7" s="35">
        <f t="shared" ref="P7:Q7" si="6">P5-P6</f>
        <v>42.150999999999996</v>
      </c>
      <c r="Q7" s="35">
        <f t="shared" si="6"/>
        <v>44.686000000000007</v>
      </c>
      <c r="R7" s="56">
        <f t="shared" ref="R7:S7" si="7">R5-R6</f>
        <v>50.807999999999993</v>
      </c>
      <c r="S7" s="35">
        <f t="shared" si="7"/>
        <v>49.522999999999996</v>
      </c>
      <c r="T7" s="35">
        <f t="shared" ref="T7:U7" si="8">T5-T6</f>
        <v>49</v>
      </c>
      <c r="U7" s="35">
        <f>U5*T20</f>
        <v>47.632033536585368</v>
      </c>
      <c r="V7" s="65"/>
    </row>
    <row r="8" spans="1:22" s="8" customFormat="1" x14ac:dyDescent="0.15">
      <c r="A8" s="8" t="s">
        <v>7</v>
      </c>
      <c r="B8" s="31"/>
      <c r="C8" s="31"/>
      <c r="D8" s="31"/>
      <c r="E8" s="31"/>
      <c r="F8" s="30"/>
      <c r="G8" s="31"/>
      <c r="H8" s="31"/>
      <c r="I8" s="31"/>
      <c r="J8" s="30">
        <v>5.4580000000000002</v>
      </c>
      <c r="K8" s="31">
        <v>6.0229999999999997</v>
      </c>
      <c r="L8" s="31">
        <v>9.3510000000000009</v>
      </c>
      <c r="M8" s="31">
        <v>9.7759999999999998</v>
      </c>
      <c r="N8" s="30">
        <v>8.8339999999999996</v>
      </c>
      <c r="O8" s="31">
        <v>10.981</v>
      </c>
      <c r="P8" s="31">
        <v>12.856</v>
      </c>
      <c r="Q8" s="31">
        <v>13.4</v>
      </c>
      <c r="R8" s="30">
        <v>14.263999999999999</v>
      </c>
      <c r="S8" s="31">
        <v>16</v>
      </c>
      <c r="T8" s="31">
        <v>16</v>
      </c>
      <c r="U8" s="31">
        <f>T8</f>
        <v>16</v>
      </c>
      <c r="V8" s="65"/>
    </row>
    <row r="9" spans="1:22" s="8" customFormat="1" x14ac:dyDescent="0.15">
      <c r="A9" s="8" t="s">
        <v>8</v>
      </c>
      <c r="B9" s="31"/>
      <c r="C9" s="31"/>
      <c r="D9" s="31"/>
      <c r="E9" s="31"/>
      <c r="F9" s="30"/>
      <c r="G9" s="31"/>
      <c r="H9" s="31"/>
      <c r="I9" s="31"/>
      <c r="J9" s="30">
        <v>11.039</v>
      </c>
      <c r="K9" s="31">
        <v>12.132</v>
      </c>
      <c r="L9" s="31">
        <v>14.351000000000001</v>
      </c>
      <c r="M9" s="31">
        <v>17.648</v>
      </c>
      <c r="N9" s="30">
        <v>17.538</v>
      </c>
      <c r="O9" s="31">
        <v>18.085000000000001</v>
      </c>
      <c r="P9" s="31">
        <v>17.428000000000001</v>
      </c>
      <c r="Q9" s="31">
        <v>16.728999999999999</v>
      </c>
      <c r="R9" s="30">
        <v>21.17</v>
      </c>
      <c r="S9" s="31">
        <v>26</v>
      </c>
      <c r="T9" s="31">
        <v>29</v>
      </c>
      <c r="U9" s="31">
        <f>T9</f>
        <v>29</v>
      </c>
      <c r="V9" s="65"/>
    </row>
    <row r="10" spans="1:22" s="8" customFormat="1" x14ac:dyDescent="0.15">
      <c r="A10" s="8" t="s">
        <v>9</v>
      </c>
      <c r="B10" s="31"/>
      <c r="C10" s="31"/>
      <c r="D10" s="31"/>
      <c r="E10" s="31"/>
      <c r="F10" s="30"/>
      <c r="G10" s="31"/>
      <c r="H10" s="31"/>
      <c r="I10" s="31"/>
      <c r="J10" s="30">
        <v>13.112</v>
      </c>
      <c r="K10" s="31">
        <v>13.433999999999999</v>
      </c>
      <c r="L10" s="31">
        <v>16.478999999999999</v>
      </c>
      <c r="M10" s="31">
        <v>24.533999999999999</v>
      </c>
      <c r="N10" s="30">
        <v>23.161000000000001</v>
      </c>
      <c r="O10" s="31">
        <v>21.832999999999998</v>
      </c>
      <c r="P10" s="31">
        <v>24.920999999999999</v>
      </c>
      <c r="Q10" s="31">
        <v>23.867000000000001</v>
      </c>
      <c r="R10" s="30">
        <v>25.518999999999998</v>
      </c>
      <c r="S10" s="31">
        <v>22</v>
      </c>
      <c r="T10" s="31">
        <v>27</v>
      </c>
      <c r="U10" s="31">
        <f>T10+3</f>
        <v>30</v>
      </c>
      <c r="V10" s="65"/>
    </row>
    <row r="11" spans="1:22" s="8" customFormat="1" x14ac:dyDescent="0.15">
      <c r="A11" s="8" t="s">
        <v>10</v>
      </c>
      <c r="B11" s="31"/>
      <c r="C11" s="31"/>
      <c r="D11" s="31"/>
      <c r="E11" s="31"/>
      <c r="F11" s="30"/>
      <c r="G11" s="31"/>
      <c r="H11" s="31"/>
      <c r="I11" s="31"/>
      <c r="J11" s="56">
        <f t="shared" ref="J11:K11" si="9">SUM(J8:J10)</f>
        <v>29.609000000000002</v>
      </c>
      <c r="K11" s="35">
        <f t="shared" si="9"/>
        <v>31.588999999999999</v>
      </c>
      <c r="L11" s="35">
        <f t="shared" ref="L11:M11" si="10">SUM(L8:L10)</f>
        <v>40.180999999999997</v>
      </c>
      <c r="M11" s="35">
        <f t="shared" si="10"/>
        <v>51.957999999999998</v>
      </c>
      <c r="N11" s="56">
        <f t="shared" ref="N11:O11" si="11">SUM(N8:N10)</f>
        <v>49.533000000000001</v>
      </c>
      <c r="O11" s="35">
        <f t="shared" si="11"/>
        <v>50.899000000000001</v>
      </c>
      <c r="P11" s="35">
        <f t="shared" ref="P11:Q11" si="12">SUM(P8:P10)</f>
        <v>55.204999999999998</v>
      </c>
      <c r="Q11" s="35">
        <f t="shared" si="12"/>
        <v>53.995999999999995</v>
      </c>
      <c r="R11" s="56">
        <f t="shared" ref="R11:S11" si="13">SUM(R8:R10)</f>
        <v>60.952999999999996</v>
      </c>
      <c r="S11" s="35">
        <f t="shared" si="13"/>
        <v>64</v>
      </c>
      <c r="T11" s="35">
        <f t="shared" ref="T11:U11" si="14">SUM(T8:T10)</f>
        <v>72</v>
      </c>
      <c r="U11" s="35">
        <f t="shared" si="14"/>
        <v>75</v>
      </c>
      <c r="V11" s="65"/>
    </row>
    <row r="12" spans="1:22" s="8" customFormat="1" x14ac:dyDescent="0.15">
      <c r="A12" s="8" t="s">
        <v>11</v>
      </c>
      <c r="B12" s="31"/>
      <c r="C12" s="31"/>
      <c r="D12" s="31"/>
      <c r="E12" s="31"/>
      <c r="F12" s="30"/>
      <c r="G12" s="31"/>
      <c r="H12" s="31"/>
      <c r="I12" s="31"/>
      <c r="J12" s="56">
        <f t="shared" ref="J12:K12" si="15">J7-J11</f>
        <v>-3.4150000000000027</v>
      </c>
      <c r="K12" s="35">
        <f t="shared" si="15"/>
        <v>-4.9319999999999986</v>
      </c>
      <c r="L12" s="35">
        <f t="shared" ref="L12:P12" si="16">L7-L11</f>
        <v>-10.424999999999994</v>
      </c>
      <c r="M12" s="35">
        <f t="shared" ref="M12:O12" si="17">M7-M11</f>
        <v>-14.634999999999998</v>
      </c>
      <c r="N12" s="56">
        <f t="shared" si="17"/>
        <v>-3.0910000000000082</v>
      </c>
      <c r="O12" s="35">
        <f t="shared" si="17"/>
        <v>-13.219999999999999</v>
      </c>
      <c r="P12" s="35">
        <f t="shared" si="16"/>
        <v>-13.054000000000002</v>
      </c>
      <c r="Q12" s="35">
        <f t="shared" ref="Q12:S12" si="18">Q7-Q11</f>
        <v>-9.3099999999999881</v>
      </c>
      <c r="R12" s="56">
        <f t="shared" si="18"/>
        <v>-10.145000000000003</v>
      </c>
      <c r="S12" s="35">
        <f t="shared" si="18"/>
        <v>-14.477000000000004</v>
      </c>
      <c r="T12" s="35">
        <f t="shared" ref="T12:U12" si="19">T7-T11</f>
        <v>-23</v>
      </c>
      <c r="U12" s="35">
        <f t="shared" si="19"/>
        <v>-27.367966463414632</v>
      </c>
      <c r="V12" s="65"/>
    </row>
    <row r="13" spans="1:22" s="8" customFormat="1" x14ac:dyDescent="0.15">
      <c r="A13" s="8" t="s">
        <v>12</v>
      </c>
      <c r="B13" s="31"/>
      <c r="C13" s="31"/>
      <c r="D13" s="31"/>
      <c r="E13" s="31"/>
      <c r="F13" s="30"/>
      <c r="G13" s="31"/>
      <c r="H13" s="31"/>
      <c r="I13" s="31"/>
      <c r="J13" s="30">
        <f>-0.965+0.641</f>
        <v>-0.32399999999999995</v>
      </c>
      <c r="K13" s="31">
        <f>-0.993+1.263</f>
        <v>0.26999999999999991</v>
      </c>
      <c r="L13" s="31">
        <f>-1.674-1.404+1.606</f>
        <v>-1.4719999999999998</v>
      </c>
      <c r="M13" s="31">
        <f>-2.83-0.796-0.001</f>
        <v>-3.6270000000000002</v>
      </c>
      <c r="N13" s="30">
        <f>-2.909-1.321+16.995-0.281</f>
        <v>12.484</v>
      </c>
      <c r="O13" s="31">
        <f>-3.19-4.75-3.013</f>
        <v>-10.952999999999999</v>
      </c>
      <c r="P13" s="31">
        <f>-3.3-3.52-17.173+1.414</f>
        <v>-22.578999999999997</v>
      </c>
      <c r="Q13" s="31">
        <f>-1.896-1.309</f>
        <v>-3.2050000000000001</v>
      </c>
      <c r="R13" s="30">
        <f>-1.933+2.18</f>
        <v>0.24700000000000011</v>
      </c>
      <c r="S13" s="31">
        <v>-2</v>
      </c>
      <c r="T13" s="31">
        <f>-2-2-4</f>
        <v>-8</v>
      </c>
      <c r="U13" s="31">
        <v>0</v>
      </c>
      <c r="V13" s="65"/>
    </row>
    <row r="14" spans="1:22" s="8" customFormat="1" x14ac:dyDescent="0.15">
      <c r="A14" s="8" t="s">
        <v>13</v>
      </c>
      <c r="B14" s="31"/>
      <c r="C14" s="31"/>
      <c r="D14" s="31"/>
      <c r="E14" s="31"/>
      <c r="F14" s="30"/>
      <c r="G14" s="31"/>
      <c r="H14" s="31"/>
      <c r="I14" s="31"/>
      <c r="J14" s="56">
        <f t="shared" ref="J14:K14" si="20">J12+J13</f>
        <v>-3.7390000000000025</v>
      </c>
      <c r="K14" s="35">
        <f t="shared" si="20"/>
        <v>-4.661999999999999</v>
      </c>
      <c r="L14" s="35">
        <f t="shared" ref="L14:M14" si="21">L12+L13</f>
        <v>-11.896999999999993</v>
      </c>
      <c r="M14" s="35">
        <f t="shared" si="21"/>
        <v>-18.261999999999997</v>
      </c>
      <c r="N14" s="56">
        <f t="shared" ref="N14:O14" si="22">N12+N13</f>
        <v>9.3929999999999918</v>
      </c>
      <c r="O14" s="35">
        <f t="shared" si="22"/>
        <v>-24.172999999999998</v>
      </c>
      <c r="P14" s="35">
        <f t="shared" ref="P14:U14" si="23">P12+P13</f>
        <v>-35.632999999999996</v>
      </c>
      <c r="Q14" s="35">
        <f t="shared" si="23"/>
        <v>-12.514999999999988</v>
      </c>
      <c r="R14" s="56">
        <f t="shared" si="23"/>
        <v>-9.8980000000000032</v>
      </c>
      <c r="S14" s="35">
        <f t="shared" si="23"/>
        <v>-16.477000000000004</v>
      </c>
      <c r="T14" s="35">
        <f t="shared" si="23"/>
        <v>-31</v>
      </c>
      <c r="U14" s="35">
        <f t="shared" si="23"/>
        <v>-27.367966463414632</v>
      </c>
      <c r="V14" s="65"/>
    </row>
    <row r="15" spans="1:22" s="8" customFormat="1" x14ac:dyDescent="0.15">
      <c r="A15" s="8" t="s">
        <v>14</v>
      </c>
      <c r="B15" s="31"/>
      <c r="C15" s="31"/>
      <c r="D15" s="31"/>
      <c r="E15" s="31"/>
      <c r="F15" s="30"/>
      <c r="G15" s="31"/>
      <c r="H15" s="31"/>
      <c r="I15" s="31"/>
      <c r="J15" s="30">
        <v>-1.7999999999999999E-2</v>
      </c>
      <c r="K15" s="31">
        <v>-3.6999999999999998E-2</v>
      </c>
      <c r="L15" s="31">
        <v>-0.04</v>
      </c>
      <c r="M15" s="31">
        <v>8.2000000000000003E-2</v>
      </c>
      <c r="N15" s="30">
        <v>0.37</v>
      </c>
      <c r="O15" s="31">
        <v>0.43</v>
      </c>
      <c r="P15" s="31">
        <v>-0.11700000000000001</v>
      </c>
      <c r="Q15" s="31">
        <v>0.46700000000000003</v>
      </c>
      <c r="R15" s="30">
        <v>0.1</v>
      </c>
      <c r="S15" s="31">
        <v>-1</v>
      </c>
      <c r="T15" s="31">
        <v>0.1</v>
      </c>
      <c r="U15" s="31">
        <f>T15</f>
        <v>0.1</v>
      </c>
      <c r="V15" s="65"/>
    </row>
    <row r="16" spans="1:22" s="12" customFormat="1" x14ac:dyDescent="0.15">
      <c r="A16" s="12" t="s">
        <v>15</v>
      </c>
      <c r="B16" s="31"/>
      <c r="C16" s="28"/>
      <c r="D16" s="28"/>
      <c r="E16" s="28"/>
      <c r="F16" s="29"/>
      <c r="G16" s="28"/>
      <c r="H16" s="28"/>
      <c r="I16" s="28"/>
      <c r="J16" s="55">
        <f t="shared" ref="J16:Q16" si="24">J14-J15</f>
        <v>-3.7210000000000027</v>
      </c>
      <c r="K16" s="33">
        <f t="shared" si="24"/>
        <v>-4.6249999999999991</v>
      </c>
      <c r="L16" s="33">
        <f t="shared" si="24"/>
        <v>-11.856999999999994</v>
      </c>
      <c r="M16" s="33">
        <f t="shared" si="24"/>
        <v>-18.343999999999998</v>
      </c>
      <c r="N16" s="55">
        <f t="shared" si="24"/>
        <v>9.0229999999999926</v>
      </c>
      <c r="O16" s="33">
        <f t="shared" si="24"/>
        <v>-24.602999999999998</v>
      </c>
      <c r="P16" s="33">
        <f t="shared" si="24"/>
        <v>-35.515999999999998</v>
      </c>
      <c r="Q16" s="33">
        <f t="shared" si="24"/>
        <v>-12.981999999999989</v>
      </c>
      <c r="R16" s="55">
        <f t="shared" ref="R16:S16" si="25">R14-R15</f>
        <v>-9.9980000000000029</v>
      </c>
      <c r="S16" s="33">
        <f t="shared" si="25"/>
        <v>-15.477000000000004</v>
      </c>
      <c r="T16" s="33">
        <f t="shared" ref="T16:U16" si="26">T14-T15</f>
        <v>-31.1</v>
      </c>
      <c r="U16" s="33">
        <f t="shared" si="26"/>
        <v>-27.467966463414633</v>
      </c>
      <c r="V16" s="64"/>
    </row>
    <row r="17" spans="1:22" x14ac:dyDescent="0.15">
      <c r="A17" s="6" t="s">
        <v>16</v>
      </c>
      <c r="B17" s="31"/>
      <c r="J17" s="57">
        <f t="shared" ref="J17:K17" si="27">IFERROR(J16/J18,0)</f>
        <v>0</v>
      </c>
      <c r="K17" s="36">
        <f t="shared" si="27"/>
        <v>0</v>
      </c>
      <c r="L17" s="36">
        <f t="shared" ref="L17:M17" si="28">IFERROR(L16/L18,0)</f>
        <v>-0.60733493827792828</v>
      </c>
      <c r="M17" s="36">
        <f t="shared" si="28"/>
        <v>0</v>
      </c>
      <c r="N17" s="57">
        <f t="shared" ref="N17:O17" si="29">IFERROR(N16/N18,0)</f>
        <v>0</v>
      </c>
      <c r="O17" s="36">
        <f t="shared" si="29"/>
        <v>0</v>
      </c>
      <c r="P17" s="36">
        <f t="shared" ref="P17:U17" si="30">IFERROR(P16/P18,0)</f>
        <v>-0.45391932226915843</v>
      </c>
      <c r="Q17" s="36">
        <f t="shared" si="30"/>
        <v>-0.16515681927507031</v>
      </c>
      <c r="R17" s="57">
        <f t="shared" si="30"/>
        <v>-0.12708783526121778</v>
      </c>
      <c r="S17" s="36">
        <f t="shared" si="30"/>
        <v>-0.1902075729086016</v>
      </c>
      <c r="T17" s="36">
        <f t="shared" si="30"/>
        <v>-0.3744146009655322</v>
      </c>
      <c r="U17" s="36">
        <f t="shared" si="30"/>
        <v>-0.33068835057022539</v>
      </c>
    </row>
    <row r="18" spans="1:22" s="8" customFormat="1" x14ac:dyDescent="0.15">
      <c r="A18" s="8" t="s">
        <v>17</v>
      </c>
      <c r="B18" s="31"/>
      <c r="C18" s="28"/>
      <c r="D18" s="28"/>
      <c r="E18" s="28"/>
      <c r="F18" s="29"/>
      <c r="G18" s="28"/>
      <c r="H18" s="28"/>
      <c r="I18" s="28"/>
      <c r="J18" s="30"/>
      <c r="K18" s="31"/>
      <c r="L18" s="31">
        <v>19.523</v>
      </c>
      <c r="M18" s="31"/>
      <c r="N18" s="30"/>
      <c r="O18" s="31"/>
      <c r="P18" s="31">
        <f>11.5+66.742979</f>
        <v>78.242979000000005</v>
      </c>
      <c r="Q18" s="31">
        <f>11.502993+67.101088</f>
        <v>78.604081000000008</v>
      </c>
      <c r="R18" s="30">
        <v>78.67</v>
      </c>
      <c r="S18" s="31">
        <v>81.369</v>
      </c>
      <c r="T18" s="31">
        <v>83.063000000000002</v>
      </c>
      <c r="U18" s="31">
        <f>T18</f>
        <v>83.063000000000002</v>
      </c>
      <c r="V18" s="65"/>
    </row>
    <row r="19" spans="1:22" x14ac:dyDescent="0.15">
      <c r="B19" s="31"/>
      <c r="J19" s="30"/>
      <c r="K19" s="31"/>
      <c r="L19" s="31"/>
      <c r="M19" s="31"/>
      <c r="N19" s="30"/>
      <c r="O19" s="31"/>
      <c r="Q19" s="31"/>
    </row>
    <row r="20" spans="1:22" x14ac:dyDescent="0.15">
      <c r="A20" s="6" t="s">
        <v>19</v>
      </c>
      <c r="B20" s="31"/>
      <c r="J20" s="58">
        <f t="shared" ref="J20:Q20" si="31">IFERROR(J7/J5,0)</f>
        <v>0.60423058291619569</v>
      </c>
      <c r="K20" s="39">
        <f t="shared" si="31"/>
        <v>0.59499575911789648</v>
      </c>
      <c r="L20" s="39">
        <f t="shared" si="31"/>
        <v>0.5863366765847603</v>
      </c>
      <c r="M20" s="39">
        <f t="shared" si="31"/>
        <v>0.5953106308318048</v>
      </c>
      <c r="N20" s="58">
        <f t="shared" si="31"/>
        <v>0.6231650699084883</v>
      </c>
      <c r="O20" s="39">
        <f t="shared" si="31"/>
        <v>0.55786029433537654</v>
      </c>
      <c r="P20" s="39">
        <f t="shared" si="31"/>
        <v>0.5724860107567773</v>
      </c>
      <c r="Q20" s="39">
        <f t="shared" si="31"/>
        <v>0.58863202265691894</v>
      </c>
      <c r="R20" s="58">
        <f t="shared" ref="R20:S20" si="32">IFERROR(R7/R5,0)</f>
        <v>0.62474485404421709</v>
      </c>
      <c r="S20" s="39">
        <f t="shared" si="32"/>
        <v>0.61139506172839497</v>
      </c>
      <c r="T20" s="39">
        <f t="shared" ref="T20:U20" si="33">IFERROR(T7/T5,0)</f>
        <v>0.59756097560975607</v>
      </c>
      <c r="U20" s="39">
        <f t="shared" si="33"/>
        <v>0.59756097560975607</v>
      </c>
    </row>
    <row r="21" spans="1:22" x14ac:dyDescent="0.15">
      <c r="A21" s="6" t="s">
        <v>20</v>
      </c>
      <c r="B21" s="31"/>
      <c r="J21" s="59">
        <f t="shared" ref="J21:Q21" si="34">IFERROR(J12/J5,0)</f>
        <v>-7.8775576111277779E-2</v>
      </c>
      <c r="K21" s="40">
        <f t="shared" si="34"/>
        <v>-0.11008437123342706</v>
      </c>
      <c r="L21" s="40">
        <f t="shared" si="34"/>
        <v>-0.20542276695107278</v>
      </c>
      <c r="M21" s="40">
        <f t="shared" si="34"/>
        <v>-0.23343169311747344</v>
      </c>
      <c r="N21" s="59">
        <f t="shared" si="34"/>
        <v>-4.1475458229342892E-2</v>
      </c>
      <c r="O21" s="40">
        <f t="shared" si="34"/>
        <v>-0.19573006425631456</v>
      </c>
      <c r="P21" s="40">
        <f t="shared" si="34"/>
        <v>-0.17729668061063728</v>
      </c>
      <c r="Q21" s="40">
        <f t="shared" si="34"/>
        <v>-0.12263715998155815</v>
      </c>
      <c r="R21" s="59">
        <f t="shared" ref="R21:S21" si="35">IFERROR(R12/R5,0)</f>
        <v>-0.12474485404421715</v>
      </c>
      <c r="S21" s="40">
        <f t="shared" si="35"/>
        <v>-0.17872839506172844</v>
      </c>
      <c r="T21" s="40">
        <f t="shared" ref="T21:U21" si="36">IFERROR(T12/T5,0)</f>
        <v>-0.28048780487804881</v>
      </c>
      <c r="U21" s="40">
        <f t="shared" si="36"/>
        <v>-0.34334097299817945</v>
      </c>
    </row>
    <row r="22" spans="1:22" x14ac:dyDescent="0.15">
      <c r="A22" s="6" t="s">
        <v>21</v>
      </c>
      <c r="B22" s="31"/>
      <c r="J22" s="59">
        <f t="shared" ref="J22:Q22" si="37">IFERROR(J15/J14,0)</f>
        <v>4.8141214228403281E-3</v>
      </c>
      <c r="K22" s="40">
        <f t="shared" si="37"/>
        <v>7.9365079365079378E-3</v>
      </c>
      <c r="L22" s="40">
        <f t="shared" si="37"/>
        <v>3.3621921492813333E-3</v>
      </c>
      <c r="M22" s="40">
        <f t="shared" si="37"/>
        <v>-4.4901982258241163E-3</v>
      </c>
      <c r="N22" s="59">
        <f t="shared" si="37"/>
        <v>3.9391035877781359E-2</v>
      </c>
      <c r="O22" s="40">
        <f t="shared" si="37"/>
        <v>-1.7788441649774542E-2</v>
      </c>
      <c r="P22" s="40">
        <f t="shared" si="37"/>
        <v>3.2834731849689901E-3</v>
      </c>
      <c r="Q22" s="40">
        <f t="shared" si="37"/>
        <v>-3.7315221733919338E-2</v>
      </c>
      <c r="R22" s="59">
        <f t="shared" ref="R22:S22" si="38">IFERROR(R15/R14,0)</f>
        <v>-1.0103051121438672E-2</v>
      </c>
      <c r="S22" s="40">
        <f t="shared" si="38"/>
        <v>6.0690659707471006E-2</v>
      </c>
      <c r="T22" s="40">
        <f t="shared" ref="T22:U22" si="39">IFERROR(T15/T14,0)</f>
        <v>-3.2258064516129032E-3</v>
      </c>
      <c r="U22" s="40">
        <f t="shared" si="39"/>
        <v>-3.6539068452045762E-3</v>
      </c>
    </row>
    <row r="23" spans="1:22" x14ac:dyDescent="0.15">
      <c r="B23" s="31"/>
      <c r="C23" s="31"/>
      <c r="D23" s="31"/>
      <c r="E23" s="31"/>
      <c r="J23" s="30"/>
      <c r="K23" s="31"/>
      <c r="L23" s="31"/>
      <c r="M23" s="31"/>
      <c r="N23" s="30"/>
      <c r="O23" s="31"/>
      <c r="Q23" s="31"/>
    </row>
    <row r="24" spans="1:22" s="12" customFormat="1" x14ac:dyDescent="0.15">
      <c r="A24" s="12" t="s">
        <v>18</v>
      </c>
      <c r="B24" s="37"/>
      <c r="C24" s="37"/>
      <c r="D24" s="37"/>
      <c r="E24" s="37"/>
      <c r="F24" s="29"/>
      <c r="G24" s="28"/>
      <c r="H24" s="28"/>
      <c r="I24" s="28"/>
      <c r="J24" s="60"/>
      <c r="K24" s="37"/>
      <c r="L24" s="37"/>
      <c r="M24" s="37"/>
      <c r="N24" s="60">
        <f t="shared" ref="N24:U24" si="40">IFERROR((N5/J5)-1,0)</f>
        <v>0.71912989319738863</v>
      </c>
      <c r="O24" s="37">
        <f t="shared" si="40"/>
        <v>0.50756662648988882</v>
      </c>
      <c r="P24" s="37">
        <f t="shared" si="40"/>
        <v>0.45082661727324669</v>
      </c>
      <c r="Q24" s="37">
        <f t="shared" si="40"/>
        <v>0.21086211021612589</v>
      </c>
      <c r="R24" s="60">
        <f t="shared" si="40"/>
        <v>9.1243324477363608E-2</v>
      </c>
      <c r="S24" s="37">
        <f t="shared" si="40"/>
        <v>0.19925379763702589</v>
      </c>
      <c r="T24" s="37">
        <f t="shared" si="40"/>
        <v>0.11370674200032593</v>
      </c>
      <c r="U24" s="37">
        <f t="shared" si="40"/>
        <v>5.0000000000000044E-2</v>
      </c>
      <c r="V24" s="64"/>
    </row>
    <row r="25" spans="1:22" s="12" customFormat="1" x14ac:dyDescent="0.15">
      <c r="A25" s="6" t="s">
        <v>58</v>
      </c>
      <c r="B25" s="38"/>
      <c r="C25" s="38"/>
      <c r="D25" s="38"/>
      <c r="E25" s="38"/>
      <c r="F25" s="29"/>
      <c r="G25" s="28"/>
      <c r="H25" s="28"/>
      <c r="I25" s="28"/>
      <c r="J25" s="29"/>
      <c r="K25" s="28"/>
      <c r="L25" s="28"/>
      <c r="M25" s="28"/>
      <c r="N25" s="61">
        <f t="shared" ref="N25:U27" si="41">N8/J8-1</f>
        <v>0.61854159032612666</v>
      </c>
      <c r="O25" s="38">
        <f t="shared" si="41"/>
        <v>0.82317781836294213</v>
      </c>
      <c r="P25" s="38">
        <f t="shared" si="41"/>
        <v>0.37482622179446023</v>
      </c>
      <c r="Q25" s="38">
        <f t="shared" si="41"/>
        <v>0.37070376432078556</v>
      </c>
      <c r="R25" s="61">
        <f t="shared" si="41"/>
        <v>0.61467059089880016</v>
      </c>
      <c r="S25" s="38">
        <f t="shared" si="41"/>
        <v>0.45706219834259176</v>
      </c>
      <c r="T25" s="38">
        <f t="shared" si="41"/>
        <v>0.24455507156191669</v>
      </c>
      <c r="U25" s="38">
        <f t="shared" si="41"/>
        <v>0.19402985074626855</v>
      </c>
      <c r="V25" s="64"/>
    </row>
    <row r="26" spans="1:22" s="12" customFormat="1" x14ac:dyDescent="0.15">
      <c r="A26" s="6" t="s">
        <v>59</v>
      </c>
      <c r="B26" s="38"/>
      <c r="C26" s="38"/>
      <c r="D26" s="38"/>
      <c r="E26" s="38"/>
      <c r="F26" s="29"/>
      <c r="G26" s="28"/>
      <c r="H26" s="28"/>
      <c r="I26" s="28"/>
      <c r="J26" s="29"/>
      <c r="K26" s="28"/>
      <c r="L26" s="28"/>
      <c r="M26" s="28"/>
      <c r="N26" s="61">
        <f t="shared" si="41"/>
        <v>0.58873086330283542</v>
      </c>
      <c r="O26" s="38">
        <f t="shared" si="41"/>
        <v>0.4906857896472141</v>
      </c>
      <c r="P26" s="38">
        <f t="shared" si="41"/>
        <v>0.21441014563445049</v>
      </c>
      <c r="Q26" s="38">
        <f t="shared" si="41"/>
        <v>-5.2073889392565742E-2</v>
      </c>
      <c r="R26" s="61">
        <f t="shared" si="41"/>
        <v>0.20709316911848563</v>
      </c>
      <c r="S26" s="38">
        <f t="shared" si="41"/>
        <v>0.43765551562068006</v>
      </c>
      <c r="T26" s="38">
        <f t="shared" si="41"/>
        <v>0.66398898324535227</v>
      </c>
      <c r="U26" s="38">
        <f t="shared" si="41"/>
        <v>0.73351664773746195</v>
      </c>
      <c r="V26" s="64"/>
    </row>
    <row r="27" spans="1:22" s="12" customFormat="1" x14ac:dyDescent="0.15">
      <c r="A27" s="6" t="s">
        <v>60</v>
      </c>
      <c r="B27" s="38"/>
      <c r="C27" s="38"/>
      <c r="D27" s="38"/>
      <c r="E27" s="38"/>
      <c r="F27" s="29"/>
      <c r="G27" s="28"/>
      <c r="H27" s="28"/>
      <c r="I27" s="28"/>
      <c r="J27" s="29"/>
      <c r="K27" s="28"/>
      <c r="L27" s="28"/>
      <c r="M27" s="28"/>
      <c r="N27" s="61">
        <f t="shared" si="41"/>
        <v>0.76639719341061641</v>
      </c>
      <c r="O27" s="38">
        <f t="shared" si="41"/>
        <v>0.62520470448116705</v>
      </c>
      <c r="P27" s="38">
        <f t="shared" si="41"/>
        <v>0.51228836701256153</v>
      </c>
      <c r="Q27" s="38">
        <f t="shared" si="41"/>
        <v>-2.7186761229314294E-2</v>
      </c>
      <c r="R27" s="61">
        <f t="shared" si="41"/>
        <v>0.10180907560122598</v>
      </c>
      <c r="S27" s="38">
        <f t="shared" si="41"/>
        <v>7.6489717400265445E-3</v>
      </c>
      <c r="T27" s="38">
        <f t="shared" si="41"/>
        <v>8.3423618634886232E-2</v>
      </c>
      <c r="U27" s="38">
        <f t="shared" si="41"/>
        <v>0.25696568483680382</v>
      </c>
      <c r="V27" s="64"/>
    </row>
    <row r="29" spans="1:22" s="12" customFormat="1" x14ac:dyDescent="0.15">
      <c r="A29" s="12" t="s">
        <v>33</v>
      </c>
      <c r="B29" s="31"/>
      <c r="C29" s="31"/>
      <c r="D29" s="31"/>
      <c r="E29" s="28"/>
      <c r="F29" s="29"/>
      <c r="G29" s="28"/>
      <c r="H29" s="28"/>
      <c r="I29" s="33">
        <f t="shared" ref="I29" si="42">I30-I31</f>
        <v>169.607</v>
      </c>
      <c r="J29" s="29"/>
      <c r="K29" s="28"/>
      <c r="L29" s="28"/>
      <c r="M29" s="33">
        <f t="shared" ref="M29:P29" si="43">M30-M31</f>
        <v>166.10900000000001</v>
      </c>
      <c r="N29" s="55">
        <f t="shared" ref="N29:O29" si="44">N30-N31</f>
        <v>366.678</v>
      </c>
      <c r="O29" s="33">
        <f t="shared" si="44"/>
        <v>232.01799999999997</v>
      </c>
      <c r="P29" s="33">
        <f t="shared" si="43"/>
        <v>489.53700000000003</v>
      </c>
      <c r="Q29" s="33">
        <f t="shared" ref="Q29" si="45">Q30-Q31</f>
        <v>425.375</v>
      </c>
      <c r="R29" s="55">
        <f>R30-R31</f>
        <v>460.12300000000005</v>
      </c>
      <c r="S29" s="33">
        <f t="shared" ref="S29:T29" si="46">S30-S31</f>
        <v>438</v>
      </c>
      <c r="T29" s="33">
        <f t="shared" si="46"/>
        <v>485</v>
      </c>
      <c r="U29" s="28"/>
      <c r="V29" s="64"/>
    </row>
    <row r="30" spans="1:22" x14ac:dyDescent="0.15">
      <c r="A30" s="6" t="s">
        <v>34</v>
      </c>
      <c r="B30" s="31"/>
      <c r="C30" s="31"/>
      <c r="D30" s="31"/>
      <c r="I30" s="31">
        <f>139.538+26.069+4</f>
        <v>169.607</v>
      </c>
      <c r="M30" s="31">
        <f>188.986+51.639+3.235</f>
        <v>243.86</v>
      </c>
      <c r="N30" s="30">
        <f>437.892+1.508</f>
        <v>439.4</v>
      </c>
      <c r="O30" s="31">
        <f>258.72+37.109+2.549</f>
        <v>298.37799999999999</v>
      </c>
      <c r="P30" s="31">
        <f>509.73+52.336+1.563</f>
        <v>563.62900000000002</v>
      </c>
      <c r="Q30" s="31">
        <f>437.892+58.697+1.508</f>
        <v>498.09699999999998</v>
      </c>
      <c r="R30" s="30">
        <f>533.363+0.51</f>
        <v>533.87300000000005</v>
      </c>
      <c r="S30" s="31">
        <v>500</v>
      </c>
      <c r="T30" s="31">
        <v>485</v>
      </c>
    </row>
    <row r="31" spans="1:22" x14ac:dyDescent="0.15">
      <c r="A31" s="6" t="s">
        <v>35</v>
      </c>
      <c r="B31" s="31"/>
      <c r="C31" s="31"/>
      <c r="D31" s="31"/>
      <c r="I31" s="31">
        <v>0</v>
      </c>
      <c r="M31" s="31">
        <f>51.082+26.669</f>
        <v>77.751000000000005</v>
      </c>
      <c r="N31" s="30">
        <f>5.635+67.087</f>
        <v>72.722000000000008</v>
      </c>
      <c r="O31" s="31">
        <v>66.36</v>
      </c>
      <c r="P31" s="31">
        <f>5.625+68.467</f>
        <v>74.091999999999999</v>
      </c>
      <c r="Q31" s="31">
        <f>5.635+67.087</f>
        <v>72.722000000000008</v>
      </c>
      <c r="R31" s="30">
        <f>8.017+65.733</f>
        <v>73.75</v>
      </c>
      <c r="S31" s="31">
        <f>6+56</f>
        <v>62</v>
      </c>
      <c r="T31" s="31">
        <v>0</v>
      </c>
    </row>
    <row r="33" spans="1:22" x14ac:dyDescent="0.15">
      <c r="A33" s="26" t="s">
        <v>74</v>
      </c>
      <c r="B33" s="31"/>
      <c r="C33" s="31"/>
      <c r="D33" s="31"/>
      <c r="I33" s="41">
        <f>9.725+1.684</f>
        <v>11.408999999999999</v>
      </c>
      <c r="M33" s="41">
        <f>158.766+79.541</f>
        <v>238.30699999999999</v>
      </c>
      <c r="N33" s="30">
        <f>170.56+59.973</f>
        <v>230.53300000000002</v>
      </c>
      <c r="O33" s="31">
        <f>167.57+71.264</f>
        <v>238.834</v>
      </c>
      <c r="P33" s="31">
        <f>170.727+65.873</f>
        <v>236.60000000000002</v>
      </c>
      <c r="Q33" s="31">
        <f>170.56+59.973</f>
        <v>230.53300000000002</v>
      </c>
      <c r="R33" s="30">
        <f>170.56+57.174</f>
        <v>227.73400000000001</v>
      </c>
      <c r="S33" s="31">
        <f>171+54</f>
        <v>225</v>
      </c>
      <c r="T33" s="31">
        <f>171+52</f>
        <v>223</v>
      </c>
    </row>
    <row r="34" spans="1:22" x14ac:dyDescent="0.15">
      <c r="A34" s="26" t="s">
        <v>75</v>
      </c>
      <c r="B34" s="31"/>
      <c r="C34" s="31"/>
      <c r="D34" s="31"/>
      <c r="I34" s="41">
        <v>245.33699999999999</v>
      </c>
      <c r="M34" s="41">
        <v>570.83699999999999</v>
      </c>
      <c r="N34" s="30">
        <v>836.88400000000001</v>
      </c>
      <c r="O34" s="31">
        <v>638.65099999999995</v>
      </c>
      <c r="P34" s="31">
        <v>906.34699999999998</v>
      </c>
      <c r="Q34" s="31">
        <v>836.88400000000001</v>
      </c>
      <c r="R34" s="30">
        <v>931.005</v>
      </c>
      <c r="S34" s="31">
        <v>891</v>
      </c>
      <c r="T34" s="31">
        <v>867</v>
      </c>
    </row>
    <row r="35" spans="1:22" x14ac:dyDescent="0.15">
      <c r="A35" s="26" t="s">
        <v>76</v>
      </c>
      <c r="B35" s="31"/>
      <c r="C35" s="31"/>
      <c r="D35" s="31"/>
      <c r="I35" s="41">
        <v>194.339</v>
      </c>
      <c r="M35" s="41">
        <v>392.63299999999998</v>
      </c>
      <c r="N35" s="30">
        <v>421.66199999999998</v>
      </c>
      <c r="O35" s="31">
        <v>455.81599999999997</v>
      </c>
      <c r="P35" s="31">
        <v>485.95100000000002</v>
      </c>
      <c r="Q35" s="31">
        <v>421.66199999999998</v>
      </c>
      <c r="R35" s="30">
        <v>506.09199999999998</v>
      </c>
      <c r="S35" s="31">
        <v>459</v>
      </c>
      <c r="T35" s="31">
        <v>446</v>
      </c>
    </row>
    <row r="36" spans="1:22" x14ac:dyDescent="0.15">
      <c r="I36" s="42"/>
      <c r="M36" s="42"/>
    </row>
    <row r="37" spans="1:22" x14ac:dyDescent="0.15">
      <c r="A37" s="26" t="s">
        <v>77</v>
      </c>
      <c r="I37" s="35">
        <f t="shared" ref="I37" si="47">I34-I30-I33</f>
        <v>64.320999999999998</v>
      </c>
      <c r="M37" s="35">
        <f t="shared" ref="M37" si="48">M34-M30-M33</f>
        <v>88.669999999999987</v>
      </c>
      <c r="N37" s="56">
        <f t="shared" ref="N37:T37" si="49">N34-N30-N33</f>
        <v>166.95100000000002</v>
      </c>
      <c r="O37" s="35">
        <f t="shared" si="49"/>
        <v>101.43899999999996</v>
      </c>
      <c r="P37" s="35">
        <f t="shared" si="49"/>
        <v>106.11799999999994</v>
      </c>
      <c r="Q37" s="35">
        <f t="shared" si="49"/>
        <v>108.25400000000002</v>
      </c>
      <c r="R37" s="56">
        <f t="shared" si="49"/>
        <v>169.39799999999994</v>
      </c>
      <c r="S37" s="35">
        <f t="shared" si="49"/>
        <v>166</v>
      </c>
      <c r="T37" s="35">
        <f t="shared" si="49"/>
        <v>159</v>
      </c>
    </row>
    <row r="38" spans="1:22" x14ac:dyDescent="0.15">
      <c r="A38" s="26" t="s">
        <v>78</v>
      </c>
      <c r="I38" s="35">
        <f>I34-I35</f>
        <v>50.99799999999999</v>
      </c>
      <c r="M38" s="35">
        <f>M34-M35</f>
        <v>178.20400000000001</v>
      </c>
      <c r="N38" s="56">
        <f t="shared" ref="N38" si="50">N34-N35</f>
        <v>415.22200000000004</v>
      </c>
      <c r="O38" s="35">
        <f t="shared" ref="O38:P38" si="51">O34-O35</f>
        <v>182.83499999999998</v>
      </c>
      <c r="P38" s="35">
        <f t="shared" si="51"/>
        <v>420.39599999999996</v>
      </c>
      <c r="Q38" s="35">
        <f t="shared" ref="Q38:S38" si="52">Q34-Q35</f>
        <v>415.22200000000004</v>
      </c>
      <c r="R38" s="56">
        <f t="shared" si="52"/>
        <v>424.91300000000001</v>
      </c>
      <c r="S38" s="35">
        <f t="shared" si="52"/>
        <v>432</v>
      </c>
      <c r="T38" s="35">
        <f t="shared" ref="T38" si="53">T34-T35</f>
        <v>421</v>
      </c>
    </row>
    <row r="39" spans="1:22" x14ac:dyDescent="0.15">
      <c r="I39" s="42"/>
      <c r="M39" s="42"/>
    </row>
    <row r="40" spans="1:22" s="12" customFormat="1" x14ac:dyDescent="0.15">
      <c r="A40" s="32" t="s">
        <v>79</v>
      </c>
      <c r="B40" s="34"/>
      <c r="C40" s="34"/>
      <c r="D40" s="34"/>
      <c r="E40" s="28"/>
      <c r="F40" s="29"/>
      <c r="G40" s="28"/>
      <c r="H40" s="28"/>
      <c r="I40" s="33">
        <f t="shared" ref="I40:T40" si="54">SUM(F16:I16)</f>
        <v>0</v>
      </c>
      <c r="J40" s="29"/>
      <c r="K40" s="28"/>
      <c r="L40" s="28"/>
      <c r="M40" s="33">
        <f t="shared" si="54"/>
        <v>-38.546999999999997</v>
      </c>
      <c r="N40" s="55">
        <f t="shared" si="54"/>
        <v>-25.803000000000001</v>
      </c>
      <c r="O40" s="33">
        <f t="shared" si="54"/>
        <v>-45.780999999999999</v>
      </c>
      <c r="P40" s="33">
        <f t="shared" si="54"/>
        <v>-69.44</v>
      </c>
      <c r="Q40" s="33">
        <f t="shared" si="54"/>
        <v>-64.077999999999989</v>
      </c>
      <c r="R40" s="55">
        <f t="shared" si="54"/>
        <v>-83.09899999999999</v>
      </c>
      <c r="S40" s="33">
        <f t="shared" si="54"/>
        <v>-73.972999999999999</v>
      </c>
      <c r="T40" s="33">
        <f t="shared" si="54"/>
        <v>-69.556999999999988</v>
      </c>
      <c r="U40" s="28"/>
      <c r="V40" s="64"/>
    </row>
    <row r="41" spans="1:22" x14ac:dyDescent="0.15">
      <c r="A41" s="26" t="s">
        <v>80</v>
      </c>
      <c r="I41" s="39">
        <f t="shared" ref="I41" si="55">I40/I38</f>
        <v>0</v>
      </c>
      <c r="M41" s="39">
        <f t="shared" ref="M41" si="56">M40/M38</f>
        <v>-0.21630827590850932</v>
      </c>
      <c r="N41" s="58">
        <f t="shared" ref="N41:T41" si="57">N40/N38</f>
        <v>-6.2142661034338256E-2</v>
      </c>
      <c r="O41" s="39">
        <f t="shared" si="57"/>
        <v>-0.25039516503951653</v>
      </c>
      <c r="P41" s="39">
        <f t="shared" si="57"/>
        <v>-0.16517759445855812</v>
      </c>
      <c r="Q41" s="39">
        <f t="shared" si="57"/>
        <v>-0.15432226616123418</v>
      </c>
      <c r="R41" s="58">
        <f t="shared" si="57"/>
        <v>-0.19556709255777063</v>
      </c>
      <c r="S41" s="39">
        <f t="shared" si="57"/>
        <v>-0.17123379629629629</v>
      </c>
      <c r="T41" s="39">
        <f t="shared" si="57"/>
        <v>-0.16521852731591447</v>
      </c>
    </row>
    <row r="42" spans="1:22" x14ac:dyDescent="0.15">
      <c r="A42" s="26" t="s">
        <v>81</v>
      </c>
      <c r="I42" s="39">
        <f t="shared" ref="I42" si="58">I40/I34</f>
        <v>0</v>
      </c>
      <c r="M42" s="39">
        <f t="shared" ref="M42" si="59">M40/M34</f>
        <v>-6.7527157489791309E-2</v>
      </c>
      <c r="N42" s="58">
        <f t="shared" ref="N42:T42" si="60">N40/N34</f>
        <v>-3.0832230034269981E-2</v>
      </c>
      <c r="O42" s="39">
        <f t="shared" si="60"/>
        <v>-7.1683908738888691E-2</v>
      </c>
      <c r="P42" s="39">
        <f t="shared" si="60"/>
        <v>-7.661524780244211E-2</v>
      </c>
      <c r="Q42" s="39">
        <f t="shared" si="60"/>
        <v>-7.6567361784906848E-2</v>
      </c>
      <c r="R42" s="58">
        <f t="shared" si="60"/>
        <v>-8.9257307962900295E-2</v>
      </c>
      <c r="S42" s="39">
        <f t="shared" si="60"/>
        <v>-8.3022446689113349E-2</v>
      </c>
      <c r="T42" s="39">
        <f t="shared" si="60"/>
        <v>-8.0227220299884647E-2</v>
      </c>
    </row>
    <row r="43" spans="1:22" x14ac:dyDescent="0.15">
      <c r="A43" s="26" t="s">
        <v>82</v>
      </c>
      <c r="I43" s="39">
        <f t="shared" ref="I43" si="61">I40/(I38-I33)</f>
        <v>0</v>
      </c>
      <c r="M43" s="39">
        <f t="shared" ref="M43" si="62">M40/(M38-M33)</f>
        <v>0.64134901751992435</v>
      </c>
      <c r="N43" s="58">
        <f t="shared" ref="N43:T43" si="63">N40/(N38-N33)</f>
        <v>-0.1397105404220067</v>
      </c>
      <c r="O43" s="39">
        <f t="shared" si="63"/>
        <v>0.81753245593671275</v>
      </c>
      <c r="P43" s="39">
        <f t="shared" si="63"/>
        <v>-0.37781018085268464</v>
      </c>
      <c r="Q43" s="39">
        <f t="shared" si="63"/>
        <v>-0.34695082002718075</v>
      </c>
      <c r="R43" s="58">
        <f t="shared" si="63"/>
        <v>-0.42143940277615766</v>
      </c>
      <c r="S43" s="39">
        <f t="shared" si="63"/>
        <v>-0.35735748792270533</v>
      </c>
      <c r="T43" s="39">
        <f t="shared" si="63"/>
        <v>-0.35129797979797972</v>
      </c>
    </row>
    <row r="44" spans="1:22" x14ac:dyDescent="0.15">
      <c r="A44" s="26" t="s">
        <v>83</v>
      </c>
      <c r="I44" s="39">
        <f t="shared" ref="I44" si="64">I40/I37</f>
        <v>0</v>
      </c>
      <c r="M44" s="39">
        <f t="shared" ref="M44" si="65">M40/M37</f>
        <v>-0.43472425848652307</v>
      </c>
      <c r="N44" s="58">
        <f t="shared" ref="N44:T44" si="66">N40/N37</f>
        <v>-0.15455433031248689</v>
      </c>
      <c r="O44" s="39">
        <f t="shared" si="66"/>
        <v>-0.45131556896262792</v>
      </c>
      <c r="P44" s="39">
        <f t="shared" si="66"/>
        <v>-0.65436589457019578</v>
      </c>
      <c r="Q44" s="39">
        <f t="shared" si="66"/>
        <v>-0.59192270031592342</v>
      </c>
      <c r="R44" s="58">
        <f t="shared" si="66"/>
        <v>-0.49055478813209141</v>
      </c>
      <c r="S44" s="39">
        <f t="shared" si="66"/>
        <v>-0.44562048192771081</v>
      </c>
      <c r="T44" s="39">
        <f t="shared" si="66"/>
        <v>-0.43746540880503137</v>
      </c>
    </row>
    <row r="46" spans="1:22" x14ac:dyDescent="0.15">
      <c r="A46" s="6" t="s">
        <v>91</v>
      </c>
      <c r="N46" s="58">
        <f t="shared" ref="N46:T46" si="67">N3/J3-1</f>
        <v>0.71912989319738863</v>
      </c>
      <c r="O46" s="39">
        <f t="shared" si="67"/>
        <v>0.50756662648988882</v>
      </c>
      <c r="P46" s="39">
        <f t="shared" si="67"/>
        <v>0.45082661727324669</v>
      </c>
      <c r="Q46" s="39">
        <f t="shared" si="67"/>
        <v>0.21086211021612589</v>
      </c>
      <c r="R46" s="58">
        <f t="shared" si="67"/>
        <v>9.1243324477363608E-2</v>
      </c>
      <c r="S46" s="39">
        <f t="shared" si="67"/>
        <v>0.19925379763702589</v>
      </c>
      <c r="T46" s="39">
        <f t="shared" si="67"/>
        <v>0.11370674200032593</v>
      </c>
    </row>
    <row r="48" spans="1:22" s="54" customFormat="1" x14ac:dyDescent="0.15">
      <c r="A48" s="51" t="s">
        <v>89</v>
      </c>
      <c r="B48" s="52"/>
      <c r="C48" s="52"/>
      <c r="D48" s="52"/>
      <c r="E48" s="28"/>
      <c r="F48" s="53"/>
      <c r="G48" s="52"/>
      <c r="H48" s="52"/>
      <c r="I48" s="52"/>
      <c r="J48" s="53">
        <v>14.669</v>
      </c>
      <c r="K48" s="52">
        <v>15.605</v>
      </c>
      <c r="L48" s="52">
        <v>18.074000000000002</v>
      </c>
      <c r="M48" s="52">
        <v>23</v>
      </c>
      <c r="N48" s="53">
        <v>23.597999999999999</v>
      </c>
      <c r="O48" s="52">
        <v>23</v>
      </c>
      <c r="P48" s="52">
        <v>23.896000000000001</v>
      </c>
      <c r="Q48" s="52">
        <v>26.702000000000002</v>
      </c>
      <c r="R48" s="53">
        <v>27.026</v>
      </c>
      <c r="S48" s="52">
        <v>26.5</v>
      </c>
      <c r="T48" s="52">
        <v>27</v>
      </c>
      <c r="U48" s="52">
        <f>Q48*1.1</f>
        <v>29.372200000000003</v>
      </c>
      <c r="V48" s="66"/>
    </row>
    <row r="49" spans="1:21" x14ac:dyDescent="0.15">
      <c r="A49" s="6" t="s">
        <v>93</v>
      </c>
      <c r="N49" s="58">
        <f t="shared" ref="N49:U49" si="68">N48/J48-1</f>
        <v>0.60869861612925202</v>
      </c>
      <c r="O49" s="39">
        <f t="shared" si="68"/>
        <v>0.47388657481576413</v>
      </c>
      <c r="P49" s="39">
        <f t="shared" si="68"/>
        <v>0.32212017262365822</v>
      </c>
      <c r="Q49" s="39">
        <f t="shared" si="68"/>
        <v>0.16095652173913044</v>
      </c>
      <c r="R49" s="58">
        <f t="shared" si="68"/>
        <v>0.14526654801254346</v>
      </c>
      <c r="S49" s="39">
        <f t="shared" si="68"/>
        <v>0.15217391304347827</v>
      </c>
      <c r="T49" s="39">
        <f t="shared" si="68"/>
        <v>0.12989621694007369</v>
      </c>
      <c r="U49" s="39">
        <f t="shared" si="68"/>
        <v>0.10000000000000009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1"/>
    </sheetView>
  </sheetViews>
  <sheetFormatPr baseColWidth="10" defaultRowHeight="13" x14ac:dyDescent="0.15"/>
  <cols>
    <col min="1" max="16384" width="10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2019-12-30T17:16:45Z</dcterms:modified>
</cp:coreProperties>
</file>