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michaelsjoberg/Dropbox/- PROJECTS/- Investing/stocks/"/>
    </mc:Choice>
  </mc:AlternateContent>
  <bookViews>
    <workbookView xWindow="13980" yWindow="460" windowWidth="14820" windowHeight="16540" tabRatio="500"/>
  </bookViews>
  <sheets>
    <sheet name="Main" sheetId="2" r:id="rId1"/>
    <sheet name="Reports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2" l="1"/>
  <c r="C5" i="2"/>
  <c r="C3" i="2"/>
  <c r="S39" i="1"/>
  <c r="S37" i="1"/>
  <c r="S36" i="1"/>
  <c r="S15" i="1"/>
  <c r="S5" i="1"/>
  <c r="S61" i="1"/>
  <c r="S63" i="1"/>
  <c r="S8" i="1"/>
  <c r="S57" i="1"/>
  <c r="S56" i="1"/>
  <c r="S54" i="1"/>
  <c r="S53" i="1"/>
  <c r="S52" i="1"/>
  <c r="S10" i="1"/>
  <c r="S12" i="1"/>
  <c r="S16" i="1"/>
  <c r="S17" i="1"/>
  <c r="S19" i="1"/>
  <c r="S22" i="1"/>
  <c r="S43" i="1"/>
  <c r="S50" i="1"/>
  <c r="S44" i="1"/>
  <c r="S49" i="1"/>
  <c r="S48" i="1"/>
  <c r="S47" i="1"/>
  <c r="S46" i="1"/>
  <c r="S35" i="1"/>
  <c r="S33" i="1"/>
  <c r="S32" i="1"/>
  <c r="S31" i="1"/>
  <c r="S30" i="1"/>
  <c r="S28" i="1"/>
  <c r="S27" i="1"/>
  <c r="S26" i="1"/>
  <c r="S23" i="1"/>
  <c r="R39" i="1"/>
  <c r="R37" i="1"/>
  <c r="R36" i="1"/>
  <c r="R15" i="1"/>
  <c r="R8" i="1"/>
  <c r="R5" i="1"/>
  <c r="R61" i="1"/>
  <c r="R63" i="1"/>
  <c r="R57" i="1"/>
  <c r="R56" i="1"/>
  <c r="R54" i="1"/>
  <c r="R53" i="1"/>
  <c r="R52" i="1"/>
  <c r="R10" i="1"/>
  <c r="R12" i="1"/>
  <c r="R16" i="1"/>
  <c r="R17" i="1"/>
  <c r="R19" i="1"/>
  <c r="R22" i="1"/>
  <c r="R43" i="1"/>
  <c r="R50" i="1"/>
  <c r="R44" i="1"/>
  <c r="R49" i="1"/>
  <c r="R48" i="1"/>
  <c r="R47" i="1"/>
  <c r="R46" i="1"/>
  <c r="R35" i="1"/>
  <c r="R33" i="1"/>
  <c r="R32" i="1"/>
  <c r="R31" i="1"/>
  <c r="R30" i="1"/>
  <c r="R28" i="1"/>
  <c r="R27" i="1"/>
  <c r="R26" i="1"/>
  <c r="R23" i="1"/>
  <c r="I6" i="2"/>
  <c r="I5" i="2"/>
  <c r="I4" i="2"/>
  <c r="I3" i="2"/>
  <c r="I2" i="2"/>
  <c r="E54" i="2"/>
  <c r="G21" i="2"/>
  <c r="H21" i="2"/>
  <c r="I21" i="2"/>
  <c r="J21" i="2"/>
  <c r="F21" i="2"/>
  <c r="G22" i="2"/>
  <c r="H22" i="2"/>
  <c r="I22" i="2"/>
  <c r="J22" i="2"/>
  <c r="F22" i="2"/>
  <c r="J17" i="2"/>
  <c r="G17" i="2"/>
  <c r="G15" i="2"/>
  <c r="H15" i="2"/>
  <c r="I15" i="2"/>
  <c r="J15" i="2"/>
  <c r="F15" i="2"/>
  <c r="F30" i="2"/>
  <c r="F17" i="2"/>
  <c r="F19" i="2"/>
  <c r="F23" i="2"/>
  <c r="F24" i="2"/>
  <c r="F26" i="2"/>
  <c r="F27" i="2"/>
  <c r="F28" i="2"/>
  <c r="F41" i="2"/>
  <c r="G25" i="2"/>
  <c r="F25" i="2"/>
  <c r="K17" i="2"/>
  <c r="L17" i="2"/>
  <c r="M17" i="2"/>
  <c r="N17" i="2"/>
  <c r="O17" i="2"/>
  <c r="P17" i="2"/>
  <c r="Q17" i="2"/>
  <c r="G20" i="2"/>
  <c r="H20" i="2"/>
  <c r="I20" i="2"/>
  <c r="J20" i="2"/>
  <c r="F20" i="2"/>
  <c r="I17" i="2"/>
  <c r="H17" i="2"/>
  <c r="G14" i="2"/>
  <c r="H14" i="2"/>
  <c r="I14" i="2"/>
  <c r="J14" i="2"/>
  <c r="F14" i="2"/>
  <c r="F32" i="2"/>
  <c r="G19" i="2"/>
  <c r="G23" i="2"/>
  <c r="G24" i="2"/>
  <c r="G26" i="2"/>
  <c r="F34" i="2"/>
  <c r="G27" i="2"/>
  <c r="G28" i="2"/>
  <c r="G32" i="2"/>
  <c r="H19" i="2"/>
  <c r="H23" i="2"/>
  <c r="H24" i="2"/>
  <c r="G41" i="2"/>
  <c r="H25" i="2"/>
  <c r="H26" i="2"/>
  <c r="G34" i="2"/>
  <c r="H27" i="2"/>
  <c r="H28" i="2"/>
  <c r="H32" i="2"/>
  <c r="I19" i="2"/>
  <c r="I23" i="2"/>
  <c r="I24" i="2"/>
  <c r="H41" i="2"/>
  <c r="I25" i="2"/>
  <c r="I26" i="2"/>
  <c r="H34" i="2"/>
  <c r="I27" i="2"/>
  <c r="I28" i="2"/>
  <c r="I32" i="2"/>
  <c r="J19" i="2"/>
  <c r="J23" i="2"/>
  <c r="J24" i="2"/>
  <c r="I41" i="2"/>
  <c r="J25" i="2"/>
  <c r="J26" i="2"/>
  <c r="I34" i="2"/>
  <c r="J27" i="2"/>
  <c r="J28" i="2"/>
  <c r="J32" i="2"/>
  <c r="K19" i="2"/>
  <c r="K20" i="2"/>
  <c r="K21" i="2"/>
  <c r="K22" i="2"/>
  <c r="K23" i="2"/>
  <c r="K24" i="2"/>
  <c r="J41" i="2"/>
  <c r="K25" i="2"/>
  <c r="K26" i="2"/>
  <c r="J34" i="2"/>
  <c r="K27" i="2"/>
  <c r="K28" i="2"/>
  <c r="K32" i="2"/>
  <c r="L19" i="2"/>
  <c r="L20" i="2"/>
  <c r="L21" i="2"/>
  <c r="L22" i="2"/>
  <c r="L23" i="2"/>
  <c r="L24" i="2"/>
  <c r="K41" i="2"/>
  <c r="L25" i="2"/>
  <c r="L26" i="2"/>
  <c r="K34" i="2"/>
  <c r="L27" i="2"/>
  <c r="L28" i="2"/>
  <c r="L32" i="2"/>
  <c r="M19" i="2"/>
  <c r="M20" i="2"/>
  <c r="M21" i="2"/>
  <c r="M22" i="2"/>
  <c r="M23" i="2"/>
  <c r="M24" i="2"/>
  <c r="L41" i="2"/>
  <c r="M25" i="2"/>
  <c r="M26" i="2"/>
  <c r="L34" i="2"/>
  <c r="M27" i="2"/>
  <c r="M28" i="2"/>
  <c r="M32" i="2"/>
  <c r="N19" i="2"/>
  <c r="N20" i="2"/>
  <c r="N21" i="2"/>
  <c r="N22" i="2"/>
  <c r="N23" i="2"/>
  <c r="N24" i="2"/>
  <c r="M41" i="2"/>
  <c r="N25" i="2"/>
  <c r="N26" i="2"/>
  <c r="M34" i="2"/>
  <c r="N27" i="2"/>
  <c r="N28" i="2"/>
  <c r="N32" i="2"/>
  <c r="O19" i="2"/>
  <c r="O20" i="2"/>
  <c r="O21" i="2"/>
  <c r="O22" i="2"/>
  <c r="O23" i="2"/>
  <c r="O24" i="2"/>
  <c r="N41" i="2"/>
  <c r="O25" i="2"/>
  <c r="O26" i="2"/>
  <c r="N34" i="2"/>
  <c r="O27" i="2"/>
  <c r="O28" i="2"/>
  <c r="O32" i="2"/>
  <c r="P19" i="2"/>
  <c r="P20" i="2"/>
  <c r="P21" i="2"/>
  <c r="P22" i="2"/>
  <c r="P23" i="2"/>
  <c r="P24" i="2"/>
  <c r="O41" i="2"/>
  <c r="P25" i="2"/>
  <c r="P26" i="2"/>
  <c r="O34" i="2"/>
  <c r="P27" i="2"/>
  <c r="P28" i="2"/>
  <c r="P32" i="2"/>
  <c r="Q19" i="2"/>
  <c r="Q20" i="2"/>
  <c r="Q21" i="2"/>
  <c r="Q22" i="2"/>
  <c r="Q23" i="2"/>
  <c r="Q24" i="2"/>
  <c r="P41" i="2"/>
  <c r="Q25" i="2"/>
  <c r="Q26" i="2"/>
  <c r="P34" i="2"/>
  <c r="Q27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F5" i="2"/>
  <c r="F61" i="2"/>
  <c r="J62" i="2"/>
  <c r="J61" i="2"/>
  <c r="D41" i="2"/>
  <c r="E41" i="2"/>
  <c r="E47" i="2"/>
  <c r="E46" i="2"/>
  <c r="E45" i="2"/>
  <c r="E43" i="2"/>
  <c r="E42" i="2"/>
  <c r="E59" i="2"/>
  <c r="E58" i="2"/>
  <c r="E57" i="2"/>
  <c r="E49" i="2"/>
  <c r="E55" i="2"/>
  <c r="E50" i="2"/>
  <c r="E53" i="2"/>
  <c r="E52" i="2"/>
  <c r="E32" i="2"/>
  <c r="E26" i="2"/>
  <c r="E23" i="2"/>
  <c r="E24" i="2"/>
  <c r="E19" i="2"/>
  <c r="E28" i="2"/>
  <c r="E29" i="2"/>
  <c r="E27" i="2"/>
  <c r="E25" i="2"/>
  <c r="E22" i="2"/>
  <c r="E21" i="2"/>
  <c r="E20" i="2"/>
  <c r="E18" i="2"/>
  <c r="E17" i="2"/>
  <c r="D17" i="2"/>
  <c r="C17" i="2"/>
  <c r="B17" i="2"/>
  <c r="E14" i="2"/>
  <c r="E15" i="2"/>
  <c r="E12" i="2"/>
  <c r="E11" i="2"/>
  <c r="E10" i="2"/>
  <c r="Q46" i="1"/>
  <c r="Q39" i="1"/>
  <c r="Q37" i="1"/>
  <c r="Q36" i="1"/>
  <c r="Q43" i="1"/>
  <c r="Q50" i="1"/>
  <c r="Q44" i="1"/>
  <c r="Q49" i="1"/>
  <c r="Q48" i="1"/>
  <c r="Q47" i="1"/>
  <c r="Q35" i="1"/>
  <c r="Q30" i="1"/>
  <c r="M22" i="1"/>
  <c r="Q28" i="1"/>
  <c r="Q23" i="1"/>
  <c r="Q22" i="1"/>
  <c r="Q18" i="1"/>
  <c r="Q19" i="1"/>
  <c r="Q16" i="1"/>
  <c r="Q17" i="1"/>
  <c r="Q15" i="1"/>
  <c r="Q12" i="1"/>
  <c r="Q10" i="1"/>
  <c r="Q63" i="1"/>
  <c r="Q61" i="1"/>
  <c r="Q56" i="1"/>
  <c r="Q54" i="1"/>
  <c r="Q53" i="1"/>
  <c r="Q52" i="1"/>
  <c r="Q8" i="1"/>
  <c r="C4" i="2"/>
  <c r="E34" i="2"/>
  <c r="F6" i="2"/>
  <c r="F7" i="2"/>
  <c r="K20" i="1"/>
  <c r="J20" i="1"/>
  <c r="M20" i="1"/>
  <c r="I20" i="1"/>
  <c r="I19" i="1"/>
  <c r="I22" i="1"/>
  <c r="I18" i="1"/>
  <c r="D42" i="2"/>
  <c r="D43" i="2"/>
  <c r="F36" i="2"/>
  <c r="D10" i="2"/>
  <c r="D11" i="2"/>
  <c r="D12" i="2"/>
  <c r="E36" i="2"/>
  <c r="D14" i="2"/>
  <c r="D15" i="2"/>
  <c r="C10" i="2"/>
  <c r="C11" i="2"/>
  <c r="C12" i="2"/>
  <c r="C14" i="2"/>
  <c r="C15" i="2"/>
  <c r="D62" i="2"/>
  <c r="I62" i="2"/>
  <c r="H62" i="2"/>
  <c r="G62" i="2"/>
  <c r="F62" i="2"/>
  <c r="E62" i="2"/>
  <c r="B10" i="2"/>
  <c r="B11" i="2"/>
  <c r="B12" i="2"/>
  <c r="B14" i="2"/>
  <c r="B15" i="2"/>
  <c r="C62" i="2"/>
  <c r="I61" i="2"/>
  <c r="H61" i="2"/>
  <c r="G61" i="2"/>
  <c r="E61" i="2"/>
  <c r="D61" i="2"/>
  <c r="C61" i="2"/>
  <c r="D36" i="2"/>
  <c r="E8" i="1"/>
  <c r="Q57" i="1"/>
  <c r="P52" i="1"/>
  <c r="P10" i="1"/>
  <c r="F10" i="1"/>
  <c r="E10" i="1"/>
  <c r="P57" i="1"/>
  <c r="O57" i="1"/>
  <c r="N57" i="1"/>
  <c r="M57" i="1"/>
  <c r="L57" i="1"/>
  <c r="K57" i="1"/>
  <c r="J57" i="1"/>
  <c r="I57" i="1"/>
  <c r="P8" i="1"/>
  <c r="O8" i="1"/>
  <c r="N8" i="1"/>
  <c r="M8" i="1"/>
  <c r="L8" i="1"/>
  <c r="K8" i="1"/>
  <c r="J8" i="1"/>
  <c r="I8" i="1"/>
  <c r="H8" i="1"/>
  <c r="G8" i="1"/>
  <c r="F8" i="1"/>
  <c r="O61" i="1"/>
  <c r="K61" i="1"/>
  <c r="O63" i="1"/>
  <c r="N61" i="1"/>
  <c r="J61" i="1"/>
  <c r="N63" i="1"/>
  <c r="P61" i="1"/>
  <c r="L61" i="1"/>
  <c r="P63" i="1"/>
  <c r="P56" i="1"/>
  <c r="O56" i="1"/>
  <c r="N56" i="1"/>
  <c r="I61" i="1"/>
  <c r="E61" i="1"/>
  <c r="I63" i="1"/>
  <c r="I56" i="1"/>
  <c r="G61" i="1"/>
  <c r="K63" i="1"/>
  <c r="F61" i="1"/>
  <c r="J63" i="1"/>
  <c r="M61" i="1"/>
  <c r="M63" i="1"/>
  <c r="H61" i="1"/>
  <c r="L63" i="1"/>
  <c r="L56" i="1"/>
  <c r="K56" i="1"/>
  <c r="J56" i="1"/>
  <c r="M56" i="1"/>
  <c r="M36" i="1"/>
  <c r="M37" i="1"/>
  <c r="P12" i="1"/>
  <c r="P26" i="1"/>
  <c r="N15" i="1"/>
  <c r="O15" i="1"/>
  <c r="P15" i="1"/>
  <c r="O18" i="1"/>
  <c r="P18" i="1"/>
  <c r="P36" i="1"/>
  <c r="P37" i="1"/>
  <c r="P35" i="1"/>
  <c r="P16" i="1"/>
  <c r="P17" i="1"/>
  <c r="P19" i="1"/>
  <c r="P28" i="1"/>
  <c r="D27" i="2"/>
  <c r="D18" i="2"/>
  <c r="D19" i="2"/>
  <c r="D20" i="2"/>
  <c r="D21" i="2"/>
  <c r="J15" i="1"/>
  <c r="K15" i="1"/>
  <c r="L15" i="1"/>
  <c r="M15" i="1"/>
  <c r="D22" i="2"/>
  <c r="D23" i="2"/>
  <c r="D24" i="2"/>
  <c r="M18" i="1"/>
  <c r="D25" i="2"/>
  <c r="D26" i="2"/>
  <c r="D28" i="2"/>
  <c r="D46" i="2"/>
  <c r="M39" i="1"/>
  <c r="D45" i="2"/>
  <c r="D49" i="2"/>
  <c r="D55" i="2"/>
  <c r="D47" i="2"/>
  <c r="D50" i="2"/>
  <c r="D54" i="2"/>
  <c r="D53" i="2"/>
  <c r="D52" i="2"/>
  <c r="I36" i="1"/>
  <c r="C42" i="2"/>
  <c r="I37" i="1"/>
  <c r="C43" i="2"/>
  <c r="C41" i="2"/>
  <c r="E36" i="1"/>
  <c r="B42" i="2"/>
  <c r="E37" i="1"/>
  <c r="B43" i="2"/>
  <c r="B41" i="2"/>
  <c r="F18" i="2"/>
  <c r="D30" i="2"/>
  <c r="E30" i="2"/>
  <c r="D29" i="2"/>
  <c r="Q33" i="1"/>
  <c r="Q32" i="1"/>
  <c r="Q31" i="1"/>
  <c r="M10" i="1"/>
  <c r="Q27" i="1"/>
  <c r="Q26" i="1"/>
  <c r="M12" i="1"/>
  <c r="M16" i="1"/>
  <c r="M17" i="1"/>
  <c r="M19" i="1"/>
  <c r="M23" i="1"/>
  <c r="N39" i="1"/>
  <c r="N37" i="1"/>
  <c r="N36" i="1"/>
  <c r="N54" i="1"/>
  <c r="N53" i="1"/>
  <c r="N52" i="1"/>
  <c r="N10" i="1"/>
  <c r="N12" i="1"/>
  <c r="N16" i="1"/>
  <c r="N17" i="1"/>
  <c r="N19" i="1"/>
  <c r="N22" i="1"/>
  <c r="N43" i="1"/>
  <c r="N50" i="1"/>
  <c r="N44" i="1"/>
  <c r="N49" i="1"/>
  <c r="N48" i="1"/>
  <c r="N47" i="1"/>
  <c r="K10" i="1"/>
  <c r="K12" i="1"/>
  <c r="K16" i="1"/>
  <c r="K17" i="1"/>
  <c r="K19" i="1"/>
  <c r="K22" i="1"/>
  <c r="L10" i="1"/>
  <c r="L12" i="1"/>
  <c r="L16" i="1"/>
  <c r="L17" i="1"/>
  <c r="L19" i="1"/>
  <c r="L22" i="1"/>
  <c r="N46" i="1"/>
  <c r="N35" i="1"/>
  <c r="N33" i="1"/>
  <c r="N32" i="1"/>
  <c r="N31" i="1"/>
  <c r="J10" i="1"/>
  <c r="N30" i="1"/>
  <c r="N28" i="1"/>
  <c r="N27" i="1"/>
  <c r="N26" i="1"/>
  <c r="N23" i="1"/>
  <c r="O39" i="1"/>
  <c r="O37" i="1"/>
  <c r="O36" i="1"/>
  <c r="O54" i="1"/>
  <c r="O53" i="1"/>
  <c r="O52" i="1"/>
  <c r="O10" i="1"/>
  <c r="O12" i="1"/>
  <c r="O16" i="1"/>
  <c r="O17" i="1"/>
  <c r="O19" i="1"/>
  <c r="O22" i="1"/>
  <c r="O43" i="1"/>
  <c r="O50" i="1"/>
  <c r="O44" i="1"/>
  <c r="O49" i="1"/>
  <c r="O48" i="1"/>
  <c r="O47" i="1"/>
  <c r="O46" i="1"/>
  <c r="O35" i="1"/>
  <c r="O33" i="1"/>
  <c r="O32" i="1"/>
  <c r="O31" i="1"/>
  <c r="O30" i="1"/>
  <c r="O28" i="1"/>
  <c r="O27" i="1"/>
  <c r="O26" i="1"/>
  <c r="O23" i="1"/>
  <c r="J12" i="1"/>
  <c r="J16" i="1"/>
  <c r="J17" i="1"/>
  <c r="J19" i="1"/>
  <c r="J22" i="1"/>
  <c r="M46" i="1"/>
  <c r="C25" i="2"/>
  <c r="C18" i="2"/>
  <c r="C19" i="2"/>
  <c r="C20" i="2"/>
  <c r="C21" i="2"/>
  <c r="F15" i="1"/>
  <c r="G15" i="1"/>
  <c r="H15" i="1"/>
  <c r="I15" i="1"/>
  <c r="C22" i="2"/>
  <c r="C23" i="2"/>
  <c r="C24" i="2"/>
  <c r="C26" i="2"/>
  <c r="C27" i="2"/>
  <c r="C28" i="2"/>
  <c r="M43" i="1"/>
  <c r="M35" i="1"/>
  <c r="M50" i="1"/>
  <c r="M44" i="1"/>
  <c r="M49" i="1"/>
  <c r="M48" i="1"/>
  <c r="M47" i="1"/>
  <c r="P54" i="1"/>
  <c r="P53" i="1"/>
  <c r="P22" i="1"/>
  <c r="P44" i="1"/>
  <c r="P39" i="1"/>
  <c r="P49" i="1"/>
  <c r="P43" i="1"/>
  <c r="P50" i="1"/>
  <c r="P48" i="1"/>
  <c r="P47" i="1"/>
  <c r="P46" i="1"/>
  <c r="P23" i="1"/>
  <c r="P33" i="1"/>
  <c r="P32" i="1"/>
  <c r="P31" i="1"/>
  <c r="P30" i="1"/>
  <c r="P27" i="1"/>
  <c r="M26" i="1"/>
  <c r="M27" i="1"/>
  <c r="M28" i="1"/>
  <c r="L28" i="1"/>
  <c r="L52" i="1"/>
  <c r="M54" i="1"/>
  <c r="L54" i="1"/>
  <c r="K54" i="1"/>
  <c r="J54" i="1"/>
  <c r="I54" i="1"/>
  <c r="H54" i="1"/>
  <c r="G54" i="1"/>
  <c r="M53" i="1"/>
  <c r="L53" i="1"/>
  <c r="K53" i="1"/>
  <c r="J53" i="1"/>
  <c r="I53" i="1"/>
  <c r="H53" i="1"/>
  <c r="G53" i="1"/>
  <c r="M52" i="1"/>
  <c r="K52" i="1"/>
  <c r="J52" i="1"/>
  <c r="I52" i="1"/>
  <c r="H52" i="1"/>
  <c r="G52" i="1"/>
  <c r="F54" i="1"/>
  <c r="F53" i="1"/>
  <c r="F52" i="1"/>
  <c r="E35" i="1"/>
  <c r="B10" i="1"/>
  <c r="B12" i="1"/>
  <c r="B15" i="1"/>
  <c r="B16" i="1"/>
  <c r="B17" i="1"/>
  <c r="B19" i="1"/>
  <c r="B28" i="1"/>
  <c r="B27" i="1"/>
  <c r="B26" i="1"/>
  <c r="D32" i="2"/>
  <c r="L36" i="1"/>
  <c r="L37" i="1"/>
  <c r="L35" i="1"/>
  <c r="D34" i="2"/>
  <c r="K18" i="2"/>
  <c r="D59" i="2"/>
  <c r="D58" i="2"/>
  <c r="D57" i="2"/>
  <c r="C59" i="2"/>
  <c r="C58" i="2"/>
  <c r="C57" i="2"/>
  <c r="B18" i="2"/>
  <c r="B19" i="2"/>
  <c r="B20" i="2"/>
  <c r="B21" i="2"/>
  <c r="C15" i="1"/>
  <c r="D15" i="1"/>
  <c r="E15" i="1"/>
  <c r="B22" i="2"/>
  <c r="B23" i="2"/>
  <c r="B24" i="2"/>
  <c r="B25" i="2"/>
  <c r="B26" i="2"/>
  <c r="B27" i="2"/>
  <c r="B28" i="2"/>
  <c r="B30" i="2"/>
  <c r="B29" i="2"/>
  <c r="Q32" i="2"/>
  <c r="G7" i="2"/>
  <c r="C6" i="2"/>
  <c r="C7" i="2"/>
  <c r="G30" i="2"/>
  <c r="H30" i="2"/>
  <c r="I30" i="2"/>
  <c r="J30" i="2"/>
  <c r="K30" i="2"/>
  <c r="L30" i="2"/>
  <c r="M30" i="2"/>
  <c r="N30" i="2"/>
  <c r="O30" i="2"/>
  <c r="P30" i="2"/>
  <c r="Q30" i="2"/>
  <c r="Q29" i="2"/>
  <c r="P29" i="2"/>
  <c r="O29" i="2"/>
  <c r="N29" i="2"/>
  <c r="M29" i="2"/>
  <c r="L29" i="2"/>
  <c r="K29" i="2"/>
  <c r="J29" i="2"/>
  <c r="I29" i="2"/>
  <c r="H29" i="2"/>
  <c r="Q18" i="2"/>
  <c r="P18" i="2"/>
  <c r="O18" i="2"/>
  <c r="N18" i="2"/>
  <c r="M18" i="2"/>
  <c r="L18" i="2"/>
  <c r="J18" i="2"/>
  <c r="I18" i="2"/>
  <c r="H18" i="2"/>
  <c r="G29" i="2"/>
  <c r="F29" i="2"/>
  <c r="G18" i="2"/>
  <c r="F37" i="1"/>
  <c r="F36" i="1"/>
  <c r="G36" i="1"/>
  <c r="C10" i="1"/>
  <c r="H37" i="1"/>
  <c r="H36" i="1"/>
  <c r="D10" i="1"/>
  <c r="I10" i="1"/>
  <c r="J37" i="1"/>
  <c r="J36" i="1"/>
  <c r="K37" i="1"/>
  <c r="K36" i="1"/>
  <c r="G10" i="1"/>
  <c r="H10" i="1"/>
  <c r="E12" i="1"/>
  <c r="E16" i="1"/>
  <c r="E17" i="1"/>
  <c r="E19" i="1"/>
  <c r="E22" i="1"/>
  <c r="I12" i="1"/>
  <c r="I16" i="1"/>
  <c r="I17" i="1"/>
  <c r="B22" i="1"/>
  <c r="F12" i="1"/>
  <c r="F16" i="1"/>
  <c r="F17" i="1"/>
  <c r="F19" i="1"/>
  <c r="F22" i="1"/>
  <c r="C12" i="1"/>
  <c r="C16" i="1"/>
  <c r="C17" i="1"/>
  <c r="C19" i="1"/>
  <c r="C22" i="1"/>
  <c r="D12" i="1"/>
  <c r="D16" i="1"/>
  <c r="D17" i="1"/>
  <c r="D19" i="1"/>
  <c r="D22" i="1"/>
  <c r="H12" i="1"/>
  <c r="H16" i="1"/>
  <c r="H17" i="1"/>
  <c r="H19" i="1"/>
  <c r="H22" i="1"/>
  <c r="G12" i="1"/>
  <c r="G16" i="1"/>
  <c r="G17" i="1"/>
  <c r="G19" i="1"/>
  <c r="G22" i="1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D37" i="2"/>
  <c r="D38" i="2"/>
  <c r="D39" i="2"/>
  <c r="C38" i="2"/>
  <c r="C39" i="2"/>
  <c r="C37" i="2"/>
  <c r="J33" i="1"/>
  <c r="I31" i="1"/>
  <c r="J31" i="1"/>
  <c r="G33" i="1"/>
  <c r="H33" i="1"/>
  <c r="I33" i="1"/>
  <c r="K33" i="1"/>
  <c r="L33" i="1"/>
  <c r="M33" i="1"/>
  <c r="G32" i="1"/>
  <c r="H32" i="1"/>
  <c r="I32" i="1"/>
  <c r="J32" i="1"/>
  <c r="K32" i="1"/>
  <c r="L32" i="1"/>
  <c r="M32" i="1"/>
  <c r="F33" i="1"/>
  <c r="F32" i="1"/>
  <c r="M30" i="1"/>
  <c r="K31" i="1"/>
  <c r="L31" i="1"/>
  <c r="M31" i="1"/>
  <c r="G31" i="1"/>
  <c r="H31" i="1"/>
  <c r="F31" i="1"/>
  <c r="F30" i="1"/>
  <c r="I35" i="1"/>
  <c r="G28" i="1"/>
  <c r="G30" i="1"/>
  <c r="C30" i="2"/>
  <c r="C32" i="2"/>
  <c r="F28" i="1"/>
  <c r="F27" i="1"/>
  <c r="F26" i="1"/>
  <c r="C34" i="2"/>
  <c r="Q34" i="2"/>
  <c r="E33" i="2"/>
  <c r="Q41" i="2"/>
  <c r="Q33" i="2"/>
  <c r="P33" i="2"/>
  <c r="O33" i="2"/>
  <c r="N33" i="2"/>
  <c r="M33" i="2"/>
  <c r="L33" i="2"/>
  <c r="K33" i="2"/>
  <c r="J33" i="2"/>
  <c r="I33" i="2"/>
  <c r="H33" i="2"/>
  <c r="G33" i="2"/>
  <c r="F33" i="2"/>
  <c r="Q36" i="2"/>
  <c r="P36" i="2"/>
  <c r="O36" i="2"/>
  <c r="N36" i="2"/>
  <c r="M36" i="2"/>
  <c r="L36" i="2"/>
  <c r="K36" i="2"/>
  <c r="J36" i="2"/>
  <c r="I36" i="2"/>
  <c r="H36" i="2"/>
  <c r="G36" i="2"/>
  <c r="D33" i="2"/>
  <c r="B32" i="2"/>
  <c r="B34" i="2"/>
  <c r="B33" i="2"/>
  <c r="C36" i="2"/>
  <c r="C33" i="2"/>
  <c r="C29" i="2"/>
  <c r="H30" i="1"/>
  <c r="I30" i="1"/>
  <c r="B23" i="1"/>
  <c r="C28" i="1"/>
  <c r="C27" i="1"/>
  <c r="C26" i="1"/>
  <c r="C23" i="1"/>
  <c r="D28" i="1"/>
  <c r="D27" i="1"/>
  <c r="D26" i="1"/>
  <c r="D23" i="1"/>
  <c r="E28" i="1"/>
  <c r="E27" i="1"/>
  <c r="E26" i="1"/>
  <c r="E23" i="1"/>
  <c r="E9" i="2"/>
  <c r="F9" i="2"/>
  <c r="G9" i="2"/>
  <c r="H9" i="2"/>
  <c r="I9" i="2"/>
  <c r="J9" i="2"/>
  <c r="K9" i="2"/>
  <c r="L9" i="2"/>
  <c r="M9" i="2"/>
  <c r="N9" i="2"/>
  <c r="O9" i="2"/>
  <c r="P9" i="2"/>
  <c r="Q9" i="2"/>
  <c r="F35" i="1"/>
  <c r="H28" i="1"/>
  <c r="L30" i="1"/>
  <c r="F23" i="1"/>
  <c r="G35" i="1"/>
  <c r="H35" i="1"/>
  <c r="J35" i="1"/>
  <c r="K35" i="1"/>
  <c r="K30" i="1"/>
  <c r="J30" i="1"/>
  <c r="I28" i="1"/>
  <c r="I27" i="1"/>
  <c r="I26" i="1"/>
  <c r="I23" i="1"/>
  <c r="J28" i="1"/>
  <c r="J27" i="1"/>
  <c r="J26" i="1"/>
  <c r="J23" i="1"/>
  <c r="K28" i="1"/>
  <c r="K27" i="1"/>
  <c r="K26" i="1"/>
  <c r="K23" i="1"/>
  <c r="G27" i="1"/>
  <c r="G26" i="1"/>
  <c r="G23" i="1"/>
  <c r="H26" i="1"/>
  <c r="H27" i="1"/>
  <c r="H23" i="1"/>
  <c r="L27" i="1"/>
  <c r="L26" i="1"/>
  <c r="L23" i="1"/>
</calcChain>
</file>

<file path=xl/sharedStrings.xml><?xml version="1.0" encoding="utf-8"?>
<sst xmlns="http://schemas.openxmlformats.org/spreadsheetml/2006/main" count="163" uniqueCount="114">
  <si>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</si>
  <si>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</si>
  <si>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</si>
  <si>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</si>
  <si>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</si>
  <si>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</si>
  <si>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</si>
  <si>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</si>
  <si>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</si>
  <si>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</si>
  <si>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</si>
  <si>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</si>
  <si>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</si>
  <si>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</si>
  <si>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</si>
  <si>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</si>
  <si>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</si>
  <si>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</si>
  <si>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</si>
  <si>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</si>
  <si>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</si>
  <si>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</si>
  <si>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</si>
  <si>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</si>
  <si>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</si>
  <si>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</si>
  <si>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</si>
  <si>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</si>
  <si>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</si>
  <si>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31/12/2017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</si>
  <si>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</si>
  <si>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</si>
  <si>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</si>
  <si>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</si>
  <si>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</si>
  <si>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</si>
  <si>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</si>
  <si>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</si>
  <si>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</si>
  <si>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31/3/2018</t>
  </si>
  <si>
    <t>30/6/2018</t>
  </si>
  <si>
    <t>30/9/2018</t>
  </si>
  <si>
    <t>31/12/2018</t>
  </si>
  <si>
    <t>Q115</t>
  </si>
  <si>
    <t>Q215</t>
  </si>
  <si>
    <t>Q315</t>
  </si>
  <si>
    <t>Q415</t>
  </si>
  <si>
    <t>R&amp;D y/y</t>
  </si>
  <si>
    <t>S&amp;M y/y</t>
  </si>
  <si>
    <t>G&amp;A y/y</t>
  </si>
  <si>
    <t>30/9/2017</t>
  </si>
  <si>
    <t>Marketplace</t>
  </si>
  <si>
    <t>StubHub</t>
  </si>
  <si>
    <t>Marketing services</t>
  </si>
  <si>
    <t>30/9/2016</t>
  </si>
  <si>
    <t>30/6/2017</t>
  </si>
  <si>
    <t>30/6/2016</t>
  </si>
  <si>
    <t>31/3/2017</t>
  </si>
  <si>
    <t>31/3/2016</t>
  </si>
  <si>
    <t>31/12/2016</t>
  </si>
  <si>
    <t>30/9/2015</t>
  </si>
  <si>
    <t>30/6/2015</t>
  </si>
  <si>
    <t>31/3/2015</t>
  </si>
  <si>
    <t>31/12/2015</t>
  </si>
  <si>
    <t>Investor Relations</t>
  </si>
  <si>
    <t>CEO</t>
  </si>
  <si>
    <t>Founder</t>
  </si>
  <si>
    <t>EDGAR</t>
  </si>
  <si>
    <t>Devin Wenig</t>
  </si>
  <si>
    <t>Pierre Omidyar</t>
  </si>
  <si>
    <t>Ebay Inc (EBAY)</t>
  </si>
  <si>
    <t>Price</t>
  </si>
  <si>
    <t>Expected return on invested capital (innovation grade)</t>
  </si>
  <si>
    <t>Market Cap</t>
  </si>
  <si>
    <t>Inflation + risk premium (opportunity cost)</t>
  </si>
  <si>
    <t>NPV on net income (terminal value)</t>
  </si>
  <si>
    <t>EV</t>
  </si>
  <si>
    <t>per share</t>
  </si>
  <si>
    <t>Intangibles</t>
  </si>
  <si>
    <t>Total assets</t>
  </si>
  <si>
    <t>Total liabilities</t>
  </si>
  <si>
    <t>TWC</t>
  </si>
  <si>
    <t>Equity</t>
  </si>
  <si>
    <t>ROE</t>
  </si>
  <si>
    <t>ROA</t>
  </si>
  <si>
    <t>ROTB</t>
  </si>
  <si>
    <t>ROTWC</t>
  </si>
  <si>
    <t>Marketplace y/y</t>
  </si>
  <si>
    <t>StubHub y/y</t>
  </si>
  <si>
    <t>Marketing services y/y</t>
  </si>
  <si>
    <t>NI 12M</t>
  </si>
  <si>
    <t>Active buyers</t>
  </si>
  <si>
    <t>Marketplace GMV</t>
  </si>
  <si>
    <t>StubHub GMV</t>
  </si>
  <si>
    <t>Active buyers y/y</t>
  </si>
  <si>
    <t>Total GMV</t>
  </si>
  <si>
    <t>Total GMV y/y</t>
  </si>
  <si>
    <t>ARPU</t>
  </si>
  <si>
    <t>ARPU y/y</t>
  </si>
  <si>
    <t>Tax anomaly</t>
  </si>
  <si>
    <t>10 700-10 900 (guidance)</t>
  </si>
  <si>
    <t>Earnings</t>
  </si>
  <si>
    <t>Growth</t>
  </si>
  <si>
    <t>GM</t>
  </si>
  <si>
    <t>OM</t>
  </si>
  <si>
    <t>24/7/2019</t>
  </si>
  <si>
    <t>Q119</t>
  </si>
  <si>
    <t>Q219</t>
  </si>
  <si>
    <t>Q319</t>
  </si>
  <si>
    <t>Q419</t>
  </si>
  <si>
    <t>31/3/2019</t>
  </si>
  <si>
    <t>30/6/2019</t>
  </si>
  <si>
    <t>30/9/2019</t>
  </si>
  <si>
    <t>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</si>
</sst>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</font>
    <font>
      <i/>
      <sz val="10"/>
      <color theme="1"/>
      <name val="Arial"/>
    </font>
    <font>
      <b/>
      <sz val="10"/>
      <color theme="1"/>
      <name val="Arial"/>
    </font>
    <font>
      <u/>
      <sz val="10"/>
      <color theme="1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5" fillId="0" borderId="0" xfId="0" applyFont="1"/>
    <xf numFmtId="4" fontId="5" fillId="0" borderId="0" xfId="0" applyNumberFormat="1" applyFont="1" applyBorder="1"/>
    <xf numFmtId="0" fontId="5" fillId="0" borderId="0" xfId="0" applyFont="1" applyBorder="1"/>
    <xf numFmtId="10" fontId="5" fillId="0" borderId="0" xfId="0" applyNumberFormat="1" applyFont="1"/>
    <xf numFmtId="3" fontId="5" fillId="0" borderId="0" xfId="0" applyNumberFormat="1" applyFont="1" applyBorder="1"/>
    <xf numFmtId="0" fontId="6" fillId="0" borderId="0" xfId="0" applyFont="1"/>
    <xf numFmtId="3" fontId="5" fillId="2" borderId="0" xfId="0" applyNumberFormat="1" applyFont="1" applyFill="1" applyBorder="1"/>
    <xf numFmtId="164" fontId="5" fillId="2" borderId="0" xfId="0" applyNumberFormat="1" applyFont="1" applyFill="1"/>
    <xf numFmtId="0" fontId="7" fillId="0" borderId="0" xfId="0" applyFont="1" applyBorder="1"/>
    <xf numFmtId="164" fontId="7" fillId="2" borderId="0" xfId="0" applyNumberFormat="1" applyFont="1" applyFill="1"/>
    <xf numFmtId="0" fontId="6" fillId="0" borderId="0" xfId="0" applyFont="1" applyBorder="1"/>
    <xf numFmtId="2" fontId="5" fillId="2" borderId="0" xfId="0" applyNumberFormat="1" applyFont="1" applyFill="1"/>
    <xf numFmtId="0" fontId="8" fillId="0" borderId="0" xfId="4" applyFont="1"/>
    <xf numFmtId="0" fontId="7" fillId="0" borderId="0" xfId="0" applyFont="1"/>
    <xf numFmtId="3" fontId="5" fillId="0" borderId="0" xfId="0" applyNumberFormat="1" applyFont="1"/>
    <xf numFmtId="3" fontId="7" fillId="0" borderId="0" xfId="0" applyNumberFormat="1" applyFont="1" applyBorder="1"/>
    <xf numFmtId="2" fontId="5" fillId="0" borderId="0" xfId="0" applyNumberFormat="1" applyFont="1" applyBorder="1"/>
    <xf numFmtId="9" fontId="7" fillId="0" borderId="0" xfId="1" applyFont="1" applyBorder="1"/>
    <xf numFmtId="9" fontId="5" fillId="0" borderId="0" xfId="1" applyFont="1" applyBorder="1"/>
    <xf numFmtId="9" fontId="5" fillId="0" borderId="0" xfId="0" applyNumberFormat="1" applyFont="1" applyBorder="1"/>
    <xf numFmtId="3" fontId="7" fillId="0" borderId="0" xfId="0" applyNumberFormat="1" applyFont="1" applyFill="1" applyBorder="1"/>
    <xf numFmtId="3" fontId="7" fillId="2" borderId="0" xfId="0" applyNumberFormat="1" applyFont="1" applyFill="1" applyBorder="1"/>
    <xf numFmtId="2" fontId="5" fillId="2" borderId="0" xfId="0" applyNumberFormat="1" applyFont="1" applyFill="1" applyBorder="1"/>
    <xf numFmtId="9" fontId="5" fillId="0" borderId="0" xfId="0" applyNumberFormat="1" applyFont="1"/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0" xfId="0" applyNumberFormat="1" applyFont="1" applyFill="1" applyAlignment="1">
      <alignment horizontal="right"/>
    </xf>
    <xf numFmtId="0" fontId="5" fillId="0" borderId="1" xfId="0" applyFont="1" applyBorder="1"/>
    <xf numFmtId="0" fontId="5" fillId="0" borderId="0" xfId="0" applyFont="1" applyFill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3" fontId="7" fillId="2" borderId="0" xfId="0" applyNumberFormat="1" applyFont="1" applyFill="1" applyBorder="1" applyAlignment="1">
      <alignment horizontal="right"/>
    </xf>
    <xf numFmtId="3" fontId="7" fillId="2" borderId="1" xfId="0" applyNumberFormat="1" applyFont="1" applyFill="1" applyBorder="1" applyAlignment="1">
      <alignment horizontal="right"/>
    </xf>
    <xf numFmtId="3" fontId="7" fillId="2" borderId="0" xfId="0" applyNumberFormat="1" applyFont="1" applyFill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Border="1" applyAlignment="1">
      <alignment horizontal="right"/>
    </xf>
    <xf numFmtId="2" fontId="5" fillId="2" borderId="1" xfId="0" applyNumberFormat="1" applyFont="1" applyFill="1" applyBorder="1" applyAlignment="1">
      <alignment horizontal="right"/>
    </xf>
    <xf numFmtId="2" fontId="5" fillId="2" borderId="0" xfId="0" applyNumberFormat="1" applyFont="1" applyFill="1" applyAlignment="1">
      <alignment horizontal="right"/>
    </xf>
    <xf numFmtId="9" fontId="5" fillId="0" borderId="0" xfId="0" applyNumberFormat="1" applyFont="1" applyBorder="1" applyAlignment="1">
      <alignment horizontal="right"/>
    </xf>
    <xf numFmtId="9" fontId="5" fillId="0" borderId="1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9" fontId="5" fillId="0" borderId="0" xfId="0" applyNumberFormat="1" applyFont="1" applyFill="1" applyBorder="1" applyAlignment="1">
      <alignment horizontal="right"/>
    </xf>
    <xf numFmtId="9" fontId="5" fillId="0" borderId="0" xfId="1" applyFont="1" applyBorder="1" applyAlignment="1">
      <alignment horizontal="right"/>
    </xf>
    <xf numFmtId="9" fontId="5" fillId="0" borderId="1" xfId="1" applyFont="1" applyBorder="1" applyAlignment="1">
      <alignment horizontal="right"/>
    </xf>
    <xf numFmtId="9" fontId="5" fillId="0" borderId="0" xfId="1" applyFont="1" applyAlignment="1">
      <alignment horizontal="right"/>
    </xf>
    <xf numFmtId="9" fontId="5" fillId="0" borderId="0" xfId="1" applyFont="1" applyFill="1" applyBorder="1" applyAlignment="1">
      <alignment horizontal="right"/>
    </xf>
    <xf numFmtId="9" fontId="7" fillId="0" borderId="0" xfId="1" applyNumberFormat="1" applyFont="1" applyBorder="1" applyAlignment="1">
      <alignment horizontal="right"/>
    </xf>
    <xf numFmtId="9" fontId="7" fillId="0" borderId="1" xfId="1" applyNumberFormat="1" applyFont="1" applyBorder="1" applyAlignment="1">
      <alignment horizontal="right"/>
    </xf>
    <xf numFmtId="9" fontId="7" fillId="0" borderId="0" xfId="1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5" fillId="0" borderId="0" xfId="1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1" xfId="0" applyFont="1" applyBorder="1" applyAlignment="1">
      <alignment horizontal="right"/>
    </xf>
    <xf numFmtId="3" fontId="5" fillId="0" borderId="0" xfId="0" applyNumberFormat="1" applyFont="1" applyFill="1"/>
    <xf numFmtId="3" fontId="5" fillId="2" borderId="0" xfId="0" applyNumberFormat="1" applyFont="1" applyFill="1"/>
    <xf numFmtId="9" fontId="5" fillId="0" borderId="1" xfId="0" applyNumberFormat="1" applyFont="1" applyFill="1" applyBorder="1" applyAlignment="1">
      <alignment horizontal="right"/>
    </xf>
    <xf numFmtId="9" fontId="5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</cellXfs>
  <cellStyles count="5">
    <cellStyle name="Followed Hyperlink" xfId="3" builtinId="9" hidden="1"/>
    <cellStyle name="Hyperlink" xfId="2" builtinId="8" hidden="1"/>
    <cellStyle name="Hyperlink" xfId="4" builtinId="8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8</xdr:row>
      <xdr:rowOff>0</xdr:rowOff>
    </xdr:from>
    <xdr:to>
      <xdr:col>5</xdr:col>
      <xdr:colOff>88900</xdr:colOff>
      <xdr:row>62</xdr:row>
      <xdr:rowOff>152400</xdr:rowOff>
    </xdr:to>
    <xdr:cxnSp macro="">
      <xdr:nvCxnSpPr>
        <xdr:cNvPr id="4" name="Straight Connector 3"/>
        <xdr:cNvCxnSpPr/>
      </xdr:nvCxnSpPr>
      <xdr:spPr>
        <a:xfrm>
          <a:off x="4724400" y="1320800"/>
          <a:ext cx="0" cy="90678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134055</xdr:colOff>
      <xdr:row>1</xdr:row>
      <xdr:rowOff>0</xdr:rowOff>
    </xdr:from>
    <xdr:to>
      <xdr:col>19</xdr:col>
      <xdr:colOff>134055</xdr:colOff>
      <xdr:row>64</xdr:row>
      <xdr:rowOff>0</xdr:rowOff>
    </xdr:to>
    <xdr:cxnSp macro="">
      <xdr:nvCxnSpPr>
        <xdr:cNvPr id="4" name="Straight Connector 3"/>
        <xdr:cNvCxnSpPr/>
      </xdr:nvCxnSpPr>
      <xdr:spPr>
        <a:xfrm>
          <a:off x="16326555" y="165100"/>
          <a:ext cx="0" cy="10401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nvestors.ebayinc.com/overview/default.aspx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s://en.wikipedia.org/wiki/Devin_Wenig" TargetMode="External"/><Relationship Id="rId2" Type="http://schemas.openxmlformats.org/officeDocument/2006/relationships/hyperlink" Target="https://en.wikipedia.org/wiki/Pierre_Omidya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cgi-bin/browse-edgar?company=ebay&amp;owner=exclude&amp;action=getcompany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62"/>
  <sheetViews>
    <sheetView tabSelected="1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F13" sqref="F13"/>
    </sheetView>
  </sheetViews>
  <sheetFormatPr baseColWidth="10" defaultRowHeight="13" x14ac:dyDescent="0.15"/>
  <cols>
    <col min="1" max="1" width="17.5" style="1" bestFit="1" customWidth="1"/>
    <col min="2" max="16384" width="10.83203125" style="1"/>
  </cols>
  <sheetData>
    <row r="1" spans="1:17" x14ac:dyDescent="0.15">
      <c r="A1" s="13" t="s">
        <v>64</v>
      </c>
      <c r="B1" s="14" t="s">
        <v>70</v>
      </c>
    </row>
    <row r="2" spans="1:17" x14ac:dyDescent="0.15">
      <c r="B2" s="1" t="s">
        <v>71</v>
      </c>
      <c r="C2" s="2">
        <v>40.880000000000003</v>
      </c>
      <c r="D2" s="1" t="s">
        <v>105</v>
      </c>
      <c r="E2" s="3" t="s">
        <v>30</v>
      </c>
      <c r="F2" s="4">
        <v>-0.02</v>
      </c>
      <c r="H2" s="1" t="s">
        <v>4</v>
      </c>
      <c r="I2" s="15">
        <f>E17</f>
        <v>10746</v>
      </c>
    </row>
    <row r="3" spans="1:17" x14ac:dyDescent="0.15">
      <c r="A3" s="14" t="s">
        <v>65</v>
      </c>
      <c r="B3" s="1" t="s">
        <v>17</v>
      </c>
      <c r="C3" s="5">
        <f>Reports!S24</f>
        <v>867</v>
      </c>
      <c r="D3" s="1" t="s">
        <v>107</v>
      </c>
      <c r="E3" s="3" t="s">
        <v>31</v>
      </c>
      <c r="F3" s="4">
        <v>0.02</v>
      </c>
      <c r="G3" s="6" t="s">
        <v>72</v>
      </c>
      <c r="H3" s="1" t="s">
        <v>101</v>
      </c>
      <c r="I3" s="15">
        <f>E28</f>
        <v>2530</v>
      </c>
    </row>
    <row r="4" spans="1:17" x14ac:dyDescent="0.15">
      <c r="A4" s="13" t="s">
        <v>68</v>
      </c>
      <c r="B4" s="1" t="s">
        <v>73</v>
      </c>
      <c r="C4" s="7">
        <f>C2*C3</f>
        <v>35442.959999999999</v>
      </c>
      <c r="E4" s="3" t="s">
        <v>32</v>
      </c>
      <c r="F4" s="4">
        <f>2%+5%</f>
        <v>7.0000000000000007E-2</v>
      </c>
      <c r="G4" s="6" t="s">
        <v>74</v>
      </c>
      <c r="H4" s="1" t="s">
        <v>102</v>
      </c>
      <c r="I4" s="24">
        <f>E36</f>
        <v>9.2850605105257777E-2</v>
      </c>
    </row>
    <row r="5" spans="1:17" x14ac:dyDescent="0.15">
      <c r="B5" s="1" t="s">
        <v>26</v>
      </c>
      <c r="C5" s="5">
        <f>Reports!S35</f>
        <v>-2893</v>
      </c>
      <c r="D5" s="1" t="s">
        <v>107</v>
      </c>
      <c r="E5" s="3" t="s">
        <v>33</v>
      </c>
      <c r="F5" s="8">
        <f>NPV(F4,F28:DR28)</f>
        <v>70799.274645703495</v>
      </c>
      <c r="G5" s="6" t="s">
        <v>75</v>
      </c>
      <c r="H5" s="1" t="s">
        <v>103</v>
      </c>
      <c r="I5" s="24">
        <f>E32</f>
        <v>0.77833612506979344</v>
      </c>
    </row>
    <row r="6" spans="1:17" x14ac:dyDescent="0.15">
      <c r="A6" s="14" t="s">
        <v>66</v>
      </c>
      <c r="B6" s="1" t="s">
        <v>76</v>
      </c>
      <c r="C6" s="7">
        <f>C4-C5</f>
        <v>38335.96</v>
      </c>
      <c r="E6" s="9" t="s">
        <v>34</v>
      </c>
      <c r="F6" s="10">
        <f>F5+C5</f>
        <v>67906.274645703495</v>
      </c>
      <c r="H6" s="1" t="s">
        <v>104</v>
      </c>
      <c r="I6" s="24">
        <f>E33</f>
        <v>0.20677461380978968</v>
      </c>
    </row>
    <row r="7" spans="1:17" x14ac:dyDescent="0.15">
      <c r="A7" s="13" t="s">
        <v>69</v>
      </c>
      <c r="B7" s="6" t="s">
        <v>77</v>
      </c>
      <c r="C7" s="7">
        <f>C6/C3</f>
        <v>44.216793540945787</v>
      </c>
      <c r="E7" s="11" t="s">
        <v>77</v>
      </c>
      <c r="F7" s="12">
        <f>F6/C3</f>
        <v>78.323269487547279</v>
      </c>
      <c r="G7" s="4">
        <f>F7/C2-1</f>
        <v>0.91593124969538331</v>
      </c>
    </row>
    <row r="9" spans="1:17" x14ac:dyDescent="0.15">
      <c r="B9" s="1">
        <v>2015</v>
      </c>
      <c r="C9" s="1">
        <v>2016</v>
      </c>
      <c r="D9" s="1">
        <v>2017</v>
      </c>
      <c r="E9" s="1">
        <f>D9+1</f>
        <v>2018</v>
      </c>
      <c r="F9" s="1">
        <f t="shared" ref="F9:Q9" si="0">E9+1</f>
        <v>2019</v>
      </c>
      <c r="G9" s="1">
        <f t="shared" si="0"/>
        <v>2020</v>
      </c>
      <c r="H9" s="1">
        <f t="shared" si="0"/>
        <v>2021</v>
      </c>
      <c r="I9" s="1">
        <f t="shared" si="0"/>
        <v>2022</v>
      </c>
      <c r="J9" s="1">
        <f t="shared" si="0"/>
        <v>2023</v>
      </c>
      <c r="K9" s="1">
        <f t="shared" si="0"/>
        <v>2024</v>
      </c>
      <c r="L9" s="1">
        <f t="shared" si="0"/>
        <v>2025</v>
      </c>
      <c r="M9" s="1">
        <f t="shared" si="0"/>
        <v>2026</v>
      </c>
      <c r="N9" s="1">
        <f t="shared" si="0"/>
        <v>2027</v>
      </c>
      <c r="O9" s="1">
        <f t="shared" si="0"/>
        <v>2028</v>
      </c>
      <c r="P9" s="1">
        <f t="shared" si="0"/>
        <v>2029</v>
      </c>
      <c r="Q9" s="1">
        <f t="shared" si="0"/>
        <v>2030</v>
      </c>
    </row>
    <row r="10" spans="1:17" x14ac:dyDescent="0.15">
      <c r="A10" s="1" t="s">
        <v>51</v>
      </c>
      <c r="B10" s="5">
        <f>SUM(Reports!B3:E3)</f>
        <v>6103</v>
      </c>
      <c r="C10" s="5">
        <f>SUM(Reports!F3:I3)</f>
        <v>6107</v>
      </c>
      <c r="D10" s="15">
        <f>SUM(Reports!J3:M3)</f>
        <v>6715</v>
      </c>
      <c r="E10" s="15">
        <f>SUM(Reports!N3:Q3)</f>
        <v>7416</v>
      </c>
      <c r="F10" s="15"/>
      <c r="G10" s="15"/>
      <c r="H10" s="15"/>
      <c r="I10" s="15"/>
    </row>
    <row r="11" spans="1:17" x14ac:dyDescent="0.15">
      <c r="A11" s="1" t="s">
        <v>52</v>
      </c>
      <c r="B11" s="5">
        <f>SUM(Reports!B4:E4)</f>
        <v>725</v>
      </c>
      <c r="C11" s="5">
        <f>SUM(Reports!F4:I4)</f>
        <v>937</v>
      </c>
      <c r="D11" s="15">
        <f>SUM(Reports!J4:M4)</f>
        <v>1011</v>
      </c>
      <c r="E11" s="15">
        <f>SUM(Reports!N4:Q4)</f>
        <v>1068</v>
      </c>
      <c r="F11" s="15"/>
      <c r="G11" s="15"/>
      <c r="H11" s="15"/>
      <c r="I11" s="15"/>
    </row>
    <row r="12" spans="1:17" x14ac:dyDescent="0.15">
      <c r="A12" s="1" t="s">
        <v>53</v>
      </c>
      <c r="B12" s="5">
        <f>SUM(Reports!B5:E5)</f>
        <v>1764</v>
      </c>
      <c r="C12" s="5">
        <f>SUM(Reports!F5:I5)</f>
        <v>1935</v>
      </c>
      <c r="D12" s="15">
        <f>SUM(Reports!J5:M5)</f>
        <v>2107</v>
      </c>
      <c r="E12" s="15">
        <f>SUM(Reports!N5:Q5)</f>
        <v>2262</v>
      </c>
      <c r="F12" s="15"/>
      <c r="G12" s="15"/>
      <c r="H12" s="15"/>
      <c r="I12" s="15"/>
    </row>
    <row r="13" spans="1:17" x14ac:dyDescent="0.15">
      <c r="B13" s="5"/>
      <c r="C13" s="5"/>
      <c r="D13" s="15"/>
      <c r="E13" s="15"/>
      <c r="F13" s="15"/>
      <c r="G13" s="15"/>
      <c r="H13" s="15"/>
      <c r="I13" s="15"/>
    </row>
    <row r="14" spans="1:17" x14ac:dyDescent="0.15">
      <c r="A14" s="1" t="s">
        <v>91</v>
      </c>
      <c r="B14" s="5">
        <f>Reports!E7</f>
        <v>162</v>
      </c>
      <c r="C14" s="5">
        <f>Reports!I7</f>
        <v>162</v>
      </c>
      <c r="D14" s="15">
        <f>Reports!M7</f>
        <v>170</v>
      </c>
      <c r="E14" s="15">
        <f>Reports!Q7</f>
        <v>179</v>
      </c>
      <c r="F14" s="15">
        <f>E14*1.05</f>
        <v>187.95000000000002</v>
      </c>
      <c r="G14" s="15">
        <f t="shared" ref="G14:J14" si="1">F14*1.05</f>
        <v>197.34750000000003</v>
      </c>
      <c r="H14" s="15">
        <f t="shared" si="1"/>
        <v>207.21487500000003</v>
      </c>
      <c r="I14" s="15">
        <f t="shared" si="1"/>
        <v>217.57561875000005</v>
      </c>
      <c r="J14" s="15">
        <f t="shared" si="1"/>
        <v>228.45439968750006</v>
      </c>
    </row>
    <row r="15" spans="1:17" x14ac:dyDescent="0.15">
      <c r="A15" s="1" t="s">
        <v>97</v>
      </c>
      <c r="B15" s="7">
        <f>SUM(B10:B12)/B14</f>
        <v>53.037037037037038</v>
      </c>
      <c r="C15" s="7">
        <f>SUM(C10:C12)/C14</f>
        <v>55.425925925925924</v>
      </c>
      <c r="D15" s="7">
        <f>SUM(D10:D12)/D14</f>
        <v>57.841176470588238</v>
      </c>
      <c r="E15" s="7">
        <f>SUM(E10:E12)/E14</f>
        <v>60.033519553072622</v>
      </c>
      <c r="F15" s="15">
        <f>E15*1.02</f>
        <v>61.234189944134073</v>
      </c>
      <c r="G15" s="15">
        <f t="shared" ref="G15:J15" si="2">F15*1.02</f>
        <v>62.458873743016753</v>
      </c>
      <c r="H15" s="15">
        <f t="shared" si="2"/>
        <v>63.708051217877092</v>
      </c>
      <c r="I15" s="15">
        <f t="shared" si="2"/>
        <v>64.982212242234638</v>
      </c>
      <c r="J15" s="15">
        <f t="shared" si="2"/>
        <v>66.281856487079338</v>
      </c>
    </row>
    <row r="16" spans="1:17" x14ac:dyDescent="0.15">
      <c r="E16" s="66"/>
      <c r="F16" s="66" t="s">
        <v>100</v>
      </c>
    </row>
    <row r="17" spans="1:122" x14ac:dyDescent="0.15">
      <c r="A17" s="14" t="s">
        <v>4</v>
      </c>
      <c r="B17" s="22">
        <f t="shared" ref="B17:G17" si="3">B14*B15</f>
        <v>8592</v>
      </c>
      <c r="C17" s="22">
        <f t="shared" si="3"/>
        <v>8979</v>
      </c>
      <c r="D17" s="22">
        <f t="shared" si="3"/>
        <v>9833</v>
      </c>
      <c r="E17" s="22">
        <f t="shared" si="3"/>
        <v>10746</v>
      </c>
      <c r="F17" s="21">
        <f t="shared" si="3"/>
        <v>11508.966</v>
      </c>
      <c r="G17" s="21">
        <f t="shared" si="3"/>
        <v>12326.102586000001</v>
      </c>
      <c r="H17" s="21">
        <f t="shared" ref="H17:I17" si="4">H14*H15</f>
        <v>13201.255869606002</v>
      </c>
      <c r="I17" s="21">
        <f t="shared" si="4"/>
        <v>14138.545036348029</v>
      </c>
      <c r="J17" s="21">
        <f>J14*J15</f>
        <v>15142.381733928742</v>
      </c>
      <c r="K17" s="16">
        <f>J17*1.05</f>
        <v>15899.500820625179</v>
      </c>
      <c r="L17" s="16">
        <f t="shared" ref="L17:Q17" si="5">K17*1.05</f>
        <v>16694.47586165644</v>
      </c>
      <c r="M17" s="16">
        <f t="shared" si="5"/>
        <v>17529.199654739263</v>
      </c>
      <c r="N17" s="16">
        <f t="shared" si="5"/>
        <v>18405.659637476227</v>
      </c>
      <c r="O17" s="16">
        <f t="shared" si="5"/>
        <v>19325.94261935004</v>
      </c>
      <c r="P17" s="16">
        <f t="shared" si="5"/>
        <v>20292.239750317542</v>
      </c>
      <c r="Q17" s="16">
        <f t="shared" si="5"/>
        <v>21306.851737833418</v>
      </c>
    </row>
    <row r="18" spans="1:122" x14ac:dyDescent="0.15">
      <c r="A18" s="1" t="s">
        <v>5</v>
      </c>
      <c r="B18" s="5">
        <f>SUM(Reports!B11:E11)</f>
        <v>1771</v>
      </c>
      <c r="C18" s="5">
        <f>SUM(Reports!F11:I11)</f>
        <v>2007</v>
      </c>
      <c r="D18" s="62">
        <f>SUM(Reports!J11:M11)</f>
        <v>2221</v>
      </c>
      <c r="E18" s="15">
        <f>SUM(Reports!N11:Q11)</f>
        <v>2382</v>
      </c>
      <c r="F18" s="5">
        <f>F17-F19</f>
        <v>2551.1219999999994</v>
      </c>
      <c r="G18" s="5">
        <f t="shared" ref="G18" si="6">G17-G19</f>
        <v>2732.2516620000006</v>
      </c>
      <c r="H18" s="5">
        <f t="shared" ref="H18:Q18" si="7">H17-H19</f>
        <v>2926.241530002002</v>
      </c>
      <c r="I18" s="5">
        <f t="shared" si="7"/>
        <v>3134.0046786321436</v>
      </c>
      <c r="J18" s="5">
        <f t="shared" si="7"/>
        <v>3356.5190108150273</v>
      </c>
      <c r="K18" s="5">
        <f>K17-K19</f>
        <v>3524.3449613557787</v>
      </c>
      <c r="L18" s="5">
        <f t="shared" si="7"/>
        <v>3700.5622094235678</v>
      </c>
      <c r="M18" s="5">
        <f t="shared" si="7"/>
        <v>3885.5903198947453</v>
      </c>
      <c r="N18" s="5">
        <f t="shared" si="7"/>
        <v>4079.8698358894835</v>
      </c>
      <c r="O18" s="5">
        <f t="shared" si="7"/>
        <v>4283.8633276839573</v>
      </c>
      <c r="P18" s="5">
        <f t="shared" si="7"/>
        <v>4498.0564940681561</v>
      </c>
      <c r="Q18" s="5">
        <f t="shared" si="7"/>
        <v>4722.9593187715618</v>
      </c>
    </row>
    <row r="19" spans="1:122" x14ac:dyDescent="0.15">
      <c r="A19" s="1" t="s">
        <v>6</v>
      </c>
      <c r="B19" s="7">
        <f>B17-B18</f>
        <v>6821</v>
      </c>
      <c r="C19" s="7">
        <f>C17-C18</f>
        <v>6972</v>
      </c>
      <c r="D19" s="7">
        <f t="shared" ref="D19:E19" si="8">D17-D18</f>
        <v>7612</v>
      </c>
      <c r="E19" s="7">
        <f t="shared" si="8"/>
        <v>8364</v>
      </c>
      <c r="F19" s="5">
        <f>F17*E32</f>
        <v>8957.844000000001</v>
      </c>
      <c r="G19" s="5">
        <f t="shared" ref="G19:Q19" si="9">G17*F32</f>
        <v>9593.8509240000003</v>
      </c>
      <c r="H19" s="5">
        <f t="shared" si="9"/>
        <v>10275.014339604</v>
      </c>
      <c r="I19" s="5">
        <f t="shared" si="9"/>
        <v>11004.540357715885</v>
      </c>
      <c r="J19" s="5">
        <f t="shared" si="9"/>
        <v>11785.862723113714</v>
      </c>
      <c r="K19" s="5">
        <f t="shared" si="9"/>
        <v>12375.1558592694</v>
      </c>
      <c r="L19" s="5">
        <f t="shared" si="9"/>
        <v>12993.913652232872</v>
      </c>
      <c r="M19" s="5">
        <f t="shared" si="9"/>
        <v>13643.609334844517</v>
      </c>
      <c r="N19" s="5">
        <f t="shared" si="9"/>
        <v>14325.789801586743</v>
      </c>
      <c r="O19" s="5">
        <f t="shared" si="9"/>
        <v>15042.079291666083</v>
      </c>
      <c r="P19" s="5">
        <f t="shared" si="9"/>
        <v>15794.183256249386</v>
      </c>
      <c r="Q19" s="5">
        <f t="shared" si="9"/>
        <v>16583.892419061856</v>
      </c>
    </row>
    <row r="20" spans="1:122" x14ac:dyDescent="0.15">
      <c r="A20" s="1" t="s">
        <v>7</v>
      </c>
      <c r="B20" s="5">
        <f>SUM(Reports!B13:E13)</f>
        <v>923</v>
      </c>
      <c r="C20" s="5">
        <f>SUM(Reports!F13:I13)</f>
        <v>1114</v>
      </c>
      <c r="D20" s="62">
        <f>SUM(Reports!J13:M13)</f>
        <v>1224</v>
      </c>
      <c r="E20" s="15">
        <f>SUM(Reports!N13:Q13)</f>
        <v>1285</v>
      </c>
      <c r="F20" s="5">
        <f>E20*1.05</f>
        <v>1349.25</v>
      </c>
      <c r="G20" s="5">
        <f t="shared" ref="G20:J20" si="10">F20*1.05</f>
        <v>1416.7125000000001</v>
      </c>
      <c r="H20" s="5">
        <f t="shared" si="10"/>
        <v>1487.5481250000003</v>
      </c>
      <c r="I20" s="5">
        <f t="shared" si="10"/>
        <v>1561.9255312500004</v>
      </c>
      <c r="J20" s="5">
        <f t="shared" si="10"/>
        <v>1640.0218078125006</v>
      </c>
      <c r="K20" s="5">
        <f t="shared" ref="K20:Q20" si="11">J20*0.98</f>
        <v>1607.2213716562505</v>
      </c>
      <c r="L20" s="5">
        <f t="shared" si="11"/>
        <v>1575.0769442231256</v>
      </c>
      <c r="M20" s="5">
        <f t="shared" si="11"/>
        <v>1543.5754053386631</v>
      </c>
      <c r="N20" s="5">
        <f t="shared" si="11"/>
        <v>1512.7038972318899</v>
      </c>
      <c r="O20" s="5">
        <f t="shared" si="11"/>
        <v>1482.449819287252</v>
      </c>
      <c r="P20" s="5">
        <f t="shared" si="11"/>
        <v>1452.800822901507</v>
      </c>
      <c r="Q20" s="5">
        <f t="shared" si="11"/>
        <v>1423.7448064434768</v>
      </c>
    </row>
    <row r="21" spans="1:122" x14ac:dyDescent="0.15">
      <c r="A21" s="1" t="s">
        <v>8</v>
      </c>
      <c r="B21" s="5">
        <f>SUM(Reports!B14:E14)</f>
        <v>2267</v>
      </c>
      <c r="C21" s="5">
        <f>SUM(Reports!F14:I14)</f>
        <v>2368</v>
      </c>
      <c r="D21" s="62">
        <f>SUM(Reports!J14:M14)</f>
        <v>2783</v>
      </c>
      <c r="E21" s="15">
        <f>SUM(Reports!N14:Q14)</f>
        <v>3391</v>
      </c>
      <c r="F21" s="5">
        <f>E21*1.1</f>
        <v>3730.1000000000004</v>
      </c>
      <c r="G21" s="5">
        <f t="shared" ref="G21:J21" si="12">F21*1.1</f>
        <v>4103.1100000000006</v>
      </c>
      <c r="H21" s="5">
        <f t="shared" si="12"/>
        <v>4513.4210000000012</v>
      </c>
      <c r="I21" s="5">
        <f t="shared" si="12"/>
        <v>4964.7631000000019</v>
      </c>
      <c r="J21" s="5">
        <f t="shared" si="12"/>
        <v>5461.2394100000029</v>
      </c>
      <c r="K21" s="5">
        <f t="shared" ref="K21:Q21" si="13">J21*1.02</f>
        <v>5570.464198200003</v>
      </c>
      <c r="L21" s="5">
        <f t="shared" si="13"/>
        <v>5681.8734821640028</v>
      </c>
      <c r="M21" s="5">
        <f t="shared" si="13"/>
        <v>5795.5109518072832</v>
      </c>
      <c r="N21" s="5">
        <f t="shared" si="13"/>
        <v>5911.4211708434286</v>
      </c>
      <c r="O21" s="5">
        <f t="shared" si="13"/>
        <v>6029.6495942602969</v>
      </c>
      <c r="P21" s="5">
        <f t="shared" si="13"/>
        <v>6150.2425861455031</v>
      </c>
      <c r="Q21" s="5">
        <f t="shared" si="13"/>
        <v>6273.2474378684128</v>
      </c>
    </row>
    <row r="22" spans="1:122" x14ac:dyDescent="0.15">
      <c r="A22" s="1" t="s">
        <v>9</v>
      </c>
      <c r="B22" s="5">
        <f>SUM(Reports!B15:E15)</f>
        <v>1434</v>
      </c>
      <c r="C22" s="5">
        <f>SUM(Reports!F15:I15)</f>
        <v>1165</v>
      </c>
      <c r="D22" s="62">
        <f>SUM(Reports!J15:M15)</f>
        <v>1341</v>
      </c>
      <c r="E22" s="15">
        <f>SUM(Reports!N15:Q15)</f>
        <v>1466</v>
      </c>
      <c r="F22" s="5">
        <f>E22*1.02</f>
        <v>1495.32</v>
      </c>
      <c r="G22" s="5">
        <f t="shared" ref="G22:J22" si="14">F22*1.02</f>
        <v>1525.2264</v>
      </c>
      <c r="H22" s="5">
        <f t="shared" si="14"/>
        <v>1555.7309279999999</v>
      </c>
      <c r="I22" s="5">
        <f t="shared" si="14"/>
        <v>1586.84554656</v>
      </c>
      <c r="J22" s="5">
        <f t="shared" si="14"/>
        <v>1618.5824574912001</v>
      </c>
      <c r="K22" s="5">
        <f t="shared" ref="K22:Q22" si="15">J22*0.95</f>
        <v>1537.65333461664</v>
      </c>
      <c r="L22" s="5">
        <f t="shared" si="15"/>
        <v>1460.7706678858078</v>
      </c>
      <c r="M22" s="5">
        <f t="shared" si="15"/>
        <v>1387.7321344915174</v>
      </c>
      <c r="N22" s="5">
        <f t="shared" si="15"/>
        <v>1318.3455277669414</v>
      </c>
      <c r="O22" s="5">
        <f t="shared" si="15"/>
        <v>1252.4282513785943</v>
      </c>
      <c r="P22" s="5">
        <f t="shared" si="15"/>
        <v>1189.8068388096644</v>
      </c>
      <c r="Q22" s="5">
        <f t="shared" si="15"/>
        <v>1130.3164968691813</v>
      </c>
    </row>
    <row r="23" spans="1:122" x14ac:dyDescent="0.15">
      <c r="A23" s="1" t="s">
        <v>10</v>
      </c>
      <c r="B23" s="7">
        <f>SUM(B20:B22)</f>
        <v>4624</v>
      </c>
      <c r="C23" s="7">
        <f>SUM(C20:C22)</f>
        <v>4647</v>
      </c>
      <c r="D23" s="7">
        <f t="shared" ref="D23" si="16">SUM(D20:D22)</f>
        <v>5348</v>
      </c>
      <c r="E23" s="7">
        <f t="shared" ref="E23" si="17">SUM(E20:E22)</f>
        <v>6142</v>
      </c>
      <c r="F23" s="5">
        <f t="shared" ref="F23:G23" si="18">SUM(F20:F22)</f>
        <v>6574.67</v>
      </c>
      <c r="G23" s="5">
        <f t="shared" si="18"/>
        <v>7045.0488999999998</v>
      </c>
      <c r="H23" s="5">
        <f t="shared" ref="H23:Q23" si="19">SUM(H20:H22)</f>
        <v>7556.7000530000014</v>
      </c>
      <c r="I23" s="5">
        <f t="shared" si="19"/>
        <v>8113.5341778100028</v>
      </c>
      <c r="J23" s="5">
        <f t="shared" si="19"/>
        <v>8719.843675303704</v>
      </c>
      <c r="K23" s="5">
        <f t="shared" si="19"/>
        <v>8715.3389044728938</v>
      </c>
      <c r="L23" s="5">
        <f t="shared" si="19"/>
        <v>8717.7210942729362</v>
      </c>
      <c r="M23" s="5">
        <f t="shared" si="19"/>
        <v>8726.8184916374648</v>
      </c>
      <c r="N23" s="5">
        <f t="shared" si="19"/>
        <v>8742.4705958422601</v>
      </c>
      <c r="O23" s="5">
        <f t="shared" si="19"/>
        <v>8764.5276649261432</v>
      </c>
      <c r="P23" s="5">
        <f t="shared" si="19"/>
        <v>8792.8502478566734</v>
      </c>
      <c r="Q23" s="5">
        <f t="shared" si="19"/>
        <v>8827.3087411810702</v>
      </c>
    </row>
    <row r="24" spans="1:122" x14ac:dyDescent="0.15">
      <c r="A24" s="1" t="s">
        <v>11</v>
      </c>
      <c r="B24" s="7">
        <f>B19-B23</f>
        <v>2197</v>
      </c>
      <c r="C24" s="7">
        <f>C19-C23</f>
        <v>2325</v>
      </c>
      <c r="D24" s="7">
        <f t="shared" ref="D24" si="20">D19-D23</f>
        <v>2264</v>
      </c>
      <c r="E24" s="7">
        <f t="shared" ref="E24" si="21">E19-E23</f>
        <v>2222</v>
      </c>
      <c r="F24" s="5">
        <f t="shared" ref="F24:G24" si="22">F19-F23</f>
        <v>2383.1740000000009</v>
      </c>
      <c r="G24" s="5">
        <f t="shared" si="22"/>
        <v>2548.8020240000005</v>
      </c>
      <c r="H24" s="5">
        <f t="shared" ref="H24:Q24" si="23">H19-H23</f>
        <v>2718.3142866039989</v>
      </c>
      <c r="I24" s="5">
        <f t="shared" si="23"/>
        <v>2891.0061799058822</v>
      </c>
      <c r="J24" s="5">
        <f t="shared" si="23"/>
        <v>3066.0190478100103</v>
      </c>
      <c r="K24" s="5">
        <f t="shared" si="23"/>
        <v>3659.8169547965063</v>
      </c>
      <c r="L24" s="5">
        <f t="shared" si="23"/>
        <v>4276.1925579599356</v>
      </c>
      <c r="M24" s="5">
        <f t="shared" si="23"/>
        <v>4916.7908432070526</v>
      </c>
      <c r="N24" s="5">
        <f t="shared" si="23"/>
        <v>5583.319205744483</v>
      </c>
      <c r="O24" s="5">
        <f t="shared" si="23"/>
        <v>6277.5516267399398</v>
      </c>
      <c r="P24" s="5">
        <f t="shared" si="23"/>
        <v>7001.3330083927121</v>
      </c>
      <c r="Q24" s="5">
        <f t="shared" si="23"/>
        <v>7756.5836778807861</v>
      </c>
    </row>
    <row r="25" spans="1:122" x14ac:dyDescent="0.15">
      <c r="A25" s="1" t="s">
        <v>12</v>
      </c>
      <c r="B25" s="5">
        <f>SUM(Reports!B18:E18)</f>
        <v>209</v>
      </c>
      <c r="C25" s="5">
        <f>SUM(Reports!F18:I18)</f>
        <v>1314</v>
      </c>
      <c r="D25" s="62">
        <f>SUM(Reports!J18:M18)</f>
        <v>7</v>
      </c>
      <c r="E25" s="15">
        <f>SUM(Reports!N18:Q18)</f>
        <v>498</v>
      </c>
      <c r="F25" s="5">
        <f>E41*($F$3)</f>
        <v>-10.76</v>
      </c>
      <c r="G25" s="5">
        <f>F41*($F$3)</f>
        <v>33.373878088235308</v>
      </c>
      <c r="H25" s="5">
        <f t="shared" ref="H25:Q25" si="24">G41*($F$3)</f>
        <v>81.409944502082638</v>
      </c>
      <c r="I25" s="5">
        <f t="shared" si="24"/>
        <v>133.49304968368841</v>
      </c>
      <c r="J25" s="5">
        <f t="shared" si="24"/>
        <v>189.7576309400238</v>
      </c>
      <c r="K25" s="5">
        <f t="shared" si="24"/>
        <v>250.32465297853545</v>
      </c>
      <c r="L25" s="5">
        <f t="shared" si="24"/>
        <v>323.06478729964465</v>
      </c>
      <c r="M25" s="5">
        <f t="shared" si="24"/>
        <v>408.62450114895898</v>
      </c>
      <c r="N25" s="5">
        <f t="shared" si="24"/>
        <v>507.69288954028775</v>
      </c>
      <c r="O25" s="5">
        <f t="shared" si="24"/>
        <v>621.00362925404113</v>
      </c>
      <c r="P25" s="5">
        <f t="shared" si="24"/>
        <v>749.33704688392913</v>
      </c>
      <c r="Q25" s="5">
        <f t="shared" si="24"/>
        <v>893.52230600047267</v>
      </c>
    </row>
    <row r="26" spans="1:122" x14ac:dyDescent="0.15">
      <c r="A26" s="1" t="s">
        <v>13</v>
      </c>
      <c r="B26" s="7">
        <f>B24+B25</f>
        <v>2406</v>
      </c>
      <c r="C26" s="7">
        <f>C24+C25</f>
        <v>3639</v>
      </c>
      <c r="D26" s="7">
        <f t="shared" ref="D26:E26" si="25">D24+D25</f>
        <v>2271</v>
      </c>
      <c r="E26" s="7">
        <f t="shared" si="25"/>
        <v>2720</v>
      </c>
      <c r="F26" s="5">
        <f t="shared" ref="F26:G26" si="26">F24+F25</f>
        <v>2372.4140000000007</v>
      </c>
      <c r="G26" s="5">
        <f t="shared" si="26"/>
        <v>2582.1759020882359</v>
      </c>
      <c r="H26" s="5">
        <f t="shared" ref="H26:Q26" si="27">H24+H25</f>
        <v>2799.7242311060813</v>
      </c>
      <c r="I26" s="5">
        <f t="shared" si="27"/>
        <v>3024.4992295895704</v>
      </c>
      <c r="J26" s="5">
        <f t="shared" si="27"/>
        <v>3255.7766787500341</v>
      </c>
      <c r="K26" s="5">
        <f t="shared" si="27"/>
        <v>3910.1416077750418</v>
      </c>
      <c r="L26" s="5">
        <f t="shared" si="27"/>
        <v>4599.2573452595807</v>
      </c>
      <c r="M26" s="5">
        <f t="shared" si="27"/>
        <v>5325.4153443560117</v>
      </c>
      <c r="N26" s="5">
        <f t="shared" si="27"/>
        <v>6091.012095284771</v>
      </c>
      <c r="O26" s="5">
        <f t="shared" si="27"/>
        <v>6898.5552559939806</v>
      </c>
      <c r="P26" s="5">
        <f t="shared" si="27"/>
        <v>7750.6700552766415</v>
      </c>
      <c r="Q26" s="5">
        <f t="shared" si="27"/>
        <v>8650.105983881258</v>
      </c>
    </row>
    <row r="27" spans="1:122" x14ac:dyDescent="0.15">
      <c r="A27" s="1" t="s">
        <v>14</v>
      </c>
      <c r="B27" s="5">
        <f>SUM(Reports!B20:E20)</f>
        <v>459</v>
      </c>
      <c r="C27" s="5">
        <f>SUM(Reports!F20:I20)</f>
        <v>699.20615384615382</v>
      </c>
      <c r="D27" s="62">
        <f>SUM(Reports!J20:M20)</f>
        <v>461.71234361876151</v>
      </c>
      <c r="E27" s="15">
        <f>SUM(Reports!N20:Q20)</f>
        <v>190</v>
      </c>
      <c r="F27" s="5">
        <f>F26*E34</f>
        <v>165.72009558823535</v>
      </c>
      <c r="G27" s="5">
        <f t="shared" ref="G27:Q27" si="28">G26*F34</f>
        <v>180.37258139586942</v>
      </c>
      <c r="H27" s="5">
        <f t="shared" si="28"/>
        <v>195.56897202579245</v>
      </c>
      <c r="I27" s="5">
        <f t="shared" si="28"/>
        <v>211.27016677280088</v>
      </c>
      <c r="J27" s="5">
        <f t="shared" si="28"/>
        <v>227.42557682445093</v>
      </c>
      <c r="K27" s="5">
        <f t="shared" si="28"/>
        <v>273.13489171958014</v>
      </c>
      <c r="L27" s="5">
        <f t="shared" si="28"/>
        <v>321.27165279386776</v>
      </c>
      <c r="M27" s="5">
        <f t="shared" si="28"/>
        <v>371.99592478957436</v>
      </c>
      <c r="N27" s="5">
        <f t="shared" si="28"/>
        <v>425.47510959709797</v>
      </c>
      <c r="O27" s="5">
        <f t="shared" si="28"/>
        <v>481.88437449957956</v>
      </c>
      <c r="P27" s="5">
        <f t="shared" si="28"/>
        <v>541.40709944947127</v>
      </c>
      <c r="Q27" s="5">
        <f t="shared" si="28"/>
        <v>604.23534446229382</v>
      </c>
    </row>
    <row r="28" spans="1:122" s="14" customFormat="1" x14ac:dyDescent="0.15">
      <c r="A28" s="14" t="s">
        <v>15</v>
      </c>
      <c r="B28" s="22">
        <f>B26-B27</f>
        <v>1947</v>
      </c>
      <c r="C28" s="22">
        <f>C26-C27</f>
        <v>2939.7938461538461</v>
      </c>
      <c r="D28" s="22">
        <f>D26-D27</f>
        <v>1809.2876563812385</v>
      </c>
      <c r="E28" s="22">
        <f t="shared" ref="E28" si="29">E26-E27</f>
        <v>2530</v>
      </c>
      <c r="F28" s="22">
        <f t="shared" ref="F28:G28" si="30">F26-F27</f>
        <v>2206.6939044117653</v>
      </c>
      <c r="G28" s="22">
        <f t="shared" si="30"/>
        <v>2401.8033206923665</v>
      </c>
      <c r="H28" s="22">
        <f t="shared" ref="H28:Q28" si="31">H26-H27</f>
        <v>2604.1552590802889</v>
      </c>
      <c r="I28" s="22">
        <f t="shared" si="31"/>
        <v>2813.2290628167693</v>
      </c>
      <c r="J28" s="22">
        <f t="shared" si="31"/>
        <v>3028.351101925583</v>
      </c>
      <c r="K28" s="22">
        <f t="shared" si="31"/>
        <v>3637.0067160554618</v>
      </c>
      <c r="L28" s="22">
        <f t="shared" si="31"/>
        <v>4277.9856924657133</v>
      </c>
      <c r="M28" s="22">
        <f t="shared" si="31"/>
        <v>4953.4194195664377</v>
      </c>
      <c r="N28" s="22">
        <f t="shared" si="31"/>
        <v>5665.5369856876732</v>
      </c>
      <c r="O28" s="22">
        <f t="shared" si="31"/>
        <v>6416.6708814944013</v>
      </c>
      <c r="P28" s="22">
        <f t="shared" si="31"/>
        <v>7209.2629558271701</v>
      </c>
      <c r="Q28" s="22">
        <f t="shared" si="31"/>
        <v>8045.8706394189639</v>
      </c>
      <c r="R28" s="22">
        <f>Q28*($F$2+1)</f>
        <v>7884.9532266305841</v>
      </c>
      <c r="S28" s="22">
        <f t="shared" ref="S28:V28" si="32">R28*($F$2+1)</f>
        <v>7727.2541620979728</v>
      </c>
      <c r="T28" s="22">
        <f t="shared" si="32"/>
        <v>7572.7090788560135</v>
      </c>
      <c r="U28" s="22">
        <f t="shared" si="32"/>
        <v>7421.2548972788927</v>
      </c>
      <c r="V28" s="22">
        <f t="shared" si="32"/>
        <v>7272.8297993333144</v>
      </c>
      <c r="W28" s="22">
        <f>V28*($F$2+1)</f>
        <v>7127.3732033466476</v>
      </c>
      <c r="X28" s="22">
        <f t="shared" ref="X28:CI28" si="33">W28*($F$2+1)</f>
        <v>6984.825739279715</v>
      </c>
      <c r="Y28" s="22">
        <f t="shared" si="33"/>
        <v>6845.1292244941205</v>
      </c>
      <c r="Z28" s="22">
        <f t="shared" si="33"/>
        <v>6708.2266400042381</v>
      </c>
      <c r="AA28" s="22">
        <f t="shared" si="33"/>
        <v>6574.0621072041531</v>
      </c>
      <c r="AB28" s="22">
        <f t="shared" si="33"/>
        <v>6442.5808650600702</v>
      </c>
      <c r="AC28" s="22">
        <f t="shared" si="33"/>
        <v>6313.729247758869</v>
      </c>
      <c r="AD28" s="22">
        <f t="shared" si="33"/>
        <v>6187.4546628036915</v>
      </c>
      <c r="AE28" s="22">
        <f t="shared" si="33"/>
        <v>6063.7055695476174</v>
      </c>
      <c r="AF28" s="22">
        <f t="shared" si="33"/>
        <v>5942.431458156665</v>
      </c>
      <c r="AG28" s="22">
        <f t="shared" si="33"/>
        <v>5823.5828289935316</v>
      </c>
      <c r="AH28" s="22">
        <f t="shared" si="33"/>
        <v>5707.1111724136608</v>
      </c>
      <c r="AI28" s="22">
        <f t="shared" si="33"/>
        <v>5592.9689489653874</v>
      </c>
      <c r="AJ28" s="22">
        <f t="shared" si="33"/>
        <v>5481.1095699860798</v>
      </c>
      <c r="AK28" s="22">
        <f t="shared" si="33"/>
        <v>5371.4873785863583</v>
      </c>
      <c r="AL28" s="22">
        <f t="shared" si="33"/>
        <v>5264.0576310146307</v>
      </c>
      <c r="AM28" s="22">
        <f t="shared" si="33"/>
        <v>5158.7764783943376</v>
      </c>
      <c r="AN28" s="22">
        <f t="shared" si="33"/>
        <v>5055.6009488264508</v>
      </c>
      <c r="AO28" s="22">
        <f t="shared" si="33"/>
        <v>4954.488929849922</v>
      </c>
      <c r="AP28" s="22">
        <f t="shared" si="33"/>
        <v>4855.3991512529237</v>
      </c>
      <c r="AQ28" s="22">
        <f t="shared" si="33"/>
        <v>4758.2911682278655</v>
      </c>
      <c r="AR28" s="22">
        <f t="shared" si="33"/>
        <v>4663.1253448633079</v>
      </c>
      <c r="AS28" s="22">
        <f t="shared" si="33"/>
        <v>4569.8628379660413</v>
      </c>
      <c r="AT28" s="22">
        <f t="shared" si="33"/>
        <v>4478.4655812067203</v>
      </c>
      <c r="AU28" s="22">
        <f t="shared" si="33"/>
        <v>4388.8962695825858</v>
      </c>
      <c r="AV28" s="22">
        <f t="shared" si="33"/>
        <v>4301.1183441909343</v>
      </c>
      <c r="AW28" s="22">
        <f t="shared" si="33"/>
        <v>4215.0959773071154</v>
      </c>
      <c r="AX28" s="22">
        <f t="shared" si="33"/>
        <v>4130.7940577609734</v>
      </c>
      <c r="AY28" s="22">
        <f t="shared" si="33"/>
        <v>4048.1781766057538</v>
      </c>
      <c r="AZ28" s="22">
        <f t="shared" si="33"/>
        <v>3967.2146130736387</v>
      </c>
      <c r="BA28" s="22">
        <f t="shared" si="33"/>
        <v>3887.870320812166</v>
      </c>
      <c r="BB28" s="22">
        <f t="shared" si="33"/>
        <v>3810.1129143959224</v>
      </c>
      <c r="BC28" s="22">
        <f t="shared" si="33"/>
        <v>3733.9106561080039</v>
      </c>
      <c r="BD28" s="22">
        <f t="shared" si="33"/>
        <v>3659.2324429858436</v>
      </c>
      <c r="BE28" s="22">
        <f t="shared" si="33"/>
        <v>3586.0477941261265</v>
      </c>
      <c r="BF28" s="22">
        <f t="shared" si="33"/>
        <v>3514.326838243604</v>
      </c>
      <c r="BG28" s="22">
        <f t="shared" si="33"/>
        <v>3444.0403014787321</v>
      </c>
      <c r="BH28" s="22">
        <f t="shared" si="33"/>
        <v>3375.1594954491575</v>
      </c>
      <c r="BI28" s="22">
        <f t="shared" si="33"/>
        <v>3307.6563055401743</v>
      </c>
      <c r="BJ28" s="22">
        <f t="shared" si="33"/>
        <v>3241.5031794293709</v>
      </c>
      <c r="BK28" s="22">
        <f t="shared" si="33"/>
        <v>3176.6731158407833</v>
      </c>
      <c r="BL28" s="22">
        <f t="shared" si="33"/>
        <v>3113.1396535239678</v>
      </c>
      <c r="BM28" s="22">
        <f t="shared" si="33"/>
        <v>3050.8768604534885</v>
      </c>
      <c r="BN28" s="22">
        <f t="shared" si="33"/>
        <v>2989.8593232444186</v>
      </c>
      <c r="BO28" s="22">
        <f t="shared" si="33"/>
        <v>2930.0621367795302</v>
      </c>
      <c r="BP28" s="22">
        <f t="shared" si="33"/>
        <v>2871.4608940439393</v>
      </c>
      <c r="BQ28" s="22">
        <f t="shared" si="33"/>
        <v>2814.0316761630606</v>
      </c>
      <c r="BR28" s="22">
        <f t="shared" si="33"/>
        <v>2757.7510426397994</v>
      </c>
      <c r="BS28" s="22">
        <f t="shared" si="33"/>
        <v>2702.5960217870033</v>
      </c>
      <c r="BT28" s="22">
        <f t="shared" si="33"/>
        <v>2648.5441013512632</v>
      </c>
      <c r="BU28" s="22">
        <f t="shared" si="33"/>
        <v>2595.5732193242379</v>
      </c>
      <c r="BV28" s="22">
        <f t="shared" si="33"/>
        <v>2543.6617549377529</v>
      </c>
      <c r="BW28" s="22">
        <f t="shared" si="33"/>
        <v>2492.7885198389977</v>
      </c>
      <c r="BX28" s="22">
        <f t="shared" si="33"/>
        <v>2442.9327494422178</v>
      </c>
      <c r="BY28" s="22">
        <f t="shared" si="33"/>
        <v>2394.0740944533732</v>
      </c>
      <c r="BZ28" s="22">
        <f t="shared" si="33"/>
        <v>2346.1926125643058</v>
      </c>
      <c r="CA28" s="22">
        <f t="shared" si="33"/>
        <v>2299.2687603130198</v>
      </c>
      <c r="CB28" s="22">
        <f t="shared" si="33"/>
        <v>2253.2833851067594</v>
      </c>
      <c r="CC28" s="22">
        <f t="shared" si="33"/>
        <v>2208.2177174046242</v>
      </c>
      <c r="CD28" s="22">
        <f t="shared" si="33"/>
        <v>2164.0533630565315</v>
      </c>
      <c r="CE28" s="22">
        <f t="shared" si="33"/>
        <v>2120.7722957954006</v>
      </c>
      <c r="CF28" s="22">
        <f t="shared" si="33"/>
        <v>2078.3568498794925</v>
      </c>
      <c r="CG28" s="22">
        <f t="shared" si="33"/>
        <v>2036.7897128819027</v>
      </c>
      <c r="CH28" s="22">
        <f t="shared" si="33"/>
        <v>1996.0539186242645</v>
      </c>
      <c r="CI28" s="22">
        <f t="shared" si="33"/>
        <v>1956.1328402517793</v>
      </c>
      <c r="CJ28" s="22">
        <f t="shared" ref="CJ28:DR28" si="34">CI28*($F$2+1)</f>
        <v>1917.0101834467437</v>
      </c>
      <c r="CK28" s="22">
        <f t="shared" si="34"/>
        <v>1878.6699797778087</v>
      </c>
      <c r="CL28" s="22">
        <f t="shared" si="34"/>
        <v>1841.0965801822526</v>
      </c>
      <c r="CM28" s="22">
        <f t="shared" si="34"/>
        <v>1804.2746485786076</v>
      </c>
      <c r="CN28" s="22">
        <f t="shared" si="34"/>
        <v>1768.1891556070354</v>
      </c>
      <c r="CO28" s="22">
        <f t="shared" si="34"/>
        <v>1732.8253724948947</v>
      </c>
      <c r="CP28" s="22">
        <f t="shared" si="34"/>
        <v>1698.1688650449969</v>
      </c>
      <c r="CQ28" s="22">
        <f t="shared" si="34"/>
        <v>1664.2054877440969</v>
      </c>
      <c r="CR28" s="22">
        <f t="shared" si="34"/>
        <v>1630.921377989215</v>
      </c>
      <c r="CS28" s="22">
        <f t="shared" si="34"/>
        <v>1598.3029504294307</v>
      </c>
      <c r="CT28" s="22">
        <f t="shared" si="34"/>
        <v>1566.336891420842</v>
      </c>
      <c r="CU28" s="22">
        <f t="shared" si="34"/>
        <v>1535.010153592425</v>
      </c>
      <c r="CV28" s="22">
        <f t="shared" si="34"/>
        <v>1504.3099505205764</v>
      </c>
      <c r="CW28" s="22">
        <f t="shared" si="34"/>
        <v>1474.2237515101649</v>
      </c>
      <c r="CX28" s="22">
        <f t="shared" si="34"/>
        <v>1444.7392764799615</v>
      </c>
      <c r="CY28" s="22">
        <f t="shared" si="34"/>
        <v>1415.8444909503623</v>
      </c>
      <c r="CZ28" s="22">
        <f t="shared" si="34"/>
        <v>1387.5276011313551</v>
      </c>
      <c r="DA28" s="22">
        <f t="shared" si="34"/>
        <v>1359.7770491087281</v>
      </c>
      <c r="DB28" s="22">
        <f t="shared" si="34"/>
        <v>1332.5815081265534</v>
      </c>
      <c r="DC28" s="22">
        <f t="shared" si="34"/>
        <v>1305.9298779640224</v>
      </c>
      <c r="DD28" s="22">
        <f t="shared" si="34"/>
        <v>1279.8112804047419</v>
      </c>
      <c r="DE28" s="22">
        <f t="shared" si="34"/>
        <v>1254.2150547966471</v>
      </c>
      <c r="DF28" s="22">
        <f t="shared" si="34"/>
        <v>1229.1307537007142</v>
      </c>
      <c r="DG28" s="22">
        <f t="shared" si="34"/>
        <v>1204.5481386266999</v>
      </c>
      <c r="DH28" s="22">
        <f t="shared" si="34"/>
        <v>1180.4571758541658</v>
      </c>
      <c r="DI28" s="22">
        <f t="shared" si="34"/>
        <v>1156.8480323370825</v>
      </c>
      <c r="DJ28" s="22">
        <f t="shared" si="34"/>
        <v>1133.7110716903408</v>
      </c>
      <c r="DK28" s="22">
        <f t="shared" si="34"/>
        <v>1111.0368502565339</v>
      </c>
      <c r="DL28" s="22">
        <f t="shared" si="34"/>
        <v>1088.8161132514031</v>
      </c>
      <c r="DM28" s="22">
        <f t="shared" si="34"/>
        <v>1067.039790986375</v>
      </c>
      <c r="DN28" s="22">
        <f t="shared" si="34"/>
        <v>1045.6989951666476</v>
      </c>
      <c r="DO28" s="22">
        <f t="shared" si="34"/>
        <v>1024.7850152633146</v>
      </c>
      <c r="DP28" s="22">
        <f t="shared" si="34"/>
        <v>1004.2893149580483</v>
      </c>
      <c r="DQ28" s="22">
        <f t="shared" si="34"/>
        <v>984.20352865888731</v>
      </c>
      <c r="DR28" s="22">
        <f t="shared" si="34"/>
        <v>964.51945808570952</v>
      </c>
    </row>
    <row r="29" spans="1:122" x14ac:dyDescent="0.15">
      <c r="A29" s="1" t="s">
        <v>16</v>
      </c>
      <c r="B29" s="23">
        <f>B28/B30</f>
        <v>1.5955746773202213</v>
      </c>
      <c r="C29" s="23">
        <f>C28/C30</f>
        <v>2.5691884170013948</v>
      </c>
      <c r="D29" s="23">
        <f t="shared" ref="D29:E29" si="35">D28/D30</f>
        <v>1.6807131039305514</v>
      </c>
      <c r="E29" s="23">
        <f t="shared" si="35"/>
        <v>2.3502090106827684</v>
      </c>
      <c r="F29" s="17">
        <f t="shared" ref="F29:G29" si="36">F28/F30</f>
        <v>2.0498782205404229</v>
      </c>
      <c r="G29" s="17">
        <f t="shared" si="36"/>
        <v>2.2311224530351756</v>
      </c>
      <c r="H29" s="17">
        <f t="shared" ref="H29:Q29" si="37">H28/H30</f>
        <v>2.4190945277104401</v>
      </c>
      <c r="I29" s="17">
        <f t="shared" si="37"/>
        <v>2.6133107875678303</v>
      </c>
      <c r="J29" s="17">
        <f t="shared" si="37"/>
        <v>2.8131454732239507</v>
      </c>
      <c r="K29" s="17">
        <f t="shared" si="37"/>
        <v>3.3785478086906289</v>
      </c>
      <c r="L29" s="17">
        <f t="shared" si="37"/>
        <v>3.9739764909110202</v>
      </c>
      <c r="M29" s="17">
        <f t="shared" si="37"/>
        <v>4.6014114440933005</v>
      </c>
      <c r="N29" s="17">
        <f t="shared" si="37"/>
        <v>5.262923349454411</v>
      </c>
      <c r="O29" s="17">
        <f t="shared" si="37"/>
        <v>5.9606789424007447</v>
      </c>
      <c r="P29" s="17">
        <f t="shared" si="37"/>
        <v>6.6969465451251002</v>
      </c>
      <c r="Q29" s="17">
        <f t="shared" si="37"/>
        <v>7.4741018480436265</v>
      </c>
    </row>
    <row r="30" spans="1:122" x14ac:dyDescent="0.15">
      <c r="A30" s="1" t="s">
        <v>17</v>
      </c>
      <c r="B30" s="5">
        <f>AVERAGE(Reports!B24:E24)</f>
        <v>1220.25</v>
      </c>
      <c r="C30" s="5">
        <f>AVERAGE(Reports!F24:I24)</f>
        <v>1144.25</v>
      </c>
      <c r="D30" s="5">
        <f>AVERAGE(Reports!J24:M24)</f>
        <v>1076.5</v>
      </c>
      <c r="E30" s="5">
        <f t="shared" ref="E30" si="38">D30</f>
        <v>1076.5</v>
      </c>
      <c r="F30" s="5">
        <f>E30</f>
        <v>1076.5</v>
      </c>
      <c r="G30" s="5">
        <f t="shared" ref="G30" si="39">F30</f>
        <v>1076.5</v>
      </c>
      <c r="H30" s="5">
        <f t="shared" ref="H30" si="40">G30</f>
        <v>1076.5</v>
      </c>
      <c r="I30" s="5">
        <f t="shared" ref="I30" si="41">H30</f>
        <v>1076.5</v>
      </c>
      <c r="J30" s="5">
        <f t="shared" ref="J30" si="42">I30</f>
        <v>1076.5</v>
      </c>
      <c r="K30" s="5">
        <f t="shared" ref="K30" si="43">J30</f>
        <v>1076.5</v>
      </c>
      <c r="L30" s="5">
        <f t="shared" ref="L30" si="44">K30</f>
        <v>1076.5</v>
      </c>
      <c r="M30" s="5">
        <f t="shared" ref="M30" si="45">L30</f>
        <v>1076.5</v>
      </c>
      <c r="N30" s="5">
        <f t="shared" ref="N30" si="46">M30</f>
        <v>1076.5</v>
      </c>
      <c r="O30" s="5">
        <f t="shared" ref="O30" si="47">N30</f>
        <v>1076.5</v>
      </c>
      <c r="P30" s="5">
        <f t="shared" ref="P30" si="48">O30</f>
        <v>1076.5</v>
      </c>
      <c r="Q30" s="5">
        <f t="shared" ref="Q30" si="49">P30</f>
        <v>1076.5</v>
      </c>
    </row>
    <row r="31" spans="1:122" x14ac:dyDescent="0.1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</row>
    <row r="32" spans="1:122" x14ac:dyDescent="0.15">
      <c r="A32" s="1" t="s">
        <v>19</v>
      </c>
      <c r="B32" s="20">
        <f t="shared" ref="B32:Q32" si="50">IFERROR(B19/B17,0)</f>
        <v>0.79387802607076352</v>
      </c>
      <c r="C32" s="20">
        <f t="shared" si="50"/>
        <v>0.77647844971600399</v>
      </c>
      <c r="D32" s="20">
        <f t="shared" si="50"/>
        <v>0.77412793654022172</v>
      </c>
      <c r="E32" s="20">
        <f>IFERROR(E19/E17,0)</f>
        <v>0.77833612506979344</v>
      </c>
      <c r="F32" s="20">
        <f t="shared" si="50"/>
        <v>0.77833612506979344</v>
      </c>
      <c r="G32" s="20">
        <f t="shared" si="50"/>
        <v>0.77833612506979333</v>
      </c>
      <c r="H32" s="20">
        <f t="shared" si="50"/>
        <v>0.77833612506979333</v>
      </c>
      <c r="I32" s="20">
        <f t="shared" si="50"/>
        <v>0.77833612506979333</v>
      </c>
      <c r="J32" s="20">
        <f t="shared" si="50"/>
        <v>0.77833612506979333</v>
      </c>
      <c r="K32" s="20">
        <f t="shared" si="50"/>
        <v>0.77833612506979333</v>
      </c>
      <c r="L32" s="20">
        <f t="shared" si="50"/>
        <v>0.77833612506979333</v>
      </c>
      <c r="M32" s="20">
        <f t="shared" si="50"/>
        <v>0.77833612506979333</v>
      </c>
      <c r="N32" s="20">
        <f t="shared" si="50"/>
        <v>0.77833612506979333</v>
      </c>
      <c r="O32" s="20">
        <f t="shared" si="50"/>
        <v>0.77833612506979333</v>
      </c>
      <c r="P32" s="20">
        <f t="shared" si="50"/>
        <v>0.77833612506979333</v>
      </c>
      <c r="Q32" s="20">
        <f t="shared" si="50"/>
        <v>0.77833612506979344</v>
      </c>
    </row>
    <row r="33" spans="1:17" x14ac:dyDescent="0.15">
      <c r="A33" s="1" t="s">
        <v>20</v>
      </c>
      <c r="B33" s="19">
        <f t="shared" ref="B33:Q33" si="51">IFERROR(B24/B17,0)</f>
        <v>0.25570297951582865</v>
      </c>
      <c r="C33" s="19">
        <f t="shared" si="51"/>
        <v>0.25893752088205813</v>
      </c>
      <c r="D33" s="19">
        <f t="shared" si="51"/>
        <v>0.23024509305400184</v>
      </c>
      <c r="E33" s="19">
        <f t="shared" si="51"/>
        <v>0.20677461380978968</v>
      </c>
      <c r="F33" s="19">
        <f t="shared" si="51"/>
        <v>0.20707107832276164</v>
      </c>
      <c r="G33" s="19">
        <f t="shared" si="51"/>
        <v>0.20678085438741459</v>
      </c>
      <c r="H33" s="19">
        <f t="shared" si="51"/>
        <v>0.20591330957098769</v>
      </c>
      <c r="I33" s="19">
        <f t="shared" si="51"/>
        <v>0.20447692265884143</v>
      </c>
      <c r="J33" s="19">
        <f t="shared" si="51"/>
        <v>0.20247931281115059</v>
      </c>
      <c r="K33" s="19">
        <f t="shared" si="51"/>
        <v>0.23018439359108131</v>
      </c>
      <c r="L33" s="19">
        <f t="shared" si="51"/>
        <v>0.25614416369797</v>
      </c>
      <c r="M33" s="19">
        <f t="shared" si="51"/>
        <v>0.28049146224869026</v>
      </c>
      <c r="N33" s="19">
        <f t="shared" si="51"/>
        <v>0.30334795468977088</v>
      </c>
      <c r="O33" s="19">
        <f t="shared" si="51"/>
        <v>0.32482511980836376</v>
      </c>
      <c r="P33" s="19">
        <f t="shared" si="51"/>
        <v>0.34502514727498979</v>
      </c>
      <c r="Q33" s="19">
        <f t="shared" si="51"/>
        <v>0.36404175395409744</v>
      </c>
    </row>
    <row r="34" spans="1:17" x14ac:dyDescent="0.15">
      <c r="A34" s="1" t="s">
        <v>21</v>
      </c>
      <c r="B34" s="19">
        <f t="shared" ref="B34:Q34" si="52">IFERROR(B27/B26,0)</f>
        <v>0.19077306733167082</v>
      </c>
      <c r="C34" s="19">
        <f t="shared" si="52"/>
        <v>0.19214238907561249</v>
      </c>
      <c r="D34" s="19">
        <f t="shared" si="52"/>
        <v>0.20330794523063034</v>
      </c>
      <c r="E34" s="19">
        <f t="shared" si="52"/>
        <v>6.985294117647059E-2</v>
      </c>
      <c r="F34" s="19">
        <f t="shared" si="52"/>
        <v>6.985294117647059E-2</v>
      </c>
      <c r="G34" s="19">
        <f t="shared" si="52"/>
        <v>6.985294117647059E-2</v>
      </c>
      <c r="H34" s="19">
        <f t="shared" si="52"/>
        <v>6.985294117647059E-2</v>
      </c>
      <c r="I34" s="19">
        <f t="shared" si="52"/>
        <v>6.985294117647059E-2</v>
      </c>
      <c r="J34" s="19">
        <f t="shared" si="52"/>
        <v>6.985294117647059E-2</v>
      </c>
      <c r="K34" s="19">
        <f t="shared" si="52"/>
        <v>6.985294117647059E-2</v>
      </c>
      <c r="L34" s="19">
        <f t="shared" si="52"/>
        <v>6.985294117647059E-2</v>
      </c>
      <c r="M34" s="19">
        <f t="shared" si="52"/>
        <v>6.985294117647059E-2</v>
      </c>
      <c r="N34" s="19">
        <f t="shared" si="52"/>
        <v>6.985294117647059E-2</v>
      </c>
      <c r="O34" s="19">
        <f t="shared" si="52"/>
        <v>6.985294117647059E-2</v>
      </c>
      <c r="P34" s="19">
        <f t="shared" si="52"/>
        <v>6.985294117647059E-2</v>
      </c>
      <c r="Q34" s="19">
        <f t="shared" si="52"/>
        <v>6.985294117647059E-2</v>
      </c>
    </row>
    <row r="35" spans="1:17" x14ac:dyDescent="0.1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</row>
    <row r="36" spans="1:17" x14ac:dyDescent="0.15">
      <c r="A36" s="14" t="s">
        <v>18</v>
      </c>
      <c r="B36" s="9"/>
      <c r="C36" s="18">
        <f>C17/B17-1</f>
        <v>4.5041899441340849E-2</v>
      </c>
      <c r="D36" s="18">
        <f>D17/C17-1</f>
        <v>9.5110814121839748E-2</v>
      </c>
      <c r="E36" s="18">
        <f>E17/D17-1</f>
        <v>9.2850605105257777E-2</v>
      </c>
      <c r="F36" s="18">
        <f>F17/E17-1</f>
        <v>7.0999999999999952E-2</v>
      </c>
      <c r="G36" s="18">
        <f t="shared" ref="G36:Q36" si="53">G17/F17-1</f>
        <v>7.0999999999999952E-2</v>
      </c>
      <c r="H36" s="18">
        <f t="shared" si="53"/>
        <v>7.1000000000000174E-2</v>
      </c>
      <c r="I36" s="18">
        <f t="shared" si="53"/>
        <v>7.0999999999999952E-2</v>
      </c>
      <c r="J36" s="18">
        <f t="shared" si="53"/>
        <v>7.1000000000000174E-2</v>
      </c>
      <c r="K36" s="18">
        <f t="shared" si="53"/>
        <v>5.0000000000000044E-2</v>
      </c>
      <c r="L36" s="18">
        <f t="shared" si="53"/>
        <v>5.0000000000000044E-2</v>
      </c>
      <c r="M36" s="18">
        <f t="shared" si="53"/>
        <v>5.0000000000000044E-2</v>
      </c>
      <c r="N36" s="18">
        <f t="shared" si="53"/>
        <v>5.0000000000000044E-2</v>
      </c>
      <c r="O36" s="18">
        <f t="shared" si="53"/>
        <v>5.0000000000000044E-2</v>
      </c>
      <c r="P36" s="18">
        <f t="shared" si="53"/>
        <v>5.0000000000000044E-2</v>
      </c>
      <c r="Q36" s="18">
        <f t="shared" si="53"/>
        <v>5.0000000000000044E-2</v>
      </c>
    </row>
    <row r="37" spans="1:17" x14ac:dyDescent="0.15">
      <c r="A37" s="1" t="s">
        <v>47</v>
      </c>
      <c r="B37" s="9"/>
      <c r="C37" s="19">
        <f t="shared" ref="C37:D39" si="54">C20/B20-1</f>
        <v>0.20693391115926318</v>
      </c>
      <c r="D37" s="19">
        <f t="shared" si="54"/>
        <v>9.8743267504488363E-2</v>
      </c>
      <c r="E37" s="19">
        <f t="shared" ref="E37:Q37" si="55">E20/D20-1</f>
        <v>4.9836601307189587E-2</v>
      </c>
      <c r="F37" s="19">
        <f t="shared" si="55"/>
        <v>5.0000000000000044E-2</v>
      </c>
      <c r="G37" s="19">
        <f t="shared" si="55"/>
        <v>5.0000000000000044E-2</v>
      </c>
      <c r="H37" s="19">
        <f t="shared" si="55"/>
        <v>5.0000000000000044E-2</v>
      </c>
      <c r="I37" s="19">
        <f t="shared" si="55"/>
        <v>5.0000000000000044E-2</v>
      </c>
      <c r="J37" s="19">
        <f t="shared" si="55"/>
        <v>5.0000000000000044E-2</v>
      </c>
      <c r="K37" s="19">
        <f t="shared" si="55"/>
        <v>-2.0000000000000018E-2</v>
      </c>
      <c r="L37" s="19">
        <f t="shared" si="55"/>
        <v>-2.0000000000000018E-2</v>
      </c>
      <c r="M37" s="19">
        <f t="shared" si="55"/>
        <v>-1.9999999999999907E-2</v>
      </c>
      <c r="N37" s="19">
        <f t="shared" si="55"/>
        <v>-2.0000000000000018E-2</v>
      </c>
      <c r="O37" s="19">
        <f t="shared" si="55"/>
        <v>-2.0000000000000018E-2</v>
      </c>
      <c r="P37" s="19">
        <f t="shared" si="55"/>
        <v>-2.0000000000000018E-2</v>
      </c>
      <c r="Q37" s="19">
        <f t="shared" si="55"/>
        <v>-2.0000000000000018E-2</v>
      </c>
    </row>
    <row r="38" spans="1:17" x14ac:dyDescent="0.15">
      <c r="A38" s="1" t="s">
        <v>48</v>
      </c>
      <c r="B38" s="9"/>
      <c r="C38" s="19">
        <f t="shared" si="54"/>
        <v>4.4552271724746406E-2</v>
      </c>
      <c r="D38" s="19">
        <f t="shared" si="54"/>
        <v>0.17525337837837829</v>
      </c>
      <c r="E38" s="19">
        <f t="shared" ref="E38:Q38" si="56">E21/D21-1</f>
        <v>0.21846927775781522</v>
      </c>
      <c r="F38" s="19">
        <f t="shared" si="56"/>
        <v>0.10000000000000009</v>
      </c>
      <c r="G38" s="19">
        <f t="shared" si="56"/>
        <v>0.10000000000000009</v>
      </c>
      <c r="H38" s="19">
        <f t="shared" si="56"/>
        <v>0.10000000000000009</v>
      </c>
      <c r="I38" s="19">
        <f t="shared" si="56"/>
        <v>0.10000000000000009</v>
      </c>
      <c r="J38" s="19">
        <f t="shared" si="56"/>
        <v>0.10000000000000009</v>
      </c>
      <c r="K38" s="19">
        <f t="shared" si="56"/>
        <v>2.0000000000000018E-2</v>
      </c>
      <c r="L38" s="19">
        <f t="shared" si="56"/>
        <v>2.0000000000000018E-2</v>
      </c>
      <c r="M38" s="19">
        <f t="shared" si="56"/>
        <v>2.0000000000000018E-2</v>
      </c>
      <c r="N38" s="19">
        <f t="shared" si="56"/>
        <v>2.0000000000000018E-2</v>
      </c>
      <c r="O38" s="19">
        <f t="shared" si="56"/>
        <v>2.0000000000000018E-2</v>
      </c>
      <c r="P38" s="19">
        <f t="shared" si="56"/>
        <v>2.0000000000000018E-2</v>
      </c>
      <c r="Q38" s="19">
        <f t="shared" si="56"/>
        <v>2.0000000000000018E-2</v>
      </c>
    </row>
    <row r="39" spans="1:17" x14ac:dyDescent="0.15">
      <c r="A39" s="1" t="s">
        <v>49</v>
      </c>
      <c r="B39" s="9"/>
      <c r="C39" s="19">
        <f t="shared" si="54"/>
        <v>-0.18758716875871684</v>
      </c>
      <c r="D39" s="19">
        <f t="shared" si="54"/>
        <v>0.15107296137339055</v>
      </c>
      <c r="E39" s="19">
        <f t="shared" ref="E39:Q39" si="57">E22/D22-1</f>
        <v>9.3214019388516034E-2</v>
      </c>
      <c r="F39" s="19">
        <f t="shared" si="57"/>
        <v>2.0000000000000018E-2</v>
      </c>
      <c r="G39" s="19">
        <f t="shared" si="57"/>
        <v>2.0000000000000018E-2</v>
      </c>
      <c r="H39" s="19">
        <f t="shared" si="57"/>
        <v>2.0000000000000018E-2</v>
      </c>
      <c r="I39" s="19">
        <f t="shared" si="57"/>
        <v>2.0000000000000018E-2</v>
      </c>
      <c r="J39" s="19">
        <f t="shared" si="57"/>
        <v>2.0000000000000018E-2</v>
      </c>
      <c r="K39" s="19">
        <f t="shared" si="57"/>
        <v>-5.0000000000000044E-2</v>
      </c>
      <c r="L39" s="19">
        <f t="shared" si="57"/>
        <v>-5.0000000000000155E-2</v>
      </c>
      <c r="M39" s="19">
        <f t="shared" si="57"/>
        <v>-5.0000000000000044E-2</v>
      </c>
      <c r="N39" s="19">
        <f t="shared" si="57"/>
        <v>-5.0000000000000155E-2</v>
      </c>
      <c r="O39" s="19">
        <f t="shared" si="57"/>
        <v>-5.0000000000000044E-2</v>
      </c>
      <c r="P39" s="19">
        <f t="shared" si="57"/>
        <v>-5.0000000000000044E-2</v>
      </c>
      <c r="Q39" s="19">
        <f t="shared" si="57"/>
        <v>-4.9999999999999933E-2</v>
      </c>
    </row>
    <row r="40" spans="1:17" x14ac:dyDescent="0.1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</row>
    <row r="41" spans="1:17" x14ac:dyDescent="0.15">
      <c r="A41" s="14" t="s">
        <v>26</v>
      </c>
      <c r="B41" s="22">
        <f>B42-B43</f>
        <v>2773</v>
      </c>
      <c r="C41" s="22">
        <f t="shared" ref="C41" si="58">C42-C43</f>
        <v>2158</v>
      </c>
      <c r="D41" s="22">
        <f>D42-D43</f>
        <v>2179</v>
      </c>
      <c r="E41" s="22">
        <f>E42-E43</f>
        <v>-538</v>
      </c>
      <c r="F41" s="16">
        <f>E41+F28</f>
        <v>1668.6939044117653</v>
      </c>
      <c r="G41" s="16">
        <f t="shared" ref="G41:Q41" si="59">F41+G28</f>
        <v>4070.4972251041318</v>
      </c>
      <c r="H41" s="16">
        <f t="shared" si="59"/>
        <v>6674.6524841844202</v>
      </c>
      <c r="I41" s="16">
        <f t="shared" si="59"/>
        <v>9487.8815470011905</v>
      </c>
      <c r="J41" s="16">
        <f t="shared" si="59"/>
        <v>12516.232648926773</v>
      </c>
      <c r="K41" s="16">
        <f t="shared" si="59"/>
        <v>16153.239364982233</v>
      </c>
      <c r="L41" s="16">
        <f t="shared" si="59"/>
        <v>20431.225057447948</v>
      </c>
      <c r="M41" s="16">
        <f t="shared" si="59"/>
        <v>25384.644477014386</v>
      </c>
      <c r="N41" s="16">
        <f t="shared" si="59"/>
        <v>31050.181462702058</v>
      </c>
      <c r="O41" s="16">
        <f t="shared" si="59"/>
        <v>37466.852344196457</v>
      </c>
      <c r="P41" s="16">
        <f t="shared" si="59"/>
        <v>44676.11530002363</v>
      </c>
      <c r="Q41" s="16">
        <f t="shared" si="59"/>
        <v>52721.985939442595</v>
      </c>
    </row>
    <row r="42" spans="1:17" x14ac:dyDescent="0.15">
      <c r="A42" s="1" t="s">
        <v>27</v>
      </c>
      <c r="B42" s="15">
        <f>Reports!E36</f>
        <v>9522</v>
      </c>
      <c r="C42" s="15">
        <f>Reports!I36</f>
        <v>11118</v>
      </c>
      <c r="D42" s="15">
        <f>Reports!M36</f>
        <v>12194</v>
      </c>
      <c r="E42" s="15">
        <f>Reports!Q36</f>
        <v>8693</v>
      </c>
    </row>
    <row r="43" spans="1:17" x14ac:dyDescent="0.15">
      <c r="A43" s="1" t="s">
        <v>28</v>
      </c>
      <c r="B43" s="15">
        <f>Reports!E37</f>
        <v>6749</v>
      </c>
      <c r="C43" s="15">
        <f>Reports!I37</f>
        <v>8960</v>
      </c>
      <c r="D43" s="15">
        <f>Reports!M37</f>
        <v>10015</v>
      </c>
      <c r="E43" s="15">
        <f>Reports!Q37</f>
        <v>9231</v>
      </c>
    </row>
    <row r="45" spans="1:17" x14ac:dyDescent="0.15">
      <c r="A45" s="1" t="s">
        <v>78</v>
      </c>
      <c r="D45" s="15">
        <f>Reports!M39</f>
        <v>4842</v>
      </c>
      <c r="E45" s="15">
        <f>Reports!Q39</f>
        <v>5252</v>
      </c>
    </row>
    <row r="46" spans="1:17" x14ac:dyDescent="0.15">
      <c r="A46" s="1" t="s">
        <v>79</v>
      </c>
      <c r="D46" s="15">
        <f>Reports!M40</f>
        <v>25986</v>
      </c>
      <c r="E46" s="15">
        <f>Reports!Q40</f>
        <v>22819</v>
      </c>
    </row>
    <row r="47" spans="1:17" x14ac:dyDescent="0.15">
      <c r="A47" s="1" t="s">
        <v>80</v>
      </c>
      <c r="D47" s="15">
        <f>Reports!M41</f>
        <v>17937</v>
      </c>
      <c r="E47" s="15">
        <f>Reports!Q41</f>
        <v>16538</v>
      </c>
    </row>
    <row r="49" spans="1:10" x14ac:dyDescent="0.15">
      <c r="A49" s="1" t="s">
        <v>81</v>
      </c>
      <c r="D49" s="63">
        <f>D46-D45-D42</f>
        <v>8950</v>
      </c>
      <c r="E49" s="63">
        <f>E46-E45-E42</f>
        <v>8874</v>
      </c>
    </row>
    <row r="50" spans="1:10" x14ac:dyDescent="0.15">
      <c r="A50" s="1" t="s">
        <v>82</v>
      </c>
      <c r="D50" s="63">
        <f>D46-D47</f>
        <v>8049</v>
      </c>
      <c r="E50" s="63">
        <f>E46-E47</f>
        <v>6281</v>
      </c>
    </row>
    <row r="52" spans="1:10" x14ac:dyDescent="0.15">
      <c r="A52" s="1" t="s">
        <v>83</v>
      </c>
      <c r="D52" s="24">
        <f>D28/D50</f>
        <v>0.22478415410376923</v>
      </c>
      <c r="E52" s="24">
        <f>E28/E50</f>
        <v>0.40280210157618213</v>
      </c>
    </row>
    <row r="53" spans="1:10" x14ac:dyDescent="0.15">
      <c r="A53" s="1" t="s">
        <v>84</v>
      </c>
      <c r="D53" s="24">
        <f>D28/D46</f>
        <v>6.9625477425584489E-2</v>
      </c>
      <c r="E53" s="24">
        <f>E28/E46</f>
        <v>0.11087251851527236</v>
      </c>
    </row>
    <row r="54" spans="1:10" x14ac:dyDescent="0.15">
      <c r="A54" s="1" t="s">
        <v>85</v>
      </c>
      <c r="D54" s="24">
        <f>D28/(D50-D45)</f>
        <v>0.5641682745186275</v>
      </c>
      <c r="E54" s="24">
        <f>E28/(E50-E45)</f>
        <v>2.4586977648202137</v>
      </c>
    </row>
    <row r="55" spans="1:10" x14ac:dyDescent="0.15">
      <c r="A55" s="1" t="s">
        <v>86</v>
      </c>
      <c r="D55" s="24">
        <f>D28/D49</f>
        <v>0.20215504540572499</v>
      </c>
      <c r="E55" s="24">
        <f>E28/E49</f>
        <v>0.28510254676583274</v>
      </c>
    </row>
    <row r="57" spans="1:10" x14ac:dyDescent="0.15">
      <c r="A57" s="1" t="s">
        <v>87</v>
      </c>
      <c r="C57" s="24">
        <f>C10/B10-1</f>
        <v>6.5541536949043078E-4</v>
      </c>
      <c r="D57" s="24">
        <f t="shared" ref="D57:E57" si="60">D10/C10-1</f>
        <v>9.9557884394956497E-2</v>
      </c>
      <c r="E57" s="24">
        <f t="shared" si="60"/>
        <v>0.1043931496649293</v>
      </c>
      <c r="F57" s="24"/>
      <c r="G57" s="24"/>
      <c r="H57" s="24"/>
      <c r="I57" s="24"/>
    </row>
    <row r="58" spans="1:10" x14ac:dyDescent="0.15">
      <c r="A58" s="1" t="s">
        <v>88</v>
      </c>
      <c r="C58" s="24">
        <f>C11/B11-1</f>
        <v>0.29241379310344828</v>
      </c>
      <c r="D58" s="24">
        <f>D11/C11-1</f>
        <v>7.8975453575240051E-2</v>
      </c>
      <c r="E58" s="24">
        <f>E11/D11-1</f>
        <v>5.6379821958457033E-2</v>
      </c>
      <c r="F58" s="24"/>
      <c r="G58" s="24"/>
      <c r="H58" s="24"/>
      <c r="I58" s="24"/>
    </row>
    <row r="59" spans="1:10" x14ac:dyDescent="0.15">
      <c r="A59" s="1" t="s">
        <v>89</v>
      </c>
      <c r="C59" s="24">
        <f>C12/B12-1</f>
        <v>9.6938775510204023E-2</v>
      </c>
      <c r="D59" s="24">
        <f>D12/C12-1</f>
        <v>8.8888888888888795E-2</v>
      </c>
      <c r="E59" s="24">
        <f>E12/D12-1</f>
        <v>7.3564309444708043E-2</v>
      </c>
      <c r="F59" s="24"/>
      <c r="G59" s="24"/>
      <c r="H59" s="24"/>
      <c r="I59" s="24"/>
    </row>
    <row r="61" spans="1:10" x14ac:dyDescent="0.15">
      <c r="A61" s="1" t="s">
        <v>94</v>
      </c>
      <c r="C61" s="24">
        <f>C14/B14-1</f>
        <v>0</v>
      </c>
      <c r="D61" s="24">
        <f t="shared" ref="D61:J61" si="61">D14/C14-1</f>
        <v>4.9382716049382713E-2</v>
      </c>
      <c r="E61" s="24">
        <f t="shared" si="61"/>
        <v>5.2941176470588269E-2</v>
      </c>
      <c r="F61" s="24">
        <f>F14/E14-1</f>
        <v>5.0000000000000044E-2</v>
      </c>
      <c r="G61" s="24">
        <f t="shared" si="61"/>
        <v>5.0000000000000044E-2</v>
      </c>
      <c r="H61" s="24">
        <f t="shared" si="61"/>
        <v>5.0000000000000044E-2</v>
      </c>
      <c r="I61" s="24">
        <f t="shared" si="61"/>
        <v>5.0000000000000044E-2</v>
      </c>
      <c r="J61" s="24">
        <f t="shared" si="61"/>
        <v>5.0000000000000044E-2</v>
      </c>
    </row>
    <row r="62" spans="1:10" x14ac:dyDescent="0.15">
      <c r="A62" s="1" t="s">
        <v>98</v>
      </c>
      <c r="C62" s="24">
        <f>C15/B15-1</f>
        <v>4.5041899441340627E-2</v>
      </c>
      <c r="D62" s="24">
        <f>D15/C15-1</f>
        <v>4.357618757492987E-2</v>
      </c>
      <c r="E62" s="24">
        <f t="shared" ref="E62:J62" si="62">E15/D15-1</f>
        <v>3.7902809317842401E-2</v>
      </c>
      <c r="F62" s="24">
        <f t="shared" si="62"/>
        <v>2.0000000000000018E-2</v>
      </c>
      <c r="G62" s="24">
        <f t="shared" si="62"/>
        <v>2.0000000000000018E-2</v>
      </c>
      <c r="H62" s="24">
        <f t="shared" si="62"/>
        <v>2.0000000000000018E-2</v>
      </c>
      <c r="I62" s="24">
        <f t="shared" si="62"/>
        <v>2.0000000000000018E-2</v>
      </c>
      <c r="J62" s="24">
        <f t="shared" si="62"/>
        <v>2.0000000000000018E-2</v>
      </c>
    </row>
  </sheetData>
  <phoneticPr fontId="4" type="noConversion"/>
  <hyperlinks>
    <hyperlink ref="A4" r:id="rId1" display="Devin Wenig (CEO)"/>
    <hyperlink ref="A7" r:id="rId2"/>
    <hyperlink ref="A1" r:id="rId3"/>
  </hyperlinks>
  <pageMargins left="0.7" right="0.7" top="0.75" bottom="0.75" header="0.3" footer="0.3"/>
  <pageSetup paperSize="9" orientation="portrait" horizontalDpi="0" verticalDpi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3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T13" sqref="T13"/>
    </sheetView>
  </sheetViews>
  <sheetFormatPr baseColWidth="10" defaultRowHeight="13" x14ac:dyDescent="0.15"/>
  <cols>
    <col min="1" max="1" width="17.5" style="1" bestFit="1" customWidth="1"/>
    <col min="2" max="5" width="10.83203125" style="25" customWidth="1"/>
    <col min="6" max="6" width="10.83203125" style="26" customWidth="1"/>
    <col min="7" max="8" width="10.83203125" style="25" customWidth="1"/>
    <col min="9" max="9" width="10.83203125" style="25"/>
    <col min="10" max="10" width="10.83203125" style="26"/>
    <col min="11" max="11" width="10.83203125" style="25" customWidth="1"/>
    <col min="12" max="12" width="10.83203125" style="25"/>
    <col min="13" max="13" width="10.83203125" style="31"/>
    <col min="14" max="14" width="10.83203125" style="26"/>
    <col min="15" max="16" width="10.83203125" style="25"/>
    <col min="17" max="17" width="10.83203125" style="31"/>
    <col min="18" max="18" width="10.83203125" style="30"/>
    <col min="19" max="16384" width="10.83203125" style="1"/>
  </cols>
  <sheetData>
    <row r="1" spans="1:21" x14ac:dyDescent="0.15">
      <c r="A1" s="13" t="s">
        <v>67</v>
      </c>
      <c r="B1" s="25" t="s">
        <v>43</v>
      </c>
      <c r="C1" s="25" t="s">
        <v>44</v>
      </c>
      <c r="D1" s="25" t="s">
        <v>45</v>
      </c>
      <c r="E1" s="25" t="s">
        <v>46</v>
      </c>
      <c r="F1" s="26" t="s">
        <v>22</v>
      </c>
      <c r="G1" s="25" t="s">
        <v>23</v>
      </c>
      <c r="H1" s="25" t="s">
        <v>24</v>
      </c>
      <c r="I1" s="25" t="s">
        <v>25</v>
      </c>
      <c r="J1" s="27" t="s">
        <v>0</v>
      </c>
      <c r="K1" s="28" t="s">
        <v>1</v>
      </c>
      <c r="L1" s="28" t="s">
        <v>2</v>
      </c>
      <c r="M1" s="29" t="s">
        <v>3</v>
      </c>
      <c r="N1" s="27" t="s">
        <v>35</v>
      </c>
      <c r="O1" s="28" t="s">
        <v>36</v>
      </c>
      <c r="P1" s="28" t="s">
        <v>37</v>
      </c>
      <c r="Q1" s="29" t="s">
        <v>38</v>
      </c>
      <c r="R1" s="26" t="s">
        <v>106</v>
      </c>
      <c r="S1" s="25" t="s">
        <v>107</v>
      </c>
      <c r="T1" s="25" t="s">
        <v>108</v>
      </c>
      <c r="U1" s="25" t="s">
        <v>109</v>
      </c>
    </row>
    <row r="2" spans="1:21" x14ac:dyDescent="0.15">
      <c r="A2" s="13"/>
      <c r="B2" s="25" t="s">
        <v>62</v>
      </c>
      <c r="C2" s="25" t="s">
        <v>61</v>
      </c>
      <c r="D2" s="25" t="s">
        <v>60</v>
      </c>
      <c r="E2" s="25" t="s">
        <v>63</v>
      </c>
      <c r="F2" s="26" t="s">
        <v>58</v>
      </c>
      <c r="G2" s="25" t="s">
        <v>56</v>
      </c>
      <c r="H2" s="25" t="s">
        <v>54</v>
      </c>
      <c r="I2" s="25" t="s">
        <v>59</v>
      </c>
      <c r="J2" s="26" t="s">
        <v>57</v>
      </c>
      <c r="K2" s="25" t="s">
        <v>55</v>
      </c>
      <c r="L2" s="25" t="s">
        <v>50</v>
      </c>
      <c r="M2" s="31" t="s">
        <v>29</v>
      </c>
      <c r="N2" s="26" t="s">
        <v>39</v>
      </c>
      <c r="O2" s="25" t="s">
        <v>40</v>
      </c>
      <c r="P2" s="25" t="s">
        <v>41</v>
      </c>
      <c r="Q2" s="31" t="s">
        <v>42</v>
      </c>
      <c r="R2" s="26" t="s">
        <v>110</v>
      </c>
      <c r="S2" s="25" t="s">
        <v>111</v>
      </c>
      <c r="T2" s="25" t="s">
        <v>112</v>
      </c>
      <c r="U2" s="31" t="s">
        <v>113</v>
      </c>
    </row>
    <row r="3" spans="1:21" x14ac:dyDescent="0.15">
      <c r="A3" s="1" t="s">
        <v>51</v>
      </c>
      <c r="B3" s="28">
        <v>1536</v>
      </c>
      <c r="C3" s="28">
        <v>1524</v>
      </c>
      <c r="D3" s="28">
        <v>1459</v>
      </c>
      <c r="E3" s="28">
        <v>1584</v>
      </c>
      <c r="F3" s="27">
        <v>1500</v>
      </c>
      <c r="G3" s="28">
        <v>1521</v>
      </c>
      <c r="H3" s="28">
        <v>1484</v>
      </c>
      <c r="I3" s="28">
        <v>1602</v>
      </c>
      <c r="J3" s="27">
        <v>1609</v>
      </c>
      <c r="K3" s="28">
        <v>1679</v>
      </c>
      <c r="L3" s="28">
        <v>1698</v>
      </c>
      <c r="M3" s="32">
        <v>1729</v>
      </c>
      <c r="N3" s="27">
        <v>1792</v>
      </c>
      <c r="O3" s="33">
        <v>1837</v>
      </c>
      <c r="P3" s="33">
        <v>1803</v>
      </c>
      <c r="Q3" s="32">
        <v>1984</v>
      </c>
      <c r="R3" s="27">
        <v>2162</v>
      </c>
      <c r="S3" s="33">
        <v>2157</v>
      </c>
    </row>
    <row r="4" spans="1:21" x14ac:dyDescent="0.15">
      <c r="A4" s="1" t="s">
        <v>52</v>
      </c>
      <c r="B4" s="28">
        <v>132</v>
      </c>
      <c r="C4" s="28">
        <v>161</v>
      </c>
      <c r="D4" s="28">
        <v>200</v>
      </c>
      <c r="E4" s="28">
        <v>232</v>
      </c>
      <c r="F4" s="27">
        <v>177</v>
      </c>
      <c r="G4" s="28">
        <v>225</v>
      </c>
      <c r="H4" s="28">
        <v>261</v>
      </c>
      <c r="I4" s="28">
        <v>274</v>
      </c>
      <c r="J4" s="27">
        <v>206</v>
      </c>
      <c r="K4" s="28">
        <v>229</v>
      </c>
      <c r="L4" s="28">
        <v>270</v>
      </c>
      <c r="M4" s="32">
        <v>306</v>
      </c>
      <c r="N4" s="27">
        <v>231</v>
      </c>
      <c r="O4" s="33">
        <v>240</v>
      </c>
      <c r="P4" s="33">
        <v>286</v>
      </c>
      <c r="Q4" s="32">
        <v>311</v>
      </c>
      <c r="R4" s="27">
        <v>230</v>
      </c>
      <c r="S4" s="33">
        <v>264</v>
      </c>
    </row>
    <row r="5" spans="1:21" x14ac:dyDescent="0.15">
      <c r="A5" s="1" t="s">
        <v>53</v>
      </c>
      <c r="B5" s="28">
        <v>393</v>
      </c>
      <c r="C5" s="28">
        <v>425</v>
      </c>
      <c r="D5" s="28">
        <v>440</v>
      </c>
      <c r="E5" s="28">
        <v>506</v>
      </c>
      <c r="F5" s="27">
        <v>460</v>
      </c>
      <c r="G5" s="28">
        <v>484</v>
      </c>
      <c r="H5" s="28">
        <v>472</v>
      </c>
      <c r="I5" s="28">
        <v>519</v>
      </c>
      <c r="J5" s="27">
        <v>488</v>
      </c>
      <c r="K5" s="28">
        <v>511</v>
      </c>
      <c r="L5" s="28">
        <v>530</v>
      </c>
      <c r="M5" s="32">
        <v>578</v>
      </c>
      <c r="N5" s="27">
        <v>557</v>
      </c>
      <c r="O5" s="33">
        <v>563</v>
      </c>
      <c r="P5" s="33">
        <v>560</v>
      </c>
      <c r="Q5" s="32">
        <v>582</v>
      </c>
      <c r="R5" s="27">
        <f>256-5</f>
        <v>251</v>
      </c>
      <c r="S5" s="33">
        <f>271-5</f>
        <v>266</v>
      </c>
    </row>
    <row r="6" spans="1:21" x14ac:dyDescent="0.15">
      <c r="B6" s="28"/>
      <c r="C6" s="28"/>
      <c r="D6" s="28"/>
      <c r="E6" s="28"/>
      <c r="F6" s="27"/>
      <c r="G6" s="28"/>
      <c r="H6" s="28"/>
      <c r="I6" s="28"/>
      <c r="J6" s="27"/>
      <c r="K6" s="28"/>
      <c r="L6" s="28"/>
      <c r="M6" s="32"/>
      <c r="N6" s="27"/>
      <c r="O6" s="33"/>
      <c r="P6" s="33"/>
      <c r="Q6" s="32"/>
      <c r="R6" s="27"/>
      <c r="S6" s="33"/>
    </row>
    <row r="7" spans="1:21" x14ac:dyDescent="0.15">
      <c r="A7" s="1" t="s">
        <v>91</v>
      </c>
      <c r="B7" s="28"/>
      <c r="C7" s="28"/>
      <c r="D7" s="28"/>
      <c r="E7" s="28">
        <v>162</v>
      </c>
      <c r="F7" s="27">
        <v>162</v>
      </c>
      <c r="G7" s="28">
        <v>164</v>
      </c>
      <c r="H7" s="28">
        <v>165</v>
      </c>
      <c r="I7" s="28">
        <v>162</v>
      </c>
      <c r="J7" s="27">
        <v>165</v>
      </c>
      <c r="K7" s="28">
        <v>167</v>
      </c>
      <c r="L7" s="28">
        <v>168</v>
      </c>
      <c r="M7" s="29">
        <v>170</v>
      </c>
      <c r="N7" s="27">
        <v>171</v>
      </c>
      <c r="O7" s="28">
        <v>175</v>
      </c>
      <c r="P7" s="28">
        <v>177</v>
      </c>
      <c r="Q7" s="29">
        <v>179</v>
      </c>
      <c r="R7" s="27">
        <v>180</v>
      </c>
      <c r="S7" s="28">
        <v>182</v>
      </c>
    </row>
    <row r="8" spans="1:21" x14ac:dyDescent="0.15">
      <c r="A8" s="1" t="s">
        <v>97</v>
      </c>
      <c r="E8" s="42">
        <f>SUM(E3:E5)/E7</f>
        <v>14.333333333333334</v>
      </c>
      <c r="F8" s="41">
        <f t="shared" ref="F8:Q8" si="0">SUM(F3:F5)/F7</f>
        <v>13.191358024691358</v>
      </c>
      <c r="G8" s="42">
        <f t="shared" si="0"/>
        <v>13.597560975609756</v>
      </c>
      <c r="H8" s="42">
        <f t="shared" si="0"/>
        <v>13.436363636363636</v>
      </c>
      <c r="I8" s="42">
        <f t="shared" si="0"/>
        <v>14.783950617283951</v>
      </c>
      <c r="J8" s="41">
        <f t="shared" si="0"/>
        <v>13.957575757575757</v>
      </c>
      <c r="K8" s="42">
        <f t="shared" si="0"/>
        <v>14.485029940119761</v>
      </c>
      <c r="L8" s="42">
        <f t="shared" si="0"/>
        <v>14.869047619047619</v>
      </c>
      <c r="M8" s="42">
        <f t="shared" si="0"/>
        <v>15.370588235294118</v>
      </c>
      <c r="N8" s="41">
        <f t="shared" si="0"/>
        <v>15.087719298245615</v>
      </c>
      <c r="O8" s="42">
        <f t="shared" si="0"/>
        <v>15.085714285714285</v>
      </c>
      <c r="P8" s="42">
        <f t="shared" si="0"/>
        <v>14.966101694915254</v>
      </c>
      <c r="Q8" s="42">
        <f t="shared" si="0"/>
        <v>16.072625698324021</v>
      </c>
      <c r="R8" s="41">
        <f>SUM(R3:R5)/R7</f>
        <v>14.683333333333334</v>
      </c>
      <c r="S8" s="42">
        <f t="shared" ref="S8" si="1">SUM(S3:S5)/S7</f>
        <v>14.763736263736265</v>
      </c>
    </row>
    <row r="9" spans="1:21" x14ac:dyDescent="0.15">
      <c r="I9" s="28"/>
      <c r="K9" s="34"/>
      <c r="L9" s="34"/>
      <c r="M9" s="35"/>
      <c r="O9" s="34"/>
      <c r="P9" s="34"/>
      <c r="Q9" s="35"/>
      <c r="R9" s="26"/>
      <c r="S9" s="34"/>
    </row>
    <row r="10" spans="1:21" s="14" customFormat="1" x14ac:dyDescent="0.15">
      <c r="A10" s="14" t="s">
        <v>4</v>
      </c>
      <c r="B10" s="36">
        <f t="shared" ref="B10:M10" si="2">SUM(B3:B5)</f>
        <v>2061</v>
      </c>
      <c r="C10" s="36">
        <f t="shared" si="2"/>
        <v>2110</v>
      </c>
      <c r="D10" s="36">
        <f t="shared" si="2"/>
        <v>2099</v>
      </c>
      <c r="E10" s="36">
        <f>SUM(E3:E5)</f>
        <v>2322</v>
      </c>
      <c r="F10" s="37">
        <f>SUM(F3:F5)</f>
        <v>2137</v>
      </c>
      <c r="G10" s="38">
        <f t="shared" si="2"/>
        <v>2230</v>
      </c>
      <c r="H10" s="38">
        <f t="shared" si="2"/>
        <v>2217</v>
      </c>
      <c r="I10" s="38">
        <f t="shared" si="2"/>
        <v>2395</v>
      </c>
      <c r="J10" s="37">
        <f t="shared" si="2"/>
        <v>2303</v>
      </c>
      <c r="K10" s="36">
        <f t="shared" si="2"/>
        <v>2419</v>
      </c>
      <c r="L10" s="36">
        <f t="shared" si="2"/>
        <v>2498</v>
      </c>
      <c r="M10" s="36">
        <f t="shared" si="2"/>
        <v>2613</v>
      </c>
      <c r="N10" s="37">
        <f>SUM(N3:N5)</f>
        <v>2580</v>
      </c>
      <c r="O10" s="36">
        <f>SUM(O3:O5)</f>
        <v>2640</v>
      </c>
      <c r="P10" s="36">
        <f>SUM(P3:P5)</f>
        <v>2649</v>
      </c>
      <c r="Q10" s="36">
        <f>SUM(Q3:Q5)</f>
        <v>2877</v>
      </c>
      <c r="R10" s="37">
        <f>SUM(R3:R5)</f>
        <v>2643</v>
      </c>
      <c r="S10" s="36">
        <f>SUM(S3:S5)</f>
        <v>2687</v>
      </c>
    </row>
    <row r="11" spans="1:21" x14ac:dyDescent="0.15">
      <c r="A11" s="1" t="s">
        <v>5</v>
      </c>
      <c r="B11" s="33">
        <v>411</v>
      </c>
      <c r="C11" s="33">
        <v>434</v>
      </c>
      <c r="D11" s="33">
        <v>433</v>
      </c>
      <c r="E11" s="33">
        <v>493</v>
      </c>
      <c r="F11" s="27">
        <v>477</v>
      </c>
      <c r="G11" s="28">
        <v>493</v>
      </c>
      <c r="H11" s="28">
        <v>498</v>
      </c>
      <c r="I11" s="28">
        <v>539</v>
      </c>
      <c r="J11" s="27">
        <v>514</v>
      </c>
      <c r="K11" s="33">
        <v>560</v>
      </c>
      <c r="L11" s="33">
        <v>557</v>
      </c>
      <c r="M11" s="32">
        <v>590</v>
      </c>
      <c r="N11" s="27">
        <v>559</v>
      </c>
      <c r="O11" s="33">
        <v>597</v>
      </c>
      <c r="P11" s="33">
        <v>608</v>
      </c>
      <c r="Q11" s="32">
        <v>618</v>
      </c>
      <c r="R11" s="27">
        <v>601</v>
      </c>
      <c r="S11" s="33">
        <v>630</v>
      </c>
    </row>
    <row r="12" spans="1:21" x14ac:dyDescent="0.15">
      <c r="A12" s="1" t="s">
        <v>6</v>
      </c>
      <c r="B12" s="40">
        <f>B10-B11</f>
        <v>1650</v>
      </c>
      <c r="C12" s="40">
        <f>C10-C11</f>
        <v>1676</v>
      </c>
      <c r="D12" s="40">
        <f>D10-D11</f>
        <v>1666</v>
      </c>
      <c r="E12" s="40">
        <f>E10-E11</f>
        <v>1829</v>
      </c>
      <c r="F12" s="41">
        <f>F10-F11</f>
        <v>1660</v>
      </c>
      <c r="G12" s="42">
        <f t="shared" ref="G12:M12" si="3">G10-G11</f>
        <v>1737</v>
      </c>
      <c r="H12" s="42">
        <f t="shared" si="3"/>
        <v>1719</v>
      </c>
      <c r="I12" s="42">
        <f t="shared" si="3"/>
        <v>1856</v>
      </c>
      <c r="J12" s="41">
        <f t="shared" si="3"/>
        <v>1789</v>
      </c>
      <c r="K12" s="40">
        <f t="shared" si="3"/>
        <v>1859</v>
      </c>
      <c r="L12" s="40">
        <f t="shared" si="3"/>
        <v>1941</v>
      </c>
      <c r="M12" s="40">
        <f t="shared" si="3"/>
        <v>2023</v>
      </c>
      <c r="N12" s="41">
        <f>N10-N11</f>
        <v>2021</v>
      </c>
      <c r="O12" s="40">
        <f>O10-O11</f>
        <v>2043</v>
      </c>
      <c r="P12" s="40">
        <f>P10-P11</f>
        <v>2041</v>
      </c>
      <c r="Q12" s="40">
        <f>Q10-Q11</f>
        <v>2259</v>
      </c>
      <c r="R12" s="41">
        <f>R10-R11</f>
        <v>2042</v>
      </c>
      <c r="S12" s="40">
        <f>S10-S11</f>
        <v>2057</v>
      </c>
    </row>
    <row r="13" spans="1:21" x14ac:dyDescent="0.15">
      <c r="A13" s="1" t="s">
        <v>7</v>
      </c>
      <c r="B13" s="33">
        <v>221</v>
      </c>
      <c r="C13" s="33">
        <v>232</v>
      </c>
      <c r="D13" s="33">
        <v>241</v>
      </c>
      <c r="E13" s="33">
        <v>229</v>
      </c>
      <c r="F13" s="27">
        <v>239</v>
      </c>
      <c r="G13" s="28">
        <v>295</v>
      </c>
      <c r="H13" s="28">
        <v>288</v>
      </c>
      <c r="I13" s="28">
        <v>292</v>
      </c>
      <c r="J13" s="27">
        <v>278</v>
      </c>
      <c r="K13" s="33">
        <v>313</v>
      </c>
      <c r="L13" s="33">
        <v>316</v>
      </c>
      <c r="M13" s="32">
        <v>317</v>
      </c>
      <c r="N13" s="27">
        <v>334</v>
      </c>
      <c r="O13" s="33">
        <v>352</v>
      </c>
      <c r="P13" s="33">
        <v>307</v>
      </c>
      <c r="Q13" s="32">
        <v>292</v>
      </c>
      <c r="R13" s="27">
        <v>297</v>
      </c>
      <c r="S13" s="33">
        <v>322</v>
      </c>
    </row>
    <row r="14" spans="1:21" x14ac:dyDescent="0.15">
      <c r="A14" s="1" t="s">
        <v>8</v>
      </c>
      <c r="B14" s="33">
        <v>519</v>
      </c>
      <c r="C14" s="33">
        <v>588</v>
      </c>
      <c r="D14" s="33">
        <v>565</v>
      </c>
      <c r="E14" s="33">
        <v>595</v>
      </c>
      <c r="F14" s="27">
        <v>538</v>
      </c>
      <c r="G14" s="28">
        <v>622</v>
      </c>
      <c r="H14" s="28">
        <v>600</v>
      </c>
      <c r="I14" s="28">
        <v>608</v>
      </c>
      <c r="J14" s="27">
        <v>648</v>
      </c>
      <c r="K14" s="33">
        <v>727</v>
      </c>
      <c r="L14" s="33">
        <v>719</v>
      </c>
      <c r="M14" s="32">
        <v>689</v>
      </c>
      <c r="N14" s="27">
        <v>756</v>
      </c>
      <c r="O14" s="33">
        <v>838</v>
      </c>
      <c r="P14" s="33">
        <v>852</v>
      </c>
      <c r="Q14" s="32">
        <v>945</v>
      </c>
      <c r="R14" s="27">
        <v>742</v>
      </c>
      <c r="S14" s="33">
        <v>817</v>
      </c>
    </row>
    <row r="15" spans="1:21" x14ac:dyDescent="0.15">
      <c r="A15" s="1" t="s">
        <v>9</v>
      </c>
      <c r="B15" s="33">
        <f>302+69+10</f>
        <v>381</v>
      </c>
      <c r="C15" s="33">
        <f>353+65+10</f>
        <v>428</v>
      </c>
      <c r="D15" s="33">
        <f>207+65+10</f>
        <v>282</v>
      </c>
      <c r="E15" s="33">
        <f>260+72+11</f>
        <v>343</v>
      </c>
      <c r="F15" s="27">
        <f>209+52+8</f>
        <v>269</v>
      </c>
      <c r="G15" s="28">
        <f>218+64+7</f>
        <v>289</v>
      </c>
      <c r="H15" s="28">
        <f>224+56+9</f>
        <v>289</v>
      </c>
      <c r="I15" s="28">
        <f>249+59+10</f>
        <v>318</v>
      </c>
      <c r="J15" s="27">
        <f>245+62+9</f>
        <v>316</v>
      </c>
      <c r="K15" s="33">
        <f>267+63+9</f>
        <v>339</v>
      </c>
      <c r="L15" s="33">
        <f>254+68+10</f>
        <v>332</v>
      </c>
      <c r="M15" s="32">
        <f>265+79+10</f>
        <v>354</v>
      </c>
      <c r="N15" s="27">
        <f>270+72+10</f>
        <v>352</v>
      </c>
      <c r="O15" s="33">
        <f>368+66+13</f>
        <v>447</v>
      </c>
      <c r="P15" s="33">
        <f>248+65+13</f>
        <v>326</v>
      </c>
      <c r="Q15" s="32">
        <f>245+83+13</f>
        <v>341</v>
      </c>
      <c r="R15" s="27">
        <f>309+72+13</f>
        <v>394</v>
      </c>
      <c r="S15" s="33">
        <f>274+71+12</f>
        <v>357</v>
      </c>
    </row>
    <row r="16" spans="1:21" x14ac:dyDescent="0.15">
      <c r="A16" s="1" t="s">
        <v>10</v>
      </c>
      <c r="B16" s="40">
        <f>SUM(B13:B15)</f>
        <v>1121</v>
      </c>
      <c r="C16" s="40">
        <f>SUM(C13:C15)</f>
        <v>1248</v>
      </c>
      <c r="D16" s="40">
        <f>SUM(D13:D15)</f>
        <v>1088</v>
      </c>
      <c r="E16" s="40">
        <f>SUM(E13:E15)</f>
        <v>1167</v>
      </c>
      <c r="F16" s="41">
        <f>SUM(F13:F15)</f>
        <v>1046</v>
      </c>
      <c r="G16" s="42">
        <f t="shared" ref="G16:L16" si="4">SUM(G13:G15)</f>
        <v>1206</v>
      </c>
      <c r="H16" s="42">
        <f t="shared" si="4"/>
        <v>1177</v>
      </c>
      <c r="I16" s="42">
        <f t="shared" si="4"/>
        <v>1218</v>
      </c>
      <c r="J16" s="41">
        <f t="shared" si="4"/>
        <v>1242</v>
      </c>
      <c r="K16" s="40">
        <f t="shared" si="4"/>
        <v>1379</v>
      </c>
      <c r="L16" s="40">
        <f t="shared" si="4"/>
        <v>1367</v>
      </c>
      <c r="M16" s="40">
        <f t="shared" ref="M16" si="5">SUM(M13:M15)</f>
        <v>1360</v>
      </c>
      <c r="N16" s="41">
        <f>SUM(N13:N15)</f>
        <v>1442</v>
      </c>
      <c r="O16" s="40">
        <f>SUM(O13:O15)</f>
        <v>1637</v>
      </c>
      <c r="P16" s="40">
        <f>SUM(P13:P15)</f>
        <v>1485</v>
      </c>
      <c r="Q16" s="40">
        <f>SUM(Q13:Q15)</f>
        <v>1578</v>
      </c>
      <c r="R16" s="41">
        <f>SUM(R13:R15)</f>
        <v>1433</v>
      </c>
      <c r="S16" s="40">
        <f>SUM(S13:S15)</f>
        <v>1496</v>
      </c>
    </row>
    <row r="17" spans="1:19" x14ac:dyDescent="0.15">
      <c r="A17" s="1" t="s">
        <v>11</v>
      </c>
      <c r="B17" s="40">
        <f>B12-B16</f>
        <v>529</v>
      </c>
      <c r="C17" s="40">
        <f>C12-C16</f>
        <v>428</v>
      </c>
      <c r="D17" s="40">
        <f>D12-D16</f>
        <v>578</v>
      </c>
      <c r="E17" s="40">
        <f>E12-E16</f>
        <v>662</v>
      </c>
      <c r="F17" s="41">
        <f>F12-F16</f>
        <v>614</v>
      </c>
      <c r="G17" s="42">
        <f t="shared" ref="G17" si="6">G12-G16</f>
        <v>531</v>
      </c>
      <c r="H17" s="42">
        <f t="shared" ref="H17:L17" si="7">H12-H16</f>
        <v>542</v>
      </c>
      <c r="I17" s="42">
        <f t="shared" si="7"/>
        <v>638</v>
      </c>
      <c r="J17" s="41">
        <f t="shared" si="7"/>
        <v>547</v>
      </c>
      <c r="K17" s="40">
        <f t="shared" si="7"/>
        <v>480</v>
      </c>
      <c r="L17" s="40">
        <f t="shared" si="7"/>
        <v>574</v>
      </c>
      <c r="M17" s="40">
        <f t="shared" ref="M17" si="8">M12-M16</f>
        <v>663</v>
      </c>
      <c r="N17" s="41">
        <f>N12-N16</f>
        <v>579</v>
      </c>
      <c r="O17" s="40">
        <f>O12-O16</f>
        <v>406</v>
      </c>
      <c r="P17" s="40">
        <f>P12-P16</f>
        <v>556</v>
      </c>
      <c r="Q17" s="40">
        <f>Q12-Q16</f>
        <v>681</v>
      </c>
      <c r="R17" s="41">
        <f>R12-R16</f>
        <v>609</v>
      </c>
      <c r="S17" s="40">
        <f>S12-S16</f>
        <v>561</v>
      </c>
    </row>
    <row r="18" spans="1:19" x14ac:dyDescent="0.15">
      <c r="A18" s="1" t="s">
        <v>12</v>
      </c>
      <c r="B18" s="33">
        <v>10</v>
      </c>
      <c r="C18" s="33">
        <v>124</v>
      </c>
      <c r="D18" s="33">
        <v>87</v>
      </c>
      <c r="E18" s="33">
        <v>-12</v>
      </c>
      <c r="F18" s="27">
        <v>-23</v>
      </c>
      <c r="G18" s="28">
        <v>-8</v>
      </c>
      <c r="H18" s="28">
        <v>-9</v>
      </c>
      <c r="I18" s="28">
        <f>1366-12</f>
        <v>1354</v>
      </c>
      <c r="J18" s="27">
        <v>11</v>
      </c>
      <c r="K18" s="33">
        <v>-18</v>
      </c>
      <c r="L18" s="33">
        <v>120</v>
      </c>
      <c r="M18" s="32">
        <f>-102-4</f>
        <v>-106</v>
      </c>
      <c r="N18" s="27">
        <v>-32</v>
      </c>
      <c r="O18" s="33">
        <f>301+4</f>
        <v>305</v>
      </c>
      <c r="P18" s="33">
        <f>392+1</f>
        <v>393</v>
      </c>
      <c r="Q18" s="32">
        <f>-165-3</f>
        <v>-168</v>
      </c>
      <c r="R18" s="27">
        <v>64</v>
      </c>
      <c r="S18" s="33">
        <v>-51</v>
      </c>
    </row>
    <row r="19" spans="1:19" x14ac:dyDescent="0.15">
      <c r="A19" s="1" t="s">
        <v>13</v>
      </c>
      <c r="B19" s="40">
        <f>B17+B18</f>
        <v>539</v>
      </c>
      <c r="C19" s="40">
        <f>C17+C18</f>
        <v>552</v>
      </c>
      <c r="D19" s="40">
        <f>D17+D18</f>
        <v>665</v>
      </c>
      <c r="E19" s="40">
        <f>E17+E18</f>
        <v>650</v>
      </c>
      <c r="F19" s="41">
        <f>F17+F18</f>
        <v>591</v>
      </c>
      <c r="G19" s="42">
        <f t="shared" ref="G19:H19" si="9">G17+G18</f>
        <v>523</v>
      </c>
      <c r="H19" s="42">
        <f t="shared" si="9"/>
        <v>533</v>
      </c>
      <c r="I19" s="42">
        <f>I17+I18</f>
        <v>1992</v>
      </c>
      <c r="J19" s="41">
        <f t="shared" ref="J19:K19" si="10">J17+J18</f>
        <v>558</v>
      </c>
      <c r="K19" s="40">
        <f t="shared" si="10"/>
        <v>462</v>
      </c>
      <c r="L19" s="40">
        <f t="shared" ref="L19:M19" si="11">L17+L18</f>
        <v>694</v>
      </c>
      <c r="M19" s="40">
        <f t="shared" si="11"/>
        <v>557</v>
      </c>
      <c r="N19" s="41">
        <f>N17+N18</f>
        <v>547</v>
      </c>
      <c r="O19" s="40">
        <f>O17+O18</f>
        <v>711</v>
      </c>
      <c r="P19" s="40">
        <f>P17+P18</f>
        <v>949</v>
      </c>
      <c r="Q19" s="40">
        <f>Q17+Q18</f>
        <v>513</v>
      </c>
      <c r="R19" s="41">
        <f>R17+R18</f>
        <v>673</v>
      </c>
      <c r="S19" s="40">
        <f>S17+S18</f>
        <v>510</v>
      </c>
    </row>
    <row r="20" spans="1:19" x14ac:dyDescent="0.15">
      <c r="A20" s="1" t="s">
        <v>14</v>
      </c>
      <c r="B20" s="33">
        <v>90</v>
      </c>
      <c r="C20" s="33">
        <v>122</v>
      </c>
      <c r="D20" s="33">
        <v>120</v>
      </c>
      <c r="E20" s="33">
        <v>127</v>
      </c>
      <c r="F20" s="27">
        <v>109</v>
      </c>
      <c r="G20" s="28">
        <v>86</v>
      </c>
      <c r="H20" s="28">
        <v>115</v>
      </c>
      <c r="I20" s="28">
        <f>I19*E28</f>
        <v>389.20615384615382</v>
      </c>
      <c r="J20" s="27">
        <f>J19*F28</f>
        <v>102.91370558375634</v>
      </c>
      <c r="K20" s="33">
        <f>K19*G28</f>
        <v>75.969407265774379</v>
      </c>
      <c r="L20" s="33">
        <v>174</v>
      </c>
      <c r="M20" s="32">
        <f>M19*I28</f>
        <v>108.82923076923076</v>
      </c>
      <c r="N20" s="27">
        <v>140</v>
      </c>
      <c r="O20" s="33">
        <v>69</v>
      </c>
      <c r="P20" s="33">
        <v>228</v>
      </c>
      <c r="Q20" s="32">
        <v>-247</v>
      </c>
      <c r="R20" s="27">
        <v>152</v>
      </c>
      <c r="S20" s="33">
        <v>107</v>
      </c>
    </row>
    <row r="21" spans="1:19" x14ac:dyDescent="0.15">
      <c r="A21" s="6" t="s">
        <v>99</v>
      </c>
      <c r="B21" s="33"/>
      <c r="C21" s="33"/>
      <c r="D21" s="33"/>
      <c r="E21" s="33"/>
      <c r="F21" s="27"/>
      <c r="G21" s="28"/>
      <c r="H21" s="28"/>
      <c r="I21" s="28">
        <v>-3944</v>
      </c>
      <c r="J21" s="27">
        <v>-477</v>
      </c>
      <c r="K21" s="33">
        <v>433</v>
      </c>
      <c r="L21" s="33"/>
      <c r="M21" s="32">
        <v>3158</v>
      </c>
      <c r="N21" s="27"/>
      <c r="O21" s="33"/>
      <c r="P21" s="33"/>
      <c r="Q21" s="32"/>
      <c r="R21" s="27"/>
      <c r="S21" s="33"/>
    </row>
    <row r="22" spans="1:19" s="14" customFormat="1" x14ac:dyDescent="0.15">
      <c r="A22" s="14" t="s">
        <v>15</v>
      </c>
      <c r="B22" s="36">
        <f t="shared" ref="B22:G22" si="12">B19-B20</f>
        <v>449</v>
      </c>
      <c r="C22" s="36">
        <f t="shared" si="12"/>
        <v>430</v>
      </c>
      <c r="D22" s="36">
        <f t="shared" si="12"/>
        <v>545</v>
      </c>
      <c r="E22" s="36">
        <f t="shared" si="12"/>
        <v>523</v>
      </c>
      <c r="F22" s="37">
        <f t="shared" si="12"/>
        <v>482</v>
      </c>
      <c r="G22" s="38">
        <f t="shared" si="12"/>
        <v>437</v>
      </c>
      <c r="H22" s="38">
        <f t="shared" ref="H22" si="13">H19-H20</f>
        <v>418</v>
      </c>
      <c r="I22" s="38">
        <f t="shared" ref="I22:Q22" si="14">I19-I20</f>
        <v>1602.7938461538461</v>
      </c>
      <c r="J22" s="37">
        <f t="shared" si="14"/>
        <v>455.08629441624367</v>
      </c>
      <c r="K22" s="36">
        <f t="shared" si="14"/>
        <v>386.03059273422559</v>
      </c>
      <c r="L22" s="36">
        <f t="shared" si="14"/>
        <v>520</v>
      </c>
      <c r="M22" s="36">
        <f>M19-M20</f>
        <v>448.17076923076922</v>
      </c>
      <c r="N22" s="37">
        <f t="shared" si="14"/>
        <v>407</v>
      </c>
      <c r="O22" s="36">
        <f t="shared" si="14"/>
        <v>642</v>
      </c>
      <c r="P22" s="36">
        <f t="shared" si="14"/>
        <v>721</v>
      </c>
      <c r="Q22" s="36">
        <f t="shared" si="14"/>
        <v>760</v>
      </c>
      <c r="R22" s="37">
        <f t="shared" ref="R22:S22" si="15">R19-R20</f>
        <v>521</v>
      </c>
      <c r="S22" s="36">
        <f t="shared" si="15"/>
        <v>403</v>
      </c>
    </row>
    <row r="23" spans="1:19" x14ac:dyDescent="0.15">
      <c r="A23" s="1" t="s">
        <v>16</v>
      </c>
      <c r="B23" s="43">
        <f t="shared" ref="B23:H23" si="16">IFERROR(B22/B24,0)</f>
        <v>0.36533767290480063</v>
      </c>
      <c r="C23" s="43">
        <f t="shared" si="16"/>
        <v>0.3510204081632653</v>
      </c>
      <c r="D23" s="43">
        <f t="shared" si="16"/>
        <v>0.44562551103843007</v>
      </c>
      <c r="E23" s="43">
        <f t="shared" si="16"/>
        <v>0.43438538205980065</v>
      </c>
      <c r="F23" s="44">
        <f t="shared" si="16"/>
        <v>0.41196581196581195</v>
      </c>
      <c r="G23" s="45">
        <f t="shared" si="16"/>
        <v>0.38033072236727589</v>
      </c>
      <c r="H23" s="45">
        <f t="shared" si="16"/>
        <v>0.36698858647936788</v>
      </c>
      <c r="I23" s="45">
        <f t="shared" ref="I23:M23" si="17">IFERROR(I22/I24,0)</f>
        <v>1.4323448133635801</v>
      </c>
      <c r="J23" s="44">
        <f t="shared" si="17"/>
        <v>0.41296396952472203</v>
      </c>
      <c r="K23" s="43">
        <f t="shared" si="17"/>
        <v>0.35383189068214993</v>
      </c>
      <c r="L23" s="43">
        <f t="shared" si="17"/>
        <v>0.48237476808905383</v>
      </c>
      <c r="M23" s="43">
        <f t="shared" si="17"/>
        <v>0.43301523597175773</v>
      </c>
      <c r="N23" s="44">
        <f>N22/N24</f>
        <v>0.39552964042759964</v>
      </c>
      <c r="O23" s="43">
        <f>O22/O24</f>
        <v>0.6394422310756972</v>
      </c>
      <c r="P23" s="43">
        <f>P22/P24</f>
        <v>0.73346897253306209</v>
      </c>
      <c r="Q23" s="43">
        <f>Q22/Q24</f>
        <v>0.8</v>
      </c>
      <c r="R23" s="44">
        <f>R22/R24</f>
        <v>0.57378854625550657</v>
      </c>
      <c r="S23" s="43">
        <f>S22/S24</f>
        <v>0.46482122260668973</v>
      </c>
    </row>
    <row r="24" spans="1:19" x14ac:dyDescent="0.15">
      <c r="A24" s="1" t="s">
        <v>17</v>
      </c>
      <c r="B24" s="33">
        <v>1229</v>
      </c>
      <c r="C24" s="33">
        <v>1225</v>
      </c>
      <c r="D24" s="33">
        <v>1223</v>
      </c>
      <c r="E24" s="33">
        <v>1204</v>
      </c>
      <c r="F24" s="27">
        <v>1170</v>
      </c>
      <c r="G24" s="33">
        <v>1149</v>
      </c>
      <c r="H24" s="33">
        <v>1139</v>
      </c>
      <c r="I24" s="33">
        <v>1119</v>
      </c>
      <c r="J24" s="27">
        <v>1102</v>
      </c>
      <c r="K24" s="33">
        <v>1091</v>
      </c>
      <c r="L24" s="33">
        <v>1078</v>
      </c>
      <c r="M24" s="32">
        <v>1035</v>
      </c>
      <c r="N24" s="27">
        <v>1029</v>
      </c>
      <c r="O24" s="33">
        <v>1004</v>
      </c>
      <c r="P24" s="33">
        <v>983</v>
      </c>
      <c r="Q24" s="32">
        <v>950</v>
      </c>
      <c r="R24" s="27">
        <v>908</v>
      </c>
      <c r="S24" s="33">
        <v>867</v>
      </c>
    </row>
    <row r="25" spans="1:19" x14ac:dyDescent="0.15">
      <c r="B25" s="34"/>
      <c r="C25" s="34"/>
      <c r="D25" s="34"/>
      <c r="E25" s="34"/>
      <c r="K25" s="34"/>
      <c r="L25" s="34"/>
      <c r="M25" s="35"/>
      <c r="O25" s="34"/>
      <c r="P25" s="34"/>
      <c r="Q25" s="35"/>
      <c r="R25" s="26"/>
      <c r="S25" s="34"/>
    </row>
    <row r="26" spans="1:19" x14ac:dyDescent="0.15">
      <c r="A26" s="1" t="s">
        <v>19</v>
      </c>
      <c r="B26" s="46">
        <f t="shared" ref="B26:Q26" si="18">IFERROR(B12/B10,0)</f>
        <v>0.80058224163027658</v>
      </c>
      <c r="C26" s="46">
        <f t="shared" si="18"/>
        <v>0.79431279620853079</v>
      </c>
      <c r="D26" s="46">
        <f t="shared" si="18"/>
        <v>0.7937112910909957</v>
      </c>
      <c r="E26" s="46">
        <f t="shared" si="18"/>
        <v>0.7876830318690784</v>
      </c>
      <c r="F26" s="47">
        <f t="shared" si="18"/>
        <v>0.77678989237248475</v>
      </c>
      <c r="G26" s="48">
        <f t="shared" si="18"/>
        <v>0.7789237668161435</v>
      </c>
      <c r="H26" s="48">
        <f t="shared" si="18"/>
        <v>0.77537212449255755</v>
      </c>
      <c r="I26" s="48">
        <f t="shared" si="18"/>
        <v>0.77494780793319418</v>
      </c>
      <c r="J26" s="47">
        <f t="shared" si="18"/>
        <v>0.77681285280069479</v>
      </c>
      <c r="K26" s="46">
        <f t="shared" si="18"/>
        <v>0.76849937990905337</v>
      </c>
      <c r="L26" s="46">
        <f t="shared" si="18"/>
        <v>0.77702161729383512</v>
      </c>
      <c r="M26" s="49">
        <f t="shared" si="18"/>
        <v>0.7742058936088787</v>
      </c>
      <c r="N26" s="47">
        <f t="shared" si="18"/>
        <v>0.78333333333333333</v>
      </c>
      <c r="O26" s="46">
        <f t="shared" si="18"/>
        <v>0.77386363636363631</v>
      </c>
      <c r="P26" s="46">
        <f t="shared" si="18"/>
        <v>0.77047942619856546</v>
      </c>
      <c r="Q26" s="49">
        <f t="shared" si="18"/>
        <v>0.78519290928050056</v>
      </c>
      <c r="R26" s="47">
        <f t="shared" ref="R26:S26" si="19">IFERROR(R12/R10,0)</f>
        <v>0.77260688611426409</v>
      </c>
      <c r="S26" s="46">
        <f t="shared" si="19"/>
        <v>0.76553777446966875</v>
      </c>
    </row>
    <row r="27" spans="1:19" x14ac:dyDescent="0.15">
      <c r="A27" s="1" t="s">
        <v>20</v>
      </c>
      <c r="B27" s="50">
        <f t="shared" ref="B27:Q27" si="20">IFERROR(B17/B10,0)</f>
        <v>0.25667151868025229</v>
      </c>
      <c r="C27" s="50">
        <f t="shared" si="20"/>
        <v>0.20284360189573461</v>
      </c>
      <c r="D27" s="50">
        <f t="shared" si="20"/>
        <v>0.27536922343973319</v>
      </c>
      <c r="E27" s="50">
        <f t="shared" si="20"/>
        <v>0.285099052540913</v>
      </c>
      <c r="F27" s="51">
        <f t="shared" si="20"/>
        <v>0.28731867103416003</v>
      </c>
      <c r="G27" s="52">
        <f t="shared" si="20"/>
        <v>0.23811659192825113</v>
      </c>
      <c r="H27" s="52">
        <f t="shared" si="20"/>
        <v>0.24447451511050969</v>
      </c>
      <c r="I27" s="52">
        <f t="shared" si="20"/>
        <v>0.26638830897703547</v>
      </c>
      <c r="J27" s="51">
        <f t="shared" si="20"/>
        <v>0.23751628310898829</v>
      </c>
      <c r="K27" s="50">
        <f t="shared" si="20"/>
        <v>0.19842910293509713</v>
      </c>
      <c r="L27" s="50">
        <f t="shared" si="20"/>
        <v>0.22978382706164932</v>
      </c>
      <c r="M27" s="53">
        <f t="shared" si="20"/>
        <v>0.2537313432835821</v>
      </c>
      <c r="N27" s="51">
        <f t="shared" si="20"/>
        <v>0.22441860465116278</v>
      </c>
      <c r="O27" s="50">
        <f t="shared" si="20"/>
        <v>0.15378787878787878</v>
      </c>
      <c r="P27" s="50">
        <f t="shared" si="20"/>
        <v>0.20989052472631181</v>
      </c>
      <c r="Q27" s="53">
        <f t="shared" si="20"/>
        <v>0.23670490093847757</v>
      </c>
      <c r="R27" s="51">
        <f t="shared" ref="R27:S27" si="21">IFERROR(R17/R10,0)</f>
        <v>0.2304199772985244</v>
      </c>
      <c r="S27" s="50">
        <f t="shared" si="21"/>
        <v>0.20878302940081875</v>
      </c>
    </row>
    <row r="28" spans="1:19" x14ac:dyDescent="0.15">
      <c r="A28" s="1" t="s">
        <v>21</v>
      </c>
      <c r="B28" s="50">
        <f t="shared" ref="B28:P28" si="22">IFERROR(B20/B19,0)</f>
        <v>0.16697588126159554</v>
      </c>
      <c r="C28" s="50">
        <f t="shared" si="22"/>
        <v>0.2210144927536232</v>
      </c>
      <c r="D28" s="50">
        <f t="shared" si="22"/>
        <v>0.18045112781954886</v>
      </c>
      <c r="E28" s="50">
        <f t="shared" si="22"/>
        <v>0.19538461538461538</v>
      </c>
      <c r="F28" s="51">
        <f t="shared" si="22"/>
        <v>0.18443316412859559</v>
      </c>
      <c r="G28" s="52">
        <f t="shared" si="22"/>
        <v>0.16443594646271512</v>
      </c>
      <c r="H28" s="52">
        <f t="shared" si="22"/>
        <v>0.21575984990619138</v>
      </c>
      <c r="I28" s="52">
        <f t="shared" si="22"/>
        <v>0.19538461538461538</v>
      </c>
      <c r="J28" s="51">
        <f t="shared" si="22"/>
        <v>0.18443316412859559</v>
      </c>
      <c r="K28" s="50">
        <f t="shared" si="22"/>
        <v>0.16443594646271512</v>
      </c>
      <c r="L28" s="50">
        <f t="shared" si="22"/>
        <v>0.25072046109510088</v>
      </c>
      <c r="M28" s="53">
        <f t="shared" si="22"/>
        <v>0.19538461538461538</v>
      </c>
      <c r="N28" s="51">
        <f t="shared" si="22"/>
        <v>0.25594149908592323</v>
      </c>
      <c r="O28" s="50">
        <f t="shared" si="22"/>
        <v>9.7046413502109699E-2</v>
      </c>
      <c r="P28" s="50">
        <f t="shared" si="22"/>
        <v>0.24025289778714437</v>
      </c>
      <c r="Q28" s="53">
        <f>IFERROR(Q20/Q19,0)</f>
        <v>-0.48148148148148145</v>
      </c>
      <c r="R28" s="51">
        <f t="shared" ref="R28:S28" si="23">IFERROR(R20/R19,0)</f>
        <v>0.22585438335809807</v>
      </c>
      <c r="S28" s="50">
        <f t="shared" si="23"/>
        <v>0.20980392156862746</v>
      </c>
    </row>
    <row r="29" spans="1:19" x14ac:dyDescent="0.15">
      <c r="B29" s="34"/>
      <c r="C29" s="34"/>
      <c r="D29" s="34"/>
      <c r="E29" s="34"/>
      <c r="K29" s="34"/>
      <c r="L29" s="34"/>
      <c r="M29" s="35"/>
      <c r="O29" s="34"/>
      <c r="P29" s="34"/>
      <c r="Q29" s="35"/>
      <c r="R29" s="26"/>
      <c r="S29" s="34"/>
    </row>
    <row r="30" spans="1:19" s="14" customFormat="1" x14ac:dyDescent="0.15">
      <c r="A30" s="14" t="s">
        <v>18</v>
      </c>
      <c r="B30" s="54"/>
      <c r="C30" s="54"/>
      <c r="D30" s="54"/>
      <c r="E30" s="54"/>
      <c r="F30" s="55">
        <f t="shared" ref="F30:S30" si="24">IFERROR((F10/B10)-1,0)</f>
        <v>3.687530325084909E-2</v>
      </c>
      <c r="G30" s="54">
        <f t="shared" si="24"/>
        <v>5.6872037914691864E-2</v>
      </c>
      <c r="H30" s="54">
        <f t="shared" si="24"/>
        <v>5.62172463077657E-2</v>
      </c>
      <c r="I30" s="54">
        <f t="shared" si="24"/>
        <v>3.1438415159345423E-2</v>
      </c>
      <c r="J30" s="55">
        <f t="shared" si="24"/>
        <v>7.7678989237248475E-2</v>
      </c>
      <c r="K30" s="54">
        <f t="shared" si="24"/>
        <v>8.4753363228699641E-2</v>
      </c>
      <c r="L30" s="54">
        <f t="shared" si="24"/>
        <v>0.12674785746504291</v>
      </c>
      <c r="M30" s="56">
        <f t="shared" si="24"/>
        <v>9.1022964509394511E-2</v>
      </c>
      <c r="N30" s="55">
        <f t="shared" si="24"/>
        <v>0.12027789839339986</v>
      </c>
      <c r="O30" s="54">
        <f t="shared" si="24"/>
        <v>9.1360066143034269E-2</v>
      </c>
      <c r="P30" s="54">
        <f t="shared" si="24"/>
        <v>6.0448358686949533E-2</v>
      </c>
      <c r="Q30" s="56">
        <f>IFERROR((Q10/M10)-1,0)</f>
        <v>0.10103329506314584</v>
      </c>
      <c r="R30" s="55">
        <f t="shared" si="24"/>
        <v>2.4418604651162745E-2</v>
      </c>
      <c r="S30" s="54">
        <f t="shared" si="24"/>
        <v>1.7803030303030321E-2</v>
      </c>
    </row>
    <row r="31" spans="1:19" s="14" customFormat="1" x14ac:dyDescent="0.15">
      <c r="A31" s="1" t="s">
        <v>47</v>
      </c>
      <c r="B31" s="57"/>
      <c r="C31" s="57"/>
      <c r="D31" s="57"/>
      <c r="E31" s="57"/>
      <c r="F31" s="58">
        <f t="shared" ref="F31:S33" si="25">IFERROR((F13/B13)-1,0)</f>
        <v>8.144796380090491E-2</v>
      </c>
      <c r="G31" s="57">
        <f t="shared" si="25"/>
        <v>0.27155172413793105</v>
      </c>
      <c r="H31" s="57">
        <f t="shared" si="25"/>
        <v>0.19502074688796678</v>
      </c>
      <c r="I31" s="57">
        <f t="shared" si="25"/>
        <v>0.27510917030567694</v>
      </c>
      <c r="J31" s="58">
        <f t="shared" si="25"/>
        <v>0.16317991631799167</v>
      </c>
      <c r="K31" s="57">
        <f t="shared" si="25"/>
        <v>6.1016949152542299E-2</v>
      </c>
      <c r="L31" s="57">
        <f t="shared" si="25"/>
        <v>9.7222222222222321E-2</v>
      </c>
      <c r="M31" s="59">
        <f t="shared" si="25"/>
        <v>8.5616438356164393E-2</v>
      </c>
      <c r="N31" s="58">
        <f t="shared" si="25"/>
        <v>0.20143884892086339</v>
      </c>
      <c r="O31" s="57">
        <f t="shared" si="25"/>
        <v>0.12460063897763574</v>
      </c>
      <c r="P31" s="57">
        <f t="shared" si="25"/>
        <v>-2.8481012658227889E-2</v>
      </c>
      <c r="Q31" s="59">
        <f t="shared" si="25"/>
        <v>-7.8864353312302793E-2</v>
      </c>
      <c r="R31" s="58">
        <f t="shared" si="25"/>
        <v>-0.1107784431137725</v>
      </c>
      <c r="S31" s="57">
        <f t="shared" si="25"/>
        <v>-8.5227272727272707E-2</v>
      </c>
    </row>
    <row r="32" spans="1:19" s="14" customFormat="1" x14ac:dyDescent="0.15">
      <c r="A32" s="1" t="s">
        <v>48</v>
      </c>
      <c r="B32" s="57"/>
      <c r="C32" s="57"/>
      <c r="D32" s="57"/>
      <c r="E32" s="57"/>
      <c r="F32" s="58">
        <f t="shared" si="25"/>
        <v>3.6608863198458463E-2</v>
      </c>
      <c r="G32" s="57">
        <f t="shared" si="25"/>
        <v>5.7823129251700633E-2</v>
      </c>
      <c r="H32" s="57">
        <f t="shared" si="25"/>
        <v>6.1946902654867353E-2</v>
      </c>
      <c r="I32" s="57">
        <f t="shared" si="25"/>
        <v>2.1848739495798242E-2</v>
      </c>
      <c r="J32" s="58">
        <f t="shared" si="25"/>
        <v>0.20446096654275103</v>
      </c>
      <c r="K32" s="57">
        <f t="shared" si="25"/>
        <v>0.1688102893890675</v>
      </c>
      <c r="L32" s="57">
        <f t="shared" si="25"/>
        <v>0.19833333333333325</v>
      </c>
      <c r="M32" s="59">
        <f t="shared" si="25"/>
        <v>0.13322368421052633</v>
      </c>
      <c r="N32" s="58">
        <f t="shared" si="25"/>
        <v>0.16666666666666674</v>
      </c>
      <c r="O32" s="57">
        <f t="shared" si="25"/>
        <v>0.15268225584594219</v>
      </c>
      <c r="P32" s="57">
        <f t="shared" si="25"/>
        <v>0.18497913769123775</v>
      </c>
      <c r="Q32" s="59">
        <f t="shared" si="25"/>
        <v>0.37155297532656029</v>
      </c>
      <c r="R32" s="58">
        <f t="shared" si="25"/>
        <v>-1.851851851851849E-2</v>
      </c>
      <c r="S32" s="57">
        <f t="shared" si="25"/>
        <v>-2.5059665871121739E-2</v>
      </c>
    </row>
    <row r="33" spans="1:19" s="14" customFormat="1" x14ac:dyDescent="0.15">
      <c r="A33" s="1" t="s">
        <v>49</v>
      </c>
      <c r="B33" s="57"/>
      <c r="C33" s="57"/>
      <c r="D33" s="57"/>
      <c r="E33" s="57"/>
      <c r="F33" s="58">
        <f t="shared" si="25"/>
        <v>-0.29396325459317585</v>
      </c>
      <c r="G33" s="57">
        <f t="shared" si="25"/>
        <v>-0.32476635514018692</v>
      </c>
      <c r="H33" s="57">
        <f t="shared" si="25"/>
        <v>2.4822695035461084E-2</v>
      </c>
      <c r="I33" s="57">
        <f t="shared" si="25"/>
        <v>-7.2886297376093312E-2</v>
      </c>
      <c r="J33" s="58">
        <f t="shared" si="25"/>
        <v>0.17472118959107807</v>
      </c>
      <c r="K33" s="57">
        <f t="shared" si="25"/>
        <v>0.17301038062283736</v>
      </c>
      <c r="L33" s="57">
        <f t="shared" si="25"/>
        <v>0.1487889273356402</v>
      </c>
      <c r="M33" s="59">
        <f t="shared" si="25"/>
        <v>0.1132075471698113</v>
      </c>
      <c r="N33" s="58">
        <f t="shared" si="25"/>
        <v>0.11392405063291133</v>
      </c>
      <c r="O33" s="57">
        <f t="shared" si="25"/>
        <v>0.31858407079646023</v>
      </c>
      <c r="P33" s="57">
        <f t="shared" si="25"/>
        <v>-1.8072289156626509E-2</v>
      </c>
      <c r="Q33" s="59">
        <f t="shared" si="25"/>
        <v>-3.672316384180796E-2</v>
      </c>
      <c r="R33" s="58">
        <f t="shared" si="25"/>
        <v>0.11931818181818188</v>
      </c>
      <c r="S33" s="57">
        <f t="shared" si="25"/>
        <v>-0.20134228187919467</v>
      </c>
    </row>
    <row r="34" spans="1:19" x14ac:dyDescent="0.15">
      <c r="B34" s="34"/>
      <c r="C34" s="34"/>
      <c r="D34" s="34"/>
      <c r="E34" s="34"/>
      <c r="K34" s="34"/>
      <c r="L34" s="34"/>
      <c r="M34" s="35"/>
      <c r="O34" s="34"/>
      <c r="P34" s="34"/>
      <c r="Q34" s="35"/>
      <c r="R34" s="26"/>
      <c r="S34" s="34"/>
    </row>
    <row r="35" spans="1:19" s="14" customFormat="1" x14ac:dyDescent="0.15">
      <c r="A35" s="14" t="s">
        <v>26</v>
      </c>
      <c r="B35" s="39"/>
      <c r="C35" s="39"/>
      <c r="D35" s="39"/>
      <c r="E35" s="36">
        <f>E36-E37</f>
        <v>2773</v>
      </c>
      <c r="F35" s="37">
        <f>F36-F37</f>
        <v>2347</v>
      </c>
      <c r="G35" s="38">
        <f t="shared" ref="G35:K35" si="26">G36-G37</f>
        <v>2573</v>
      </c>
      <c r="H35" s="38">
        <f t="shared" si="26"/>
        <v>2935</v>
      </c>
      <c r="I35" s="38">
        <f t="shared" si="26"/>
        <v>2158</v>
      </c>
      <c r="J35" s="37">
        <f t="shared" si="26"/>
        <v>2328</v>
      </c>
      <c r="K35" s="36">
        <f t="shared" si="26"/>
        <v>2305</v>
      </c>
      <c r="L35" s="36">
        <f t="shared" ref="L35:Q35" si="27">L36-L37</f>
        <v>2334</v>
      </c>
      <c r="M35" s="36">
        <f t="shared" si="27"/>
        <v>2179</v>
      </c>
      <c r="N35" s="37">
        <f t="shared" si="27"/>
        <v>1497</v>
      </c>
      <c r="O35" s="36">
        <f t="shared" si="27"/>
        <v>221</v>
      </c>
      <c r="P35" s="36">
        <f t="shared" si="27"/>
        <v>-93</v>
      </c>
      <c r="Q35" s="36">
        <f t="shared" si="27"/>
        <v>-538</v>
      </c>
      <c r="R35" s="37">
        <f t="shared" ref="R35:S35" si="28">R36-R37</f>
        <v>-1840</v>
      </c>
      <c r="S35" s="36">
        <f t="shared" si="28"/>
        <v>-2893</v>
      </c>
    </row>
    <row r="36" spans="1:19" x14ac:dyDescent="0.15">
      <c r="A36" s="1" t="s">
        <v>27</v>
      </c>
      <c r="B36" s="33"/>
      <c r="C36" s="33"/>
      <c r="D36" s="33"/>
      <c r="E36" s="33">
        <f>1832+4299+3391</f>
        <v>9522</v>
      </c>
      <c r="F36" s="27">
        <f>2686+5327+3370</f>
        <v>11383</v>
      </c>
      <c r="G36" s="33">
        <f>2001+6085+3541</f>
        <v>11627</v>
      </c>
      <c r="H36" s="33">
        <f>1753+6292+3921</f>
        <v>11966</v>
      </c>
      <c r="I36" s="33">
        <f>1816+5333+3969</f>
        <v>11118</v>
      </c>
      <c r="J36" s="27">
        <f>1979+4775+4540</f>
        <v>11294</v>
      </c>
      <c r="K36" s="33">
        <f>2636+6381+4754</f>
        <v>13771</v>
      </c>
      <c r="L36" s="33">
        <f>1760+4270+6302</f>
        <v>12332</v>
      </c>
      <c r="M36" s="33">
        <f>2120+3743+6331</f>
        <v>12194</v>
      </c>
      <c r="N36" s="27">
        <f>2527+2279+5919</f>
        <v>10725</v>
      </c>
      <c r="O36" s="33">
        <f>1619+2388+5418</f>
        <v>9425</v>
      </c>
      <c r="P36" s="33">
        <f>2086+2752+4276</f>
        <v>9114</v>
      </c>
      <c r="Q36" s="33">
        <f>2202+2713+3778</f>
        <v>8693</v>
      </c>
      <c r="R36" s="27">
        <f>1695+2746+2969</f>
        <v>7410</v>
      </c>
      <c r="S36" s="33">
        <f>1508+2969+1936</f>
        <v>6413</v>
      </c>
    </row>
    <row r="37" spans="1:19" x14ac:dyDescent="0.15">
      <c r="A37" s="1" t="s">
        <v>28</v>
      </c>
      <c r="B37" s="33"/>
      <c r="C37" s="33"/>
      <c r="D37" s="33"/>
      <c r="E37" s="33">
        <f>0+6749</f>
        <v>6749</v>
      </c>
      <c r="F37" s="27">
        <f>6+9030</f>
        <v>9036</v>
      </c>
      <c r="G37" s="33">
        <v>9054</v>
      </c>
      <c r="H37" s="33">
        <f>1449+7582</f>
        <v>9031</v>
      </c>
      <c r="I37" s="33">
        <f>1451+7509</f>
        <v>8960</v>
      </c>
      <c r="J37" s="27">
        <f>2210+6756</f>
        <v>8966</v>
      </c>
      <c r="K37" s="33">
        <f>2215+9251</f>
        <v>11466</v>
      </c>
      <c r="L37" s="33">
        <f>749+9249</f>
        <v>9998</v>
      </c>
      <c r="M37" s="33">
        <f>781+9234</f>
        <v>10015</v>
      </c>
      <c r="N37" s="27">
        <f>20+9208</f>
        <v>9228</v>
      </c>
      <c r="O37" s="33">
        <f>3+9201</f>
        <v>9204</v>
      </c>
      <c r="P37" s="33">
        <f>1546+7661</f>
        <v>9207</v>
      </c>
      <c r="Q37" s="33">
        <f>1546+7685</f>
        <v>9231</v>
      </c>
      <c r="R37" s="27">
        <f>1550+7700</f>
        <v>9250</v>
      </c>
      <c r="S37" s="33">
        <f>2063+7243</f>
        <v>9306</v>
      </c>
    </row>
    <row r="38" spans="1:19" x14ac:dyDescent="0.15">
      <c r="E38" s="34"/>
      <c r="K38" s="34"/>
      <c r="L38" s="34"/>
      <c r="M38" s="35"/>
      <c r="O38" s="34"/>
      <c r="P38" s="34"/>
      <c r="Q38" s="34"/>
      <c r="R38" s="26"/>
      <c r="S38" s="34"/>
    </row>
    <row r="39" spans="1:19" x14ac:dyDescent="0.15">
      <c r="A39" s="1" t="s">
        <v>78</v>
      </c>
      <c r="M39" s="28">
        <f>4773+69</f>
        <v>4842</v>
      </c>
      <c r="N39" s="27">
        <f>4815+53</f>
        <v>4868</v>
      </c>
      <c r="O39" s="28">
        <f>5199+123</f>
        <v>5322</v>
      </c>
      <c r="P39" s="28">
        <f>5170+106</f>
        <v>5276</v>
      </c>
      <c r="Q39" s="28">
        <f>5160+92</f>
        <v>5252</v>
      </c>
      <c r="R39" s="27">
        <f>5208+108</f>
        <v>5316</v>
      </c>
      <c r="S39" s="28">
        <f>5185+94</f>
        <v>5279</v>
      </c>
    </row>
    <row r="40" spans="1:19" x14ac:dyDescent="0.15">
      <c r="A40" s="1" t="s">
        <v>79</v>
      </c>
      <c r="M40" s="28">
        <v>25986</v>
      </c>
      <c r="N40" s="27">
        <v>24555</v>
      </c>
      <c r="O40" s="28">
        <v>23988</v>
      </c>
      <c r="P40" s="28">
        <v>23652</v>
      </c>
      <c r="Q40" s="28">
        <v>22819</v>
      </c>
      <c r="R40" s="27">
        <v>22329</v>
      </c>
      <c r="S40" s="28">
        <v>21169</v>
      </c>
    </row>
    <row r="41" spans="1:19" x14ac:dyDescent="0.15">
      <c r="A41" s="1" t="s">
        <v>80</v>
      </c>
      <c r="M41" s="28">
        <v>17937</v>
      </c>
      <c r="N41" s="27">
        <v>16959</v>
      </c>
      <c r="O41" s="28">
        <v>16842</v>
      </c>
      <c r="P41" s="28">
        <v>16723</v>
      </c>
      <c r="Q41" s="28">
        <v>16538</v>
      </c>
      <c r="R41" s="27">
        <v>17126</v>
      </c>
      <c r="S41" s="28">
        <v>17063</v>
      </c>
    </row>
    <row r="42" spans="1:19" x14ac:dyDescent="0.15">
      <c r="M42" s="25"/>
      <c r="Q42" s="25"/>
      <c r="R42" s="26"/>
      <c r="S42" s="25"/>
    </row>
    <row r="43" spans="1:19" x14ac:dyDescent="0.15">
      <c r="A43" s="1" t="s">
        <v>81</v>
      </c>
      <c r="C43" s="28"/>
      <c r="M43" s="42">
        <f>M40-M39-M36</f>
        <v>8950</v>
      </c>
      <c r="N43" s="41">
        <f>N40-N39-N36</f>
        <v>8962</v>
      </c>
      <c r="O43" s="42">
        <f>O40-O39-O36</f>
        <v>9241</v>
      </c>
      <c r="P43" s="42">
        <f>P40-P39-P36</f>
        <v>9262</v>
      </c>
      <c r="Q43" s="42">
        <f>Q40-Q39-Q36</f>
        <v>8874</v>
      </c>
      <c r="R43" s="41">
        <f>R40-R39-R36</f>
        <v>9603</v>
      </c>
      <c r="S43" s="42">
        <f>S40-S39-S36</f>
        <v>9477</v>
      </c>
    </row>
    <row r="44" spans="1:19" x14ac:dyDescent="0.15">
      <c r="A44" s="1" t="s">
        <v>82</v>
      </c>
      <c r="M44" s="42">
        <f>M40-M41</f>
        <v>8049</v>
      </c>
      <c r="N44" s="41">
        <f>N40-N41</f>
        <v>7596</v>
      </c>
      <c r="O44" s="42">
        <f>O40-O41</f>
        <v>7146</v>
      </c>
      <c r="P44" s="42">
        <f>P40-P41</f>
        <v>6929</v>
      </c>
      <c r="Q44" s="42">
        <f>Q40-Q41</f>
        <v>6281</v>
      </c>
      <c r="R44" s="41">
        <f>R40-R41</f>
        <v>5203</v>
      </c>
      <c r="S44" s="42">
        <f>S40-S41</f>
        <v>4106</v>
      </c>
    </row>
    <row r="45" spans="1:19" x14ac:dyDescent="0.15">
      <c r="M45" s="25"/>
      <c r="Q45" s="25"/>
      <c r="R45" s="26"/>
      <c r="S45" s="25"/>
    </row>
    <row r="46" spans="1:19" s="14" customFormat="1" x14ac:dyDescent="0.15">
      <c r="A46" s="14" t="s">
        <v>90</v>
      </c>
      <c r="B46" s="60"/>
      <c r="C46" s="60"/>
      <c r="D46" s="60"/>
      <c r="E46" s="60"/>
      <c r="F46" s="61"/>
      <c r="G46" s="60"/>
      <c r="H46" s="60"/>
      <c r="I46" s="60"/>
      <c r="J46" s="61"/>
      <c r="K46" s="60"/>
      <c r="L46" s="60"/>
      <c r="M46" s="38">
        <f>SUM(J22:M22)</f>
        <v>1809.2876563812383</v>
      </c>
      <c r="N46" s="37">
        <f>SUM(K22:N22)</f>
        <v>1761.2013619649947</v>
      </c>
      <c r="O46" s="38">
        <f>SUM(L22:O22)</f>
        <v>2017.1707692307691</v>
      </c>
      <c r="P46" s="38">
        <f>SUM(M22:P22)</f>
        <v>2218.1707692307691</v>
      </c>
      <c r="Q46" s="38">
        <f>SUM(N22:Q22)</f>
        <v>2530</v>
      </c>
      <c r="R46" s="37">
        <f>SUM(O22:R22)</f>
        <v>2644</v>
      </c>
      <c r="S46" s="38">
        <f>SUM(P22:S22)</f>
        <v>2405</v>
      </c>
    </row>
    <row r="47" spans="1:19" x14ac:dyDescent="0.15">
      <c r="A47" s="1" t="s">
        <v>83</v>
      </c>
      <c r="M47" s="48">
        <f>M22/M44</f>
        <v>5.5680304290069475E-2</v>
      </c>
      <c r="N47" s="47">
        <f>N22/N44</f>
        <v>5.3580832016850974E-2</v>
      </c>
      <c r="O47" s="48">
        <f>O22/O44</f>
        <v>8.984047019311503E-2</v>
      </c>
      <c r="P47" s="48">
        <f>P22/P44</f>
        <v>0.10405541925241737</v>
      </c>
      <c r="Q47" s="48">
        <f>Q22/Q44</f>
        <v>0.12099984078968318</v>
      </c>
      <c r="R47" s="47">
        <f>R22/R44</f>
        <v>0.10013453776667307</v>
      </c>
      <c r="S47" s="48">
        <f>S22/S44</f>
        <v>9.8149050170482227E-2</v>
      </c>
    </row>
    <row r="48" spans="1:19" x14ac:dyDescent="0.15">
      <c r="A48" s="1" t="s">
        <v>84</v>
      </c>
      <c r="M48" s="48">
        <f>M22/M40</f>
        <v>1.7246623921756684E-2</v>
      </c>
      <c r="N48" s="47">
        <f>N22/N40</f>
        <v>1.6575035634290369E-2</v>
      </c>
      <c r="O48" s="48">
        <f>O22/O40</f>
        <v>2.6763381690845422E-2</v>
      </c>
      <c r="P48" s="48">
        <f>P22/P40</f>
        <v>3.0483680027059021E-2</v>
      </c>
      <c r="Q48" s="48">
        <f>Q22/Q40</f>
        <v>3.330557868442964E-2</v>
      </c>
      <c r="R48" s="47">
        <f>R22/R40</f>
        <v>2.3332885485243406E-2</v>
      </c>
      <c r="S48" s="48">
        <f>S22/S40</f>
        <v>1.9037271481883888E-2</v>
      </c>
    </row>
    <row r="49" spans="1:19" x14ac:dyDescent="0.15">
      <c r="A49" s="1" t="s">
        <v>85</v>
      </c>
      <c r="M49" s="48">
        <f>M22/(M44-M39)</f>
        <v>0.13974766736226044</v>
      </c>
      <c r="N49" s="47">
        <f>N22/(N44-N39)</f>
        <v>0.14919354838709678</v>
      </c>
      <c r="O49" s="48">
        <f>O22/(O44-O39)</f>
        <v>0.35197368421052633</v>
      </c>
      <c r="P49" s="48">
        <f>P22/(P44-P39)</f>
        <v>0.43617664851784632</v>
      </c>
      <c r="Q49" s="48">
        <f>Q22/(Q44-Q39)</f>
        <v>0.738581146744412</v>
      </c>
      <c r="R49" s="47">
        <f>R22/(R44-R39)</f>
        <v>-4.610619469026549</v>
      </c>
      <c r="S49" s="48">
        <f>S22/(S44-S39)</f>
        <v>-0.34356351236146632</v>
      </c>
    </row>
    <row r="50" spans="1:19" x14ac:dyDescent="0.15">
      <c r="A50" s="1" t="s">
        <v>86</v>
      </c>
      <c r="M50" s="48">
        <f>M22/M43</f>
        <v>5.0074946282767513E-2</v>
      </c>
      <c r="N50" s="47">
        <f>N22/N43</f>
        <v>4.5413970095960723E-2</v>
      </c>
      <c r="O50" s="48">
        <f>O22/O43</f>
        <v>6.9473000757493783E-2</v>
      </c>
      <c r="P50" s="48">
        <f>P22/P43</f>
        <v>7.7844957892463831E-2</v>
      </c>
      <c r="Q50" s="48">
        <f>Q22/Q43</f>
        <v>8.5643452783412219E-2</v>
      </c>
      <c r="R50" s="47">
        <f>R22/R43</f>
        <v>5.4253878996147038E-2</v>
      </c>
      <c r="S50" s="48">
        <f>S22/S43</f>
        <v>4.2524005486968448E-2</v>
      </c>
    </row>
    <row r="51" spans="1:19" x14ac:dyDescent="0.15">
      <c r="R51" s="26"/>
      <c r="S51" s="25"/>
    </row>
    <row r="52" spans="1:19" x14ac:dyDescent="0.15">
      <c r="A52" s="1" t="s">
        <v>87</v>
      </c>
      <c r="E52" s="34"/>
      <c r="F52" s="47">
        <f t="shared" ref="F52:S54" si="29">F3/B3-1</f>
        <v>-2.34375E-2</v>
      </c>
      <c r="G52" s="46">
        <f t="shared" si="29"/>
        <v>-1.9685039370078705E-3</v>
      </c>
      <c r="H52" s="46">
        <f t="shared" si="29"/>
        <v>1.7135023989033549E-2</v>
      </c>
      <c r="I52" s="46">
        <f t="shared" si="29"/>
        <v>1.1363636363636465E-2</v>
      </c>
      <c r="J52" s="47">
        <f t="shared" si="29"/>
        <v>7.2666666666666657E-2</v>
      </c>
      <c r="K52" s="46">
        <f t="shared" si="29"/>
        <v>0.10387902695594997</v>
      </c>
      <c r="L52" s="46">
        <f t="shared" si="29"/>
        <v>0.14420485175202158</v>
      </c>
      <c r="M52" s="46">
        <f t="shared" si="29"/>
        <v>7.927590511860183E-2</v>
      </c>
      <c r="N52" s="47">
        <f t="shared" si="29"/>
        <v>0.11373523927905538</v>
      </c>
      <c r="O52" s="46">
        <f t="shared" si="29"/>
        <v>9.4103633114949403E-2</v>
      </c>
      <c r="P52" s="46">
        <f t="shared" si="29"/>
        <v>6.1837455830388688E-2</v>
      </c>
      <c r="Q52" s="46">
        <f t="shared" si="29"/>
        <v>0.14748409485251601</v>
      </c>
      <c r="R52" s="47">
        <f t="shared" si="29"/>
        <v>0.20647321428571419</v>
      </c>
      <c r="S52" s="46">
        <f t="shared" si="29"/>
        <v>0.17419706042460525</v>
      </c>
    </row>
    <row r="53" spans="1:19" x14ac:dyDescent="0.15">
      <c r="A53" s="1" t="s">
        <v>88</v>
      </c>
      <c r="E53" s="34"/>
      <c r="F53" s="47">
        <f t="shared" si="29"/>
        <v>0.34090909090909083</v>
      </c>
      <c r="G53" s="46">
        <f t="shared" si="29"/>
        <v>0.39751552795031064</v>
      </c>
      <c r="H53" s="46">
        <f t="shared" si="29"/>
        <v>0.30499999999999994</v>
      </c>
      <c r="I53" s="46">
        <f t="shared" si="29"/>
        <v>0.18103448275862077</v>
      </c>
      <c r="J53" s="47">
        <f t="shared" si="29"/>
        <v>0.16384180790960445</v>
      </c>
      <c r="K53" s="46">
        <f t="shared" si="29"/>
        <v>1.777777777777767E-2</v>
      </c>
      <c r="L53" s="46">
        <f t="shared" si="29"/>
        <v>3.4482758620689724E-2</v>
      </c>
      <c r="M53" s="46">
        <f t="shared" si="29"/>
        <v>0.11678832116788329</v>
      </c>
      <c r="N53" s="47">
        <f t="shared" si="29"/>
        <v>0.12135922330097082</v>
      </c>
      <c r="O53" s="46">
        <f t="shared" si="29"/>
        <v>4.8034934497816595E-2</v>
      </c>
      <c r="P53" s="46">
        <f t="shared" si="29"/>
        <v>5.9259259259259345E-2</v>
      </c>
      <c r="Q53" s="46">
        <f t="shared" si="29"/>
        <v>1.6339869281045694E-2</v>
      </c>
      <c r="R53" s="47">
        <f t="shared" si="29"/>
        <v>-4.3290043290042934E-3</v>
      </c>
      <c r="S53" s="46">
        <f t="shared" si="29"/>
        <v>0.10000000000000009</v>
      </c>
    </row>
    <row r="54" spans="1:19" x14ac:dyDescent="0.15">
      <c r="A54" s="1" t="s">
        <v>89</v>
      </c>
      <c r="E54" s="34"/>
      <c r="F54" s="47">
        <f t="shared" si="29"/>
        <v>0.17048346055979646</v>
      </c>
      <c r="G54" s="46">
        <f t="shared" si="29"/>
        <v>0.13882352941176479</v>
      </c>
      <c r="H54" s="46">
        <f t="shared" si="29"/>
        <v>7.2727272727272751E-2</v>
      </c>
      <c r="I54" s="46">
        <f t="shared" si="29"/>
        <v>2.5691699604743157E-2</v>
      </c>
      <c r="J54" s="47">
        <f t="shared" si="29"/>
        <v>6.0869565217391397E-2</v>
      </c>
      <c r="K54" s="46">
        <f t="shared" si="29"/>
        <v>5.5785123966942241E-2</v>
      </c>
      <c r="L54" s="46">
        <f t="shared" si="29"/>
        <v>0.12288135593220328</v>
      </c>
      <c r="M54" s="46">
        <f t="shared" si="29"/>
        <v>0.11368015414258181</v>
      </c>
      <c r="N54" s="47">
        <f t="shared" si="29"/>
        <v>0.14139344262295084</v>
      </c>
      <c r="O54" s="46">
        <f t="shared" si="29"/>
        <v>0.10176125244618395</v>
      </c>
      <c r="P54" s="46">
        <f t="shared" si="29"/>
        <v>5.6603773584905648E-2</v>
      </c>
      <c r="Q54" s="46">
        <f t="shared" si="29"/>
        <v>6.9204152249136008E-3</v>
      </c>
      <c r="R54" s="47">
        <f t="shared" si="29"/>
        <v>-0.54937163375224418</v>
      </c>
      <c r="S54" s="46">
        <f t="shared" si="29"/>
        <v>-0.52753108348134992</v>
      </c>
    </row>
    <row r="55" spans="1:19" x14ac:dyDescent="0.15">
      <c r="R55" s="26"/>
      <c r="S55" s="25"/>
    </row>
    <row r="56" spans="1:19" x14ac:dyDescent="0.15">
      <c r="A56" s="1" t="s">
        <v>94</v>
      </c>
      <c r="I56" s="49">
        <f t="shared" ref="I56:S57" si="30">I7/E7-1</f>
        <v>0</v>
      </c>
      <c r="J56" s="64">
        <f t="shared" si="30"/>
        <v>1.8518518518518601E-2</v>
      </c>
      <c r="K56" s="65">
        <f t="shared" si="30"/>
        <v>1.8292682926829285E-2</v>
      </c>
      <c r="L56" s="65">
        <f t="shared" si="30"/>
        <v>1.8181818181818077E-2</v>
      </c>
      <c r="M56" s="65">
        <f t="shared" si="30"/>
        <v>4.9382716049382713E-2</v>
      </c>
      <c r="N56" s="64">
        <f t="shared" si="30"/>
        <v>3.6363636363636376E-2</v>
      </c>
      <c r="O56" s="65">
        <f t="shared" si="30"/>
        <v>4.7904191616766401E-2</v>
      </c>
      <c r="P56" s="65">
        <f t="shared" si="30"/>
        <v>5.3571428571428603E-2</v>
      </c>
      <c r="Q56" s="65">
        <f>Q7/M7-1</f>
        <v>5.2941176470588269E-2</v>
      </c>
      <c r="R56" s="64">
        <f t="shared" si="30"/>
        <v>5.2631578947368363E-2</v>
      </c>
      <c r="S56" s="65">
        <f t="shared" si="30"/>
        <v>4.0000000000000036E-2</v>
      </c>
    </row>
    <row r="57" spans="1:19" x14ac:dyDescent="0.15">
      <c r="A57" s="1" t="s">
        <v>98</v>
      </c>
      <c r="I57" s="49">
        <f t="shared" si="30"/>
        <v>3.1438415159345423E-2</v>
      </c>
      <c r="J57" s="64">
        <f t="shared" si="30"/>
        <v>5.8084825796571149E-2</v>
      </c>
      <c r="K57" s="49">
        <f t="shared" si="30"/>
        <v>6.5266775865309823E-2</v>
      </c>
      <c r="L57" s="49">
        <f t="shared" si="30"/>
        <v>0.10662736001031003</v>
      </c>
      <c r="M57" s="49">
        <f t="shared" si="30"/>
        <v>3.9680707356011258E-2</v>
      </c>
      <c r="N57" s="64">
        <f t="shared" si="30"/>
        <v>8.0969901958543922E-2</v>
      </c>
      <c r="O57" s="49">
        <f t="shared" si="30"/>
        <v>4.1469320262209841E-2</v>
      </c>
      <c r="P57" s="49">
        <f t="shared" si="30"/>
        <v>6.527255702867496E-3</v>
      </c>
      <c r="Q57" s="49">
        <f t="shared" si="30"/>
        <v>4.5674079110250121E-2</v>
      </c>
      <c r="R57" s="64">
        <f t="shared" si="30"/>
        <v>-2.6802325581395392E-2</v>
      </c>
      <c r="S57" s="49">
        <f t="shared" si="30"/>
        <v>-2.1343240093240068E-2</v>
      </c>
    </row>
    <row r="58" spans="1:19" x14ac:dyDescent="0.15">
      <c r="R58" s="26"/>
      <c r="S58" s="25"/>
    </row>
    <row r="59" spans="1:19" x14ac:dyDescent="0.15">
      <c r="A59" s="1" t="s">
        <v>92</v>
      </c>
      <c r="B59" s="28"/>
      <c r="C59" s="28"/>
      <c r="D59" s="28"/>
      <c r="E59" s="28">
        <v>20676</v>
      </c>
      <c r="F59" s="27">
        <v>19581</v>
      </c>
      <c r="G59" s="28">
        <v>19790</v>
      </c>
      <c r="H59" s="28">
        <v>18973</v>
      </c>
      <c r="I59" s="28">
        <v>21036</v>
      </c>
      <c r="J59" s="27">
        <v>19980</v>
      </c>
      <c r="K59" s="28">
        <v>20392</v>
      </c>
      <c r="L59" s="28">
        <v>20518</v>
      </c>
      <c r="M59" s="29">
        <v>22993</v>
      </c>
      <c r="N59" s="27">
        <v>22547</v>
      </c>
      <c r="O59" s="28">
        <v>22559</v>
      </c>
      <c r="P59" s="28">
        <v>21482</v>
      </c>
      <c r="Q59" s="29">
        <v>23231</v>
      </c>
      <c r="R59" s="27">
        <v>21571</v>
      </c>
      <c r="S59" s="28">
        <v>21484</v>
      </c>
    </row>
    <row r="60" spans="1:19" x14ac:dyDescent="0.15">
      <c r="A60" s="1" t="s">
        <v>93</v>
      </c>
      <c r="B60" s="28"/>
      <c r="C60" s="28"/>
      <c r="D60" s="28"/>
      <c r="E60" s="28">
        <v>1184</v>
      </c>
      <c r="F60" s="27">
        <v>869</v>
      </c>
      <c r="G60" s="28">
        <v>1060</v>
      </c>
      <c r="H60" s="28">
        <v>1142</v>
      </c>
      <c r="I60" s="28">
        <v>1239</v>
      </c>
      <c r="J60" s="27">
        <v>917</v>
      </c>
      <c r="K60" s="28">
        <v>1009</v>
      </c>
      <c r="L60" s="28">
        <v>1162</v>
      </c>
      <c r="M60" s="29">
        <v>1432</v>
      </c>
      <c r="N60" s="27">
        <v>1044</v>
      </c>
      <c r="O60" s="28">
        <v>1060</v>
      </c>
      <c r="P60" s="28">
        <v>1237</v>
      </c>
      <c r="Q60" s="29">
        <v>1410</v>
      </c>
      <c r="R60" s="27">
        <v>1018</v>
      </c>
      <c r="S60" s="28">
        <v>1117</v>
      </c>
    </row>
    <row r="61" spans="1:19" x14ac:dyDescent="0.15">
      <c r="A61" s="1" t="s">
        <v>95</v>
      </c>
      <c r="B61" s="28"/>
      <c r="C61" s="28"/>
      <c r="D61" s="28"/>
      <c r="E61" s="42">
        <f>SUM(E59:E60)</f>
        <v>21860</v>
      </c>
      <c r="F61" s="41">
        <f t="shared" ref="F61:M61" si="31">SUM(F59:F60)</f>
        <v>20450</v>
      </c>
      <c r="G61" s="42">
        <f t="shared" si="31"/>
        <v>20850</v>
      </c>
      <c r="H61" s="42">
        <f t="shared" si="31"/>
        <v>20115</v>
      </c>
      <c r="I61" s="42">
        <f t="shared" si="31"/>
        <v>22275</v>
      </c>
      <c r="J61" s="41">
        <f t="shared" si="31"/>
        <v>20897</v>
      </c>
      <c r="K61" s="42">
        <f t="shared" si="31"/>
        <v>21401</v>
      </c>
      <c r="L61" s="42">
        <f t="shared" si="31"/>
        <v>21680</v>
      </c>
      <c r="M61" s="42">
        <f t="shared" si="31"/>
        <v>24425</v>
      </c>
      <c r="N61" s="41">
        <f t="shared" ref="N61:Q61" si="32">SUM(N59:N60)</f>
        <v>23591</v>
      </c>
      <c r="O61" s="42">
        <f t="shared" si="32"/>
        <v>23619</v>
      </c>
      <c r="P61" s="42">
        <f t="shared" si="32"/>
        <v>22719</v>
      </c>
      <c r="Q61" s="42">
        <f t="shared" si="32"/>
        <v>24641</v>
      </c>
      <c r="R61" s="41">
        <f t="shared" ref="R61:S61" si="33">SUM(R59:R60)</f>
        <v>22589</v>
      </c>
      <c r="S61" s="42">
        <f t="shared" si="33"/>
        <v>22601</v>
      </c>
    </row>
    <row r="62" spans="1:19" x14ac:dyDescent="0.15">
      <c r="R62" s="26"/>
      <c r="S62" s="25"/>
    </row>
    <row r="63" spans="1:19" x14ac:dyDescent="0.15">
      <c r="A63" s="1" t="s">
        <v>96</v>
      </c>
      <c r="I63" s="46">
        <f t="shared" ref="I63:S63" si="34">I61/E61-1</f>
        <v>1.8984446477584571E-2</v>
      </c>
      <c r="J63" s="47">
        <f t="shared" si="34"/>
        <v>2.1858190709046488E-2</v>
      </c>
      <c r="K63" s="48">
        <f t="shared" si="34"/>
        <v>2.6426858513189488E-2</v>
      </c>
      <c r="L63" s="48">
        <f t="shared" si="34"/>
        <v>7.7802634849614805E-2</v>
      </c>
      <c r="M63" s="48">
        <f t="shared" si="34"/>
        <v>9.6520763187429859E-2</v>
      </c>
      <c r="N63" s="47">
        <f t="shared" si="34"/>
        <v>0.12891802651098239</v>
      </c>
      <c r="O63" s="48">
        <f t="shared" si="34"/>
        <v>0.10364001682164381</v>
      </c>
      <c r="P63" s="48">
        <f t="shared" si="34"/>
        <v>4.7924354243542355E-2</v>
      </c>
      <c r="Q63" s="48">
        <f t="shared" si="34"/>
        <v>8.8433981576254705E-3</v>
      </c>
      <c r="R63" s="47">
        <f t="shared" si="34"/>
        <v>-4.2473824763681112E-2</v>
      </c>
      <c r="S63" s="48">
        <f t="shared" si="34"/>
        <v>-4.3100893348575253E-2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Reports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2018-01-04T19:16:18Z</dcterms:created>
  <dcterms:modified xsi:type="dcterms:W3CDTF">2019-07-24T17:20:37Z</dcterms:modified>
</cp:coreProperties>
</file>