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E916904-DAC0-B740-AD87-4AB9FDB7AC3E}" xr6:coauthVersionLast="45" xr6:coauthVersionMax="45" xr10:uidLastSave="{00000000-0000-0000-0000-000000000000}"/>
  <bookViews>
    <workbookView xWindow="0" yWindow="460" windowWidth="20360" windowHeight="2032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C4" i="2" l="1"/>
  <c r="F6" i="2" l="1"/>
  <c r="F5" i="2"/>
  <c r="O23" i="2"/>
  <c r="P23" i="2" s="1"/>
  <c r="Q23" i="2" s="1"/>
  <c r="R23" i="2" s="1"/>
  <c r="S23" i="2" s="1"/>
  <c r="T23" i="2" s="1"/>
  <c r="U23" i="2" s="1"/>
  <c r="V23" i="2" s="1"/>
  <c r="W23" i="2" s="1"/>
  <c r="N23" i="2"/>
  <c r="P22" i="2"/>
  <c r="Q22" i="2" s="1"/>
  <c r="R22" i="2" s="1"/>
  <c r="S22" i="2" s="1"/>
  <c r="T22" i="2" s="1"/>
  <c r="U22" i="2" s="1"/>
  <c r="V22" i="2" s="1"/>
  <c r="W22" i="2" s="1"/>
  <c r="O22" i="2"/>
  <c r="O19" i="2"/>
  <c r="P19" i="2" s="1"/>
  <c r="Q19" i="2" s="1"/>
  <c r="R19" i="2" s="1"/>
  <c r="S19" i="2" s="1"/>
  <c r="T19" i="2" s="1"/>
  <c r="U19" i="2" s="1"/>
  <c r="V19" i="2" s="1"/>
  <c r="W19" i="2" s="1"/>
  <c r="N19" i="2"/>
  <c r="J17" i="2"/>
  <c r="K17" i="2" s="1"/>
  <c r="L17" i="2" s="1"/>
  <c r="M17" i="2" s="1"/>
  <c r="I17" i="2"/>
  <c r="J16" i="2"/>
  <c r="K16" i="2" s="1"/>
  <c r="L16" i="2" s="1"/>
  <c r="M16" i="2" s="1"/>
  <c r="I16" i="2"/>
  <c r="W32" i="2"/>
  <c r="W24" i="2"/>
  <c r="W41" i="2" s="1"/>
  <c r="W11" i="2"/>
  <c r="V32" i="2"/>
  <c r="V24" i="2"/>
  <c r="V41" i="2" s="1"/>
  <c r="V11" i="2"/>
  <c r="U41" i="2"/>
  <c r="U32" i="2"/>
  <c r="U24" i="2"/>
  <c r="U11" i="2"/>
  <c r="T41" i="2"/>
  <c r="T32" i="2"/>
  <c r="T24" i="2"/>
  <c r="T11" i="2"/>
  <c r="F4" i="2"/>
  <c r="C5" i="2"/>
  <c r="C3" i="2"/>
  <c r="H23" i="2"/>
  <c r="H24" i="2"/>
  <c r="H22" i="2"/>
  <c r="H20" i="2"/>
  <c r="H13" i="2"/>
  <c r="H12" i="2"/>
  <c r="V38" i="1"/>
  <c r="V35" i="1"/>
  <c r="V42" i="1" s="1"/>
  <c r="V55" i="1"/>
  <c r="V52" i="1"/>
  <c r="V51" i="1"/>
  <c r="V43" i="1"/>
  <c r="V32" i="1"/>
  <c r="V31" i="1"/>
  <c r="V30" i="1"/>
  <c r="V16" i="1"/>
  <c r="V10" i="1"/>
  <c r="V29" i="1" s="1"/>
  <c r="V8" i="1"/>
  <c r="V56" i="1" s="1"/>
  <c r="U38" i="1"/>
  <c r="U35" i="1"/>
  <c r="U18" i="1"/>
  <c r="U8" i="1"/>
  <c r="V34" i="1" l="1"/>
  <c r="V12" i="1"/>
  <c r="V25" i="1" s="1"/>
  <c r="V17" i="1"/>
  <c r="H50" i="2"/>
  <c r="H49" i="2"/>
  <c r="H46" i="2"/>
  <c r="U32" i="1"/>
  <c r="H32" i="2"/>
  <c r="H29" i="2"/>
  <c r="H27" i="2"/>
  <c r="I24" i="2"/>
  <c r="J24" i="2" s="1"/>
  <c r="K24" i="2" s="1"/>
  <c r="L24" i="2" s="1"/>
  <c r="M24" i="2" s="1"/>
  <c r="I22" i="2"/>
  <c r="J22" i="2" s="1"/>
  <c r="K22" i="2" s="1"/>
  <c r="L22" i="2" s="1"/>
  <c r="M22" i="2" s="1"/>
  <c r="H16" i="2"/>
  <c r="U30" i="1"/>
  <c r="U10" i="1"/>
  <c r="U12" i="1" s="1"/>
  <c r="U25" i="1" s="1"/>
  <c r="T38" i="1"/>
  <c r="T35" i="1"/>
  <c r="T34" i="1" s="1"/>
  <c r="T4" i="1"/>
  <c r="S38" i="1"/>
  <c r="S35" i="1"/>
  <c r="S42" i="1" s="1"/>
  <c r="S4" i="1"/>
  <c r="R38" i="1"/>
  <c r="R35" i="1"/>
  <c r="R10" i="1"/>
  <c r="R12" i="1" s="1"/>
  <c r="P10" i="1"/>
  <c r="T55" i="1"/>
  <c r="S55" i="1"/>
  <c r="R55" i="1"/>
  <c r="S52" i="1"/>
  <c r="R52" i="1"/>
  <c r="U51" i="1"/>
  <c r="T51" i="1"/>
  <c r="S51" i="1"/>
  <c r="R51" i="1"/>
  <c r="U43" i="1"/>
  <c r="T43" i="1"/>
  <c r="S43" i="1"/>
  <c r="R43" i="1"/>
  <c r="R42" i="1"/>
  <c r="H48" i="2"/>
  <c r="U42" i="1"/>
  <c r="U34" i="1"/>
  <c r="R34" i="1"/>
  <c r="T32" i="1"/>
  <c r="S32" i="1"/>
  <c r="R32" i="1"/>
  <c r="U31" i="1"/>
  <c r="T31" i="1"/>
  <c r="S31" i="1"/>
  <c r="R31" i="1"/>
  <c r="T30" i="1"/>
  <c r="S30" i="1"/>
  <c r="R30" i="1"/>
  <c r="T16" i="1"/>
  <c r="S16" i="1"/>
  <c r="R16" i="1"/>
  <c r="S10" i="1"/>
  <c r="S12" i="1" s="1"/>
  <c r="S8" i="1"/>
  <c r="R8" i="1"/>
  <c r="V26" i="1" l="1"/>
  <c r="V19" i="1"/>
  <c r="H17" i="2"/>
  <c r="H45" i="2"/>
  <c r="H44" i="2" s="1"/>
  <c r="T52" i="1"/>
  <c r="S34" i="1"/>
  <c r="U16" i="1"/>
  <c r="U17" i="1" s="1"/>
  <c r="H53" i="2"/>
  <c r="T8" i="1"/>
  <c r="T56" i="1" s="1"/>
  <c r="T10" i="1"/>
  <c r="T12" i="1" s="1"/>
  <c r="T17" i="1" s="1"/>
  <c r="U55" i="1"/>
  <c r="T42" i="1"/>
  <c r="H25" i="2"/>
  <c r="U52" i="1"/>
  <c r="U56" i="1"/>
  <c r="U29" i="1"/>
  <c r="T25" i="1"/>
  <c r="R25" i="1"/>
  <c r="R17" i="1"/>
  <c r="S25" i="1"/>
  <c r="S17" i="1"/>
  <c r="T29" i="1"/>
  <c r="C6" i="2"/>
  <c r="C7" i="2" s="1"/>
  <c r="G50" i="2"/>
  <c r="G49" i="2"/>
  <c r="G48" i="2"/>
  <c r="G46" i="2"/>
  <c r="G32" i="2"/>
  <c r="G20" i="2"/>
  <c r="G14" i="2"/>
  <c r="G16" i="2"/>
  <c r="G64" i="2" s="1"/>
  <c r="G29" i="2"/>
  <c r="G24" i="2"/>
  <c r="G23" i="2"/>
  <c r="G22" i="2"/>
  <c r="G39" i="2" s="1"/>
  <c r="G13" i="2"/>
  <c r="H61" i="2" s="1"/>
  <c r="G12" i="2"/>
  <c r="H60" i="2" s="1"/>
  <c r="Q10" i="1"/>
  <c r="Q12" i="1" s="1"/>
  <c r="Q38" i="1"/>
  <c r="Q35" i="1"/>
  <c r="G45" i="2" s="1"/>
  <c r="Q8" i="1"/>
  <c r="Q55" i="1"/>
  <c r="Q53" i="1"/>
  <c r="Q52" i="1"/>
  <c r="Q51" i="1"/>
  <c r="Q42" i="1"/>
  <c r="Q43" i="1"/>
  <c r="Q34" i="1"/>
  <c r="Q16" i="1"/>
  <c r="F64" i="2"/>
  <c r="C64" i="2"/>
  <c r="C41" i="2"/>
  <c r="C40" i="2"/>
  <c r="C39" i="2"/>
  <c r="F16" i="2"/>
  <c r="F32" i="2"/>
  <c r="F29" i="2"/>
  <c r="F23" i="2"/>
  <c r="F40" i="2" s="1"/>
  <c r="F22" i="2"/>
  <c r="F39" i="2" s="1"/>
  <c r="F20" i="2"/>
  <c r="F14" i="2"/>
  <c r="F62" i="2" s="1"/>
  <c r="F13" i="2"/>
  <c r="F61" i="2" s="1"/>
  <c r="F12" i="2"/>
  <c r="E16" i="2"/>
  <c r="E32" i="2"/>
  <c r="E29" i="2"/>
  <c r="E27" i="2"/>
  <c r="E23" i="2"/>
  <c r="E22" i="2"/>
  <c r="E20" i="2"/>
  <c r="E14" i="2"/>
  <c r="E13" i="2"/>
  <c r="E12" i="2"/>
  <c r="E60" i="2" s="1"/>
  <c r="D16" i="2"/>
  <c r="D64" i="2" s="1"/>
  <c r="D32" i="2"/>
  <c r="D29" i="2"/>
  <c r="D27" i="2"/>
  <c r="D24" i="2"/>
  <c r="D41" i="2" s="1"/>
  <c r="D23" i="2"/>
  <c r="D40" i="2" s="1"/>
  <c r="D22" i="2"/>
  <c r="D39" i="2" s="1"/>
  <c r="D20" i="2"/>
  <c r="D14" i="2"/>
  <c r="D13" i="2"/>
  <c r="D12" i="2"/>
  <c r="Q30" i="1"/>
  <c r="O55" i="1"/>
  <c r="P55" i="1"/>
  <c r="N55" i="1"/>
  <c r="M55" i="1"/>
  <c r="L55" i="1"/>
  <c r="K55" i="1"/>
  <c r="J55" i="1"/>
  <c r="I55" i="1"/>
  <c r="H55" i="1"/>
  <c r="G55" i="1"/>
  <c r="F55" i="1"/>
  <c r="E8" i="1"/>
  <c r="F38" i="1"/>
  <c r="F35" i="1"/>
  <c r="B8" i="1"/>
  <c r="F8" i="1"/>
  <c r="G38" i="1"/>
  <c r="G35" i="1"/>
  <c r="G34" i="1" s="1"/>
  <c r="G8" i="1"/>
  <c r="C8" i="1"/>
  <c r="E38" i="1"/>
  <c r="D48" i="2" s="1"/>
  <c r="E35" i="1"/>
  <c r="D45" i="2" s="1"/>
  <c r="D44" i="2" s="1"/>
  <c r="H38" i="1"/>
  <c r="H35" i="1"/>
  <c r="D8" i="1"/>
  <c r="H8" i="1"/>
  <c r="J38" i="1"/>
  <c r="J42" i="1" s="1"/>
  <c r="J35" i="1"/>
  <c r="K38" i="1"/>
  <c r="K35" i="1"/>
  <c r="I38" i="1"/>
  <c r="E48" i="2" s="1"/>
  <c r="L38" i="1"/>
  <c r="I35" i="1"/>
  <c r="L35" i="1"/>
  <c r="L42" i="1" s="1"/>
  <c r="I15" i="1"/>
  <c r="I16" i="1" s="1"/>
  <c r="I8" i="1"/>
  <c r="I56" i="1" s="1"/>
  <c r="M15" i="1"/>
  <c r="C17" i="2"/>
  <c r="B17" i="2"/>
  <c r="B19" i="2" s="1"/>
  <c r="B21" i="2" s="1"/>
  <c r="B25" i="2"/>
  <c r="C25" i="2"/>
  <c r="C42" i="2" s="1"/>
  <c r="M8" i="1"/>
  <c r="M56" i="1" s="1"/>
  <c r="M38" i="1"/>
  <c r="F48" i="2" s="1"/>
  <c r="N38" i="1"/>
  <c r="N35" i="1"/>
  <c r="J18" i="1"/>
  <c r="N18" i="1"/>
  <c r="J8" i="1"/>
  <c r="J56" i="1" s="1"/>
  <c r="N8" i="1"/>
  <c r="N56" i="1" s="1"/>
  <c r="O38" i="1"/>
  <c r="O35" i="1"/>
  <c r="O42" i="1" s="1"/>
  <c r="K18" i="1"/>
  <c r="O18" i="1"/>
  <c r="K8" i="1"/>
  <c r="K56" i="1" s="1"/>
  <c r="O8" i="1"/>
  <c r="O56" i="1" s="1"/>
  <c r="M35" i="1"/>
  <c r="M34" i="1" s="1"/>
  <c r="P38" i="1"/>
  <c r="P35" i="1"/>
  <c r="P42" i="1" s="1"/>
  <c r="L18" i="1"/>
  <c r="P18" i="1"/>
  <c r="P8" i="1"/>
  <c r="L8" i="1"/>
  <c r="P12" i="1"/>
  <c r="L10" i="1"/>
  <c r="L12" i="1" s="1"/>
  <c r="M10" i="1"/>
  <c r="M12" i="1"/>
  <c r="M25" i="1" s="1"/>
  <c r="M16" i="1"/>
  <c r="M17" i="1" s="1"/>
  <c r="I10" i="1"/>
  <c r="I12" i="1" s="1"/>
  <c r="I17" i="1" s="1"/>
  <c r="F46" i="2"/>
  <c r="P16" i="1"/>
  <c r="P53" i="1"/>
  <c r="O53" i="1"/>
  <c r="N53" i="1"/>
  <c r="M53" i="1"/>
  <c r="L53" i="1"/>
  <c r="K53" i="1"/>
  <c r="J53" i="1"/>
  <c r="I53" i="1"/>
  <c r="H53" i="1"/>
  <c r="G53" i="1"/>
  <c r="P52" i="1"/>
  <c r="O52" i="1"/>
  <c r="N52" i="1"/>
  <c r="M52" i="1"/>
  <c r="L52" i="1"/>
  <c r="K52" i="1"/>
  <c r="J52" i="1"/>
  <c r="I52" i="1"/>
  <c r="H52" i="1"/>
  <c r="G52" i="1"/>
  <c r="P51" i="1"/>
  <c r="O51" i="1"/>
  <c r="N51" i="1"/>
  <c r="M51" i="1"/>
  <c r="L51" i="1"/>
  <c r="K51" i="1"/>
  <c r="J51" i="1"/>
  <c r="I51" i="1"/>
  <c r="H51" i="1"/>
  <c r="G51" i="1"/>
  <c r="F53" i="1"/>
  <c r="F52" i="1"/>
  <c r="F51" i="1"/>
  <c r="E10" i="1"/>
  <c r="E12" i="1"/>
  <c r="E25" i="1" s="1"/>
  <c r="E16" i="1"/>
  <c r="E43" i="1"/>
  <c r="D49" i="2"/>
  <c r="D50" i="2"/>
  <c r="N10" i="1"/>
  <c r="R29" i="1" s="1"/>
  <c r="N12" i="1"/>
  <c r="N25" i="1" s="1"/>
  <c r="N16" i="1"/>
  <c r="O10" i="1"/>
  <c r="S29" i="1" s="1"/>
  <c r="O16" i="1"/>
  <c r="P43" i="1"/>
  <c r="E49" i="2"/>
  <c r="E50" i="2"/>
  <c r="E45" i="2"/>
  <c r="D46" i="2"/>
  <c r="E46" i="2"/>
  <c r="F49" i="2"/>
  <c r="F50" i="2"/>
  <c r="F53" i="2" s="1"/>
  <c r="J10" i="1"/>
  <c r="J29" i="1" s="1"/>
  <c r="J12" i="1"/>
  <c r="J25" i="1" s="1"/>
  <c r="J16" i="1"/>
  <c r="K10" i="1"/>
  <c r="K12" i="1"/>
  <c r="K16" i="1"/>
  <c r="L16" i="1"/>
  <c r="L43" i="1"/>
  <c r="I43" i="1"/>
  <c r="H43" i="1"/>
  <c r="F10" i="1"/>
  <c r="F12" i="1" s="1"/>
  <c r="F16" i="1"/>
  <c r="G10" i="1"/>
  <c r="G29" i="1" s="1"/>
  <c r="G12" i="1"/>
  <c r="G17" i="1" s="1"/>
  <c r="G16" i="1"/>
  <c r="H10" i="1"/>
  <c r="H12" i="1" s="1"/>
  <c r="H16" i="1"/>
  <c r="M43" i="1"/>
  <c r="I42" i="1"/>
  <c r="B10" i="1"/>
  <c r="B12" i="1" s="1"/>
  <c r="B16" i="1"/>
  <c r="C10" i="1"/>
  <c r="C12" i="1" s="1"/>
  <c r="C16" i="1"/>
  <c r="D10" i="1"/>
  <c r="D16" i="1"/>
  <c r="O43" i="1"/>
  <c r="N42" i="1"/>
  <c r="N43" i="1"/>
  <c r="K43" i="1"/>
  <c r="J43" i="1"/>
  <c r="G43" i="1"/>
  <c r="G42" i="1"/>
  <c r="F42" i="1"/>
  <c r="F43" i="1"/>
  <c r="Q31" i="1"/>
  <c r="N34" i="1"/>
  <c r="N32" i="1"/>
  <c r="N31" i="1"/>
  <c r="N30" i="1"/>
  <c r="O32" i="1"/>
  <c r="O31" i="1"/>
  <c r="O30" i="1"/>
  <c r="P32" i="1"/>
  <c r="P31" i="1"/>
  <c r="P30" i="1"/>
  <c r="I34" i="1"/>
  <c r="I32" i="2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F30" i="1"/>
  <c r="I30" i="1"/>
  <c r="M30" i="1"/>
  <c r="K30" i="1"/>
  <c r="J30" i="1"/>
  <c r="H30" i="1"/>
  <c r="L30" i="1"/>
  <c r="H31" i="1"/>
  <c r="I31" i="1"/>
  <c r="J31" i="1"/>
  <c r="K31" i="1"/>
  <c r="L31" i="1"/>
  <c r="M31" i="1"/>
  <c r="H32" i="1"/>
  <c r="J32" i="1"/>
  <c r="K32" i="1"/>
  <c r="L32" i="1"/>
  <c r="G31" i="1"/>
  <c r="G32" i="1"/>
  <c r="G30" i="1"/>
  <c r="F31" i="1"/>
  <c r="F32" i="1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F34" i="1"/>
  <c r="J34" i="1"/>
  <c r="K34" i="1"/>
  <c r="K29" i="1"/>
  <c r="V21" i="1" l="1"/>
  <c r="V27" i="1"/>
  <c r="G19" i="1"/>
  <c r="G26" i="1"/>
  <c r="F25" i="1"/>
  <c r="F17" i="1"/>
  <c r="H64" i="2"/>
  <c r="H56" i="1"/>
  <c r="P34" i="1"/>
  <c r="H42" i="1"/>
  <c r="F60" i="2"/>
  <c r="K17" i="1"/>
  <c r="K19" i="1" s="1"/>
  <c r="C65" i="2"/>
  <c r="G25" i="1"/>
  <c r="O29" i="1"/>
  <c r="O12" i="1"/>
  <c r="G27" i="2"/>
  <c r="M32" i="1"/>
  <c r="S56" i="1"/>
  <c r="R56" i="1"/>
  <c r="E52" i="2"/>
  <c r="F27" i="2"/>
  <c r="G56" i="1"/>
  <c r="Q56" i="1"/>
  <c r="M29" i="1"/>
  <c r="H29" i="1"/>
  <c r="F56" i="1"/>
  <c r="G52" i="2"/>
  <c r="H19" i="2"/>
  <c r="H21" i="2" s="1"/>
  <c r="H26" i="2" s="1"/>
  <c r="H28" i="2" s="1"/>
  <c r="O34" i="1"/>
  <c r="L29" i="1"/>
  <c r="E39" i="2"/>
  <c r="L56" i="1"/>
  <c r="K42" i="1"/>
  <c r="H52" i="2"/>
  <c r="I29" i="1"/>
  <c r="L34" i="1"/>
  <c r="E40" i="2"/>
  <c r="E42" i="1"/>
  <c r="E17" i="1"/>
  <c r="E19" i="1" s="1"/>
  <c r="G62" i="2"/>
  <c r="E61" i="2"/>
  <c r="D53" i="2"/>
  <c r="E62" i="2"/>
  <c r="G44" i="2"/>
  <c r="E53" i="2"/>
  <c r="E64" i="2"/>
  <c r="G60" i="2"/>
  <c r="D25" i="2"/>
  <c r="D42" i="2" s="1"/>
  <c r="E17" i="2"/>
  <c r="E19" i="2" s="1"/>
  <c r="E21" i="2" s="1"/>
  <c r="G61" i="2"/>
  <c r="U26" i="1"/>
  <c r="U19" i="1"/>
  <c r="R26" i="1"/>
  <c r="R19" i="1"/>
  <c r="T26" i="1"/>
  <c r="T19" i="1"/>
  <c r="S26" i="1"/>
  <c r="S19" i="1"/>
  <c r="H41" i="2"/>
  <c r="H40" i="2"/>
  <c r="I23" i="2"/>
  <c r="C25" i="1"/>
  <c r="C17" i="1"/>
  <c r="D52" i="2"/>
  <c r="L25" i="1"/>
  <c r="L17" i="1"/>
  <c r="H17" i="1"/>
  <c r="H25" i="1"/>
  <c r="M26" i="1"/>
  <c r="M19" i="1"/>
  <c r="P25" i="1"/>
  <c r="P17" i="1"/>
  <c r="Q17" i="1"/>
  <c r="Q25" i="1"/>
  <c r="I26" i="1"/>
  <c r="I19" i="1"/>
  <c r="B17" i="1"/>
  <c r="B25" i="1"/>
  <c r="B26" i="2"/>
  <c r="B34" i="2"/>
  <c r="H39" i="2"/>
  <c r="D17" i="2"/>
  <c r="D65" i="2" s="1"/>
  <c r="H34" i="1"/>
  <c r="D12" i="1"/>
  <c r="C19" i="2"/>
  <c r="Q29" i="1"/>
  <c r="D19" i="2"/>
  <c r="E38" i="2" s="1"/>
  <c r="F29" i="1"/>
  <c r="K25" i="1"/>
  <c r="Q32" i="1"/>
  <c r="J17" i="1"/>
  <c r="E34" i="1"/>
  <c r="N17" i="1"/>
  <c r="M42" i="1"/>
  <c r="F24" i="2"/>
  <c r="F17" i="2"/>
  <c r="G25" i="2"/>
  <c r="H42" i="2" s="1"/>
  <c r="P29" i="1"/>
  <c r="N29" i="1"/>
  <c r="F45" i="2"/>
  <c r="F44" i="2" s="1"/>
  <c r="P56" i="1"/>
  <c r="G53" i="2"/>
  <c r="I32" i="1"/>
  <c r="E24" i="2"/>
  <c r="G17" i="2"/>
  <c r="G19" i="2" s="1"/>
  <c r="E44" i="2"/>
  <c r="I25" i="1"/>
  <c r="G40" i="2"/>
  <c r="V22" i="1" l="1"/>
  <c r="V45" i="1"/>
  <c r="E26" i="1"/>
  <c r="O25" i="1"/>
  <c r="O17" i="1"/>
  <c r="K26" i="1"/>
  <c r="F26" i="1"/>
  <c r="F19" i="1"/>
  <c r="G27" i="1"/>
  <c r="G21" i="1"/>
  <c r="G22" i="1" s="1"/>
  <c r="E65" i="2"/>
  <c r="S21" i="1"/>
  <c r="S22" i="1" s="1"/>
  <c r="S27" i="1"/>
  <c r="T27" i="1"/>
  <c r="T21" i="1"/>
  <c r="T22" i="1" s="1"/>
  <c r="R21" i="1"/>
  <c r="R27" i="1"/>
  <c r="U21" i="1"/>
  <c r="U22" i="1" s="1"/>
  <c r="U27" i="1"/>
  <c r="I27" i="1"/>
  <c r="I21" i="1"/>
  <c r="D25" i="1"/>
  <c r="D17" i="1"/>
  <c r="C26" i="1"/>
  <c r="C19" i="1"/>
  <c r="N26" i="1"/>
  <c r="N19" i="1"/>
  <c r="J26" i="1"/>
  <c r="J19" i="1"/>
  <c r="P26" i="1"/>
  <c r="P19" i="1"/>
  <c r="G21" i="2"/>
  <c r="B19" i="1"/>
  <c r="B26" i="1"/>
  <c r="D38" i="2"/>
  <c r="D21" i="2"/>
  <c r="E27" i="1"/>
  <c r="E21" i="1"/>
  <c r="F19" i="2"/>
  <c r="G38" i="2" s="1"/>
  <c r="F65" i="2"/>
  <c r="L26" i="1"/>
  <c r="L19" i="1"/>
  <c r="E34" i="2"/>
  <c r="E41" i="2"/>
  <c r="E25" i="2"/>
  <c r="Q19" i="1"/>
  <c r="Q26" i="1"/>
  <c r="I25" i="2"/>
  <c r="I42" i="2" s="1"/>
  <c r="I39" i="2"/>
  <c r="B28" i="2"/>
  <c r="B35" i="2"/>
  <c r="K21" i="1"/>
  <c r="K27" i="1"/>
  <c r="I41" i="2"/>
  <c r="I64" i="2"/>
  <c r="J19" i="2"/>
  <c r="H26" i="1"/>
  <c r="H19" i="1"/>
  <c r="F52" i="2"/>
  <c r="C38" i="2"/>
  <c r="C21" i="2"/>
  <c r="G41" i="2"/>
  <c r="F41" i="2"/>
  <c r="F25" i="2"/>
  <c r="G65" i="2"/>
  <c r="I40" i="2"/>
  <c r="J23" i="2"/>
  <c r="M21" i="1"/>
  <c r="M27" i="1"/>
  <c r="V49" i="1" l="1"/>
  <c r="V46" i="1"/>
  <c r="V48" i="1"/>
  <c r="V47" i="1"/>
  <c r="O19" i="1"/>
  <c r="O26" i="1"/>
  <c r="E26" i="2"/>
  <c r="E35" i="2" s="1"/>
  <c r="E42" i="2"/>
  <c r="F27" i="1"/>
  <c r="F21" i="1"/>
  <c r="F22" i="1" s="1"/>
  <c r="F42" i="2"/>
  <c r="G42" i="2"/>
  <c r="T45" i="1"/>
  <c r="U45" i="1"/>
  <c r="R22" i="1"/>
  <c r="J27" i="1"/>
  <c r="J21" i="1"/>
  <c r="M22" i="1"/>
  <c r="N27" i="1"/>
  <c r="N21" i="1"/>
  <c r="Q21" i="1"/>
  <c r="Q22" i="1" s="1"/>
  <c r="Q27" i="1"/>
  <c r="J64" i="2"/>
  <c r="K19" i="2"/>
  <c r="K22" i="1"/>
  <c r="C27" i="1"/>
  <c r="C21" i="1"/>
  <c r="D26" i="2"/>
  <c r="D34" i="2"/>
  <c r="H21" i="1"/>
  <c r="H27" i="1"/>
  <c r="L27" i="1"/>
  <c r="L21" i="1"/>
  <c r="N45" i="1" s="1"/>
  <c r="D26" i="1"/>
  <c r="D19" i="1"/>
  <c r="P21" i="1"/>
  <c r="P22" i="1" s="1"/>
  <c r="P27" i="1"/>
  <c r="F21" i="2"/>
  <c r="F38" i="2"/>
  <c r="J41" i="2"/>
  <c r="E22" i="1"/>
  <c r="C26" i="2"/>
  <c r="C34" i="2"/>
  <c r="G26" i="2"/>
  <c r="G34" i="2"/>
  <c r="J40" i="2"/>
  <c r="K23" i="2"/>
  <c r="H65" i="2"/>
  <c r="B30" i="2"/>
  <c r="B31" i="2" s="1"/>
  <c r="B36" i="2"/>
  <c r="J25" i="2"/>
  <c r="J42" i="2" s="1"/>
  <c r="J39" i="2"/>
  <c r="B21" i="1"/>
  <c r="B27" i="1"/>
  <c r="I22" i="1"/>
  <c r="E28" i="2" l="1"/>
  <c r="O21" i="1"/>
  <c r="O22" i="1" s="1"/>
  <c r="O27" i="1"/>
  <c r="S45" i="1"/>
  <c r="S46" i="1" s="1"/>
  <c r="R45" i="1"/>
  <c r="U46" i="1"/>
  <c r="U49" i="1"/>
  <c r="U47" i="1"/>
  <c r="U48" i="1"/>
  <c r="R47" i="1"/>
  <c r="R46" i="1"/>
  <c r="R49" i="1"/>
  <c r="R48" i="1"/>
  <c r="T46" i="1"/>
  <c r="T49" i="1"/>
  <c r="T47" i="1"/>
  <c r="T48" i="1"/>
  <c r="B22" i="1"/>
  <c r="N46" i="1"/>
  <c r="N47" i="1"/>
  <c r="N49" i="1"/>
  <c r="N48" i="1"/>
  <c r="K39" i="2"/>
  <c r="K25" i="2"/>
  <c r="K42" i="2" s="1"/>
  <c r="F34" i="2"/>
  <c r="F26" i="2"/>
  <c r="G28" i="2"/>
  <c r="G35" i="2"/>
  <c r="M45" i="1"/>
  <c r="J22" i="1"/>
  <c r="C35" i="2"/>
  <c r="C28" i="2"/>
  <c r="K41" i="2"/>
  <c r="K64" i="2"/>
  <c r="H38" i="2"/>
  <c r="I65" i="2"/>
  <c r="D21" i="1"/>
  <c r="D27" i="1"/>
  <c r="Q45" i="1"/>
  <c r="N22" i="1"/>
  <c r="L23" i="2"/>
  <c r="M23" i="2" s="1"/>
  <c r="K40" i="2"/>
  <c r="O45" i="1"/>
  <c r="L22" i="1"/>
  <c r="P45" i="1"/>
  <c r="K45" i="1"/>
  <c r="H22" i="1"/>
  <c r="J45" i="1"/>
  <c r="I45" i="1"/>
  <c r="L45" i="1"/>
  <c r="D28" i="2"/>
  <c r="D35" i="2"/>
  <c r="E30" i="2"/>
  <c r="E31" i="2" s="1"/>
  <c r="E36" i="2"/>
  <c r="H45" i="1"/>
  <c r="F45" i="1"/>
  <c r="C22" i="1"/>
  <c r="T40" i="2" l="1"/>
  <c r="L19" i="2"/>
  <c r="S47" i="1"/>
  <c r="S49" i="1"/>
  <c r="S48" i="1"/>
  <c r="Q48" i="1"/>
  <c r="Q47" i="1"/>
  <c r="Q46" i="1"/>
  <c r="Q49" i="1"/>
  <c r="G36" i="2"/>
  <c r="G30" i="2"/>
  <c r="L49" i="1"/>
  <c r="L47" i="1"/>
  <c r="L46" i="1"/>
  <c r="L48" i="1"/>
  <c r="H34" i="2"/>
  <c r="I21" i="2" s="1"/>
  <c r="I20" i="2" s="1"/>
  <c r="M48" i="1"/>
  <c r="M49" i="1"/>
  <c r="M47" i="1"/>
  <c r="M46" i="1"/>
  <c r="G45" i="1"/>
  <c r="D22" i="1"/>
  <c r="I38" i="2"/>
  <c r="L25" i="2"/>
  <c r="L42" i="2" s="1"/>
  <c r="L39" i="2"/>
  <c r="D30" i="2"/>
  <c r="D31" i="2" s="1"/>
  <c r="D36" i="2"/>
  <c r="J65" i="2"/>
  <c r="F28" i="2"/>
  <c r="F35" i="2"/>
  <c r="P49" i="1"/>
  <c r="P48" i="1"/>
  <c r="P47" i="1"/>
  <c r="P46" i="1"/>
  <c r="L64" i="2"/>
  <c r="O48" i="1"/>
  <c r="O49" i="1"/>
  <c r="O47" i="1"/>
  <c r="O46" i="1"/>
  <c r="L41" i="2"/>
  <c r="E45" i="1"/>
  <c r="L40" i="2"/>
  <c r="C30" i="2"/>
  <c r="C31" i="2" s="1"/>
  <c r="C36" i="2"/>
  <c r="U40" i="2" l="1"/>
  <c r="M19" i="2"/>
  <c r="M64" i="2"/>
  <c r="I26" i="2"/>
  <c r="I34" i="2"/>
  <c r="J21" i="2" s="1"/>
  <c r="N24" i="2"/>
  <c r="M41" i="2"/>
  <c r="K65" i="2"/>
  <c r="M65" i="2"/>
  <c r="M40" i="2"/>
  <c r="H35" i="2"/>
  <c r="F36" i="2"/>
  <c r="F30" i="2"/>
  <c r="J38" i="2"/>
  <c r="N22" i="2"/>
  <c r="M39" i="2"/>
  <c r="M25" i="2"/>
  <c r="M42" i="2" s="1"/>
  <c r="G31" i="2"/>
  <c r="G58" i="2"/>
  <c r="G57" i="2"/>
  <c r="G56" i="2"/>
  <c r="G55" i="2"/>
  <c r="V40" i="2" l="1"/>
  <c r="W40" i="2"/>
  <c r="J34" i="2"/>
  <c r="K21" i="2" s="1"/>
  <c r="K20" i="2" s="1"/>
  <c r="J26" i="2"/>
  <c r="F57" i="2"/>
  <c r="F56" i="2"/>
  <c r="F55" i="2"/>
  <c r="F31" i="2"/>
  <c r="F58" i="2"/>
  <c r="H36" i="2"/>
  <c r="N40" i="2"/>
  <c r="K38" i="2"/>
  <c r="L65" i="2"/>
  <c r="O24" i="2"/>
  <c r="N41" i="2"/>
  <c r="N39" i="2"/>
  <c r="N25" i="2"/>
  <c r="N42" i="2" s="1"/>
  <c r="J20" i="2"/>
  <c r="I35" i="2"/>
  <c r="H30" i="2" l="1"/>
  <c r="L38" i="2"/>
  <c r="O40" i="2"/>
  <c r="J35" i="2"/>
  <c r="K26" i="2"/>
  <c r="K34" i="2"/>
  <c r="L21" i="2" s="1"/>
  <c r="O25" i="2"/>
  <c r="O42" i="2" s="1"/>
  <c r="O39" i="2"/>
  <c r="P24" i="2"/>
  <c r="O41" i="2"/>
  <c r="H31" i="2" l="1"/>
  <c r="H56" i="2"/>
  <c r="H55" i="2"/>
  <c r="H57" i="2"/>
  <c r="H58" i="2"/>
  <c r="L34" i="2"/>
  <c r="M21" i="2" s="1"/>
  <c r="M20" i="2" s="1"/>
  <c r="L26" i="2"/>
  <c r="L20" i="2"/>
  <c r="P25" i="2"/>
  <c r="P42" i="2" s="1"/>
  <c r="P39" i="2"/>
  <c r="I27" i="2"/>
  <c r="I28" i="2" s="1"/>
  <c r="K35" i="2"/>
  <c r="P40" i="2"/>
  <c r="M38" i="2"/>
  <c r="Q24" i="2"/>
  <c r="P41" i="2"/>
  <c r="N38" i="2" l="1"/>
  <c r="M26" i="2"/>
  <c r="M34" i="2"/>
  <c r="N21" i="2" s="1"/>
  <c r="Q40" i="2"/>
  <c r="I29" i="2"/>
  <c r="I36" i="2" s="1"/>
  <c r="Q25" i="2"/>
  <c r="Q42" i="2" s="1"/>
  <c r="Q39" i="2"/>
  <c r="L35" i="2"/>
  <c r="R24" i="2"/>
  <c r="Q41" i="2"/>
  <c r="I30" i="2" l="1"/>
  <c r="I44" i="2" s="1"/>
  <c r="R39" i="2"/>
  <c r="R25" i="2"/>
  <c r="R42" i="2" s="1"/>
  <c r="O38" i="2"/>
  <c r="N34" i="2"/>
  <c r="O21" i="2" s="1"/>
  <c r="N26" i="2"/>
  <c r="S24" i="2"/>
  <c r="S41" i="2" s="1"/>
  <c r="R41" i="2"/>
  <c r="M35" i="2"/>
  <c r="N20" i="2"/>
  <c r="R40" i="2"/>
  <c r="S40" i="2"/>
  <c r="T39" i="2" l="1"/>
  <c r="T25" i="2"/>
  <c r="I31" i="2"/>
  <c r="O26" i="2"/>
  <c r="O34" i="2"/>
  <c r="P21" i="2" s="1"/>
  <c r="O20" i="2"/>
  <c r="N35" i="2"/>
  <c r="S39" i="2"/>
  <c r="S25" i="2"/>
  <c r="S42" i="2" s="1"/>
  <c r="P38" i="2"/>
  <c r="J27" i="2"/>
  <c r="J28" i="2" s="1"/>
  <c r="T42" i="2" l="1"/>
  <c r="U25" i="2"/>
  <c r="U42" i="2" s="1"/>
  <c r="U39" i="2"/>
  <c r="J29" i="2"/>
  <c r="J36" i="2" s="1"/>
  <c r="P26" i="2"/>
  <c r="P34" i="2"/>
  <c r="Q21" i="2" s="1"/>
  <c r="Q38" i="2"/>
  <c r="P20" i="2"/>
  <c r="O35" i="2"/>
  <c r="V25" i="2" l="1"/>
  <c r="V42" i="2" s="1"/>
  <c r="V39" i="2"/>
  <c r="R38" i="2"/>
  <c r="P35" i="2"/>
  <c r="Q26" i="2"/>
  <c r="Q34" i="2"/>
  <c r="R21" i="2" s="1"/>
  <c r="Q20" i="2"/>
  <c r="J30" i="2"/>
  <c r="W25" i="2" l="1"/>
  <c r="W42" i="2" s="1"/>
  <c r="W39" i="2"/>
  <c r="T38" i="2"/>
  <c r="R34" i="2"/>
  <c r="R26" i="2"/>
  <c r="R20" i="2"/>
  <c r="J31" i="2"/>
  <c r="J44" i="2"/>
  <c r="Q35" i="2"/>
  <c r="S21" i="2"/>
  <c r="S20" i="2" s="1"/>
  <c r="S38" i="2"/>
  <c r="U38" i="2" l="1"/>
  <c r="S34" i="2"/>
  <c r="T21" i="2" s="1"/>
  <c r="S26" i="2"/>
  <c r="K27" i="2"/>
  <c r="K28" i="2" s="1"/>
  <c r="R35" i="2"/>
  <c r="T34" i="2" l="1"/>
  <c r="U21" i="2" s="1"/>
  <c r="T26" i="2"/>
  <c r="T20" i="2"/>
  <c r="V38" i="2"/>
  <c r="K29" i="2"/>
  <c r="K36" i="2" s="1"/>
  <c r="S35" i="2"/>
  <c r="W38" i="2" l="1"/>
  <c r="T35" i="2"/>
  <c r="U34" i="2"/>
  <c r="V21" i="2" s="1"/>
  <c r="U26" i="2"/>
  <c r="U20" i="2"/>
  <c r="K30" i="2"/>
  <c r="K31" i="2" s="1"/>
  <c r="K44" i="2"/>
  <c r="U35" i="2" l="1"/>
  <c r="V34" i="2"/>
  <c r="W21" i="2" s="1"/>
  <c r="V26" i="2"/>
  <c r="V20" i="2"/>
  <c r="L27" i="2"/>
  <c r="L28" i="2" s="1"/>
  <c r="V35" i="2" l="1"/>
  <c r="W34" i="2"/>
  <c r="W26" i="2"/>
  <c r="W20" i="2"/>
  <c r="L29" i="2"/>
  <c r="L36" i="2" s="1"/>
  <c r="W35" i="2" l="1"/>
  <c r="L30" i="2"/>
  <c r="L31" i="2" s="1"/>
  <c r="L44" i="2" l="1"/>
  <c r="M27" i="2"/>
  <c r="M28" i="2" s="1"/>
  <c r="M29" i="2" l="1"/>
  <c r="M36" i="2" s="1"/>
  <c r="M30" i="2"/>
  <c r="M31" i="2" l="1"/>
  <c r="M44" i="2"/>
  <c r="N27" i="2" l="1"/>
  <c r="N28" i="2" s="1"/>
  <c r="N29" i="2" l="1"/>
  <c r="N36" i="2" s="1"/>
  <c r="N30" i="2" l="1"/>
  <c r="N31" i="2" l="1"/>
  <c r="N44" i="2"/>
  <c r="O27" i="2" l="1"/>
  <c r="O28" i="2" s="1"/>
  <c r="O29" i="2" l="1"/>
  <c r="O36" i="2" s="1"/>
  <c r="O30" i="2" l="1"/>
  <c r="O31" i="2" s="1"/>
  <c r="O44" i="2"/>
  <c r="P27" i="2" l="1"/>
  <c r="P28" i="2" s="1"/>
  <c r="P29" i="2" l="1"/>
  <c r="P36" i="2" s="1"/>
  <c r="P30" i="2" l="1"/>
  <c r="P31" i="2" l="1"/>
  <c r="P44" i="2"/>
  <c r="Q27" i="2" l="1"/>
  <c r="Q28" i="2" s="1"/>
  <c r="Q29" i="2" l="1"/>
  <c r="Q36" i="2" s="1"/>
  <c r="Q30" i="2"/>
  <c r="Q31" i="2" l="1"/>
  <c r="Q44" i="2"/>
  <c r="R27" i="2" l="1"/>
  <c r="R28" i="2" s="1"/>
  <c r="R29" i="2" l="1"/>
  <c r="R36" i="2" s="1"/>
  <c r="R30" i="2" l="1"/>
  <c r="R31" i="2" s="1"/>
  <c r="R44" i="2" l="1"/>
  <c r="S27" i="2" s="1"/>
  <c r="S28" i="2" s="1"/>
  <c r="S29" i="2" l="1"/>
  <c r="S36" i="2" s="1"/>
  <c r="S30" i="2" l="1"/>
  <c r="S31" i="2" s="1"/>
  <c r="S44" i="2" l="1"/>
  <c r="T27" i="2" l="1"/>
  <c r="T28" i="2" s="1"/>
  <c r="T29" i="2" l="1"/>
  <c r="T36" i="2" s="1"/>
  <c r="T30" i="2"/>
  <c r="T31" i="2" l="1"/>
  <c r="T44" i="2"/>
  <c r="U27" i="2" l="1"/>
  <c r="U28" i="2" s="1"/>
  <c r="U29" i="2" l="1"/>
  <c r="U36" i="2" s="1"/>
  <c r="U30" i="2"/>
  <c r="U31" i="2" l="1"/>
  <c r="U44" i="2"/>
  <c r="V27" i="2" l="1"/>
  <c r="V28" i="2" s="1"/>
  <c r="V29" i="2" l="1"/>
  <c r="V36" i="2" s="1"/>
  <c r="V30" i="2"/>
  <c r="V31" i="2" l="1"/>
  <c r="V44" i="2"/>
  <c r="W27" i="2" l="1"/>
  <c r="W28" i="2" s="1"/>
  <c r="W29" i="2" l="1"/>
  <c r="W36" i="2" s="1"/>
  <c r="W30" i="2"/>
  <c r="W31" i="2" l="1"/>
  <c r="X30" i="2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FW30" i="2" s="1"/>
  <c r="FX30" i="2" s="1"/>
  <c r="FY30" i="2" s="1"/>
  <c r="W44" i="2"/>
  <c r="F7" i="2" l="1"/>
  <c r="G7" i="2" s="1"/>
</calcChain>
</file>

<file path=xl/sharedStrings.xml><?xml version="1.0" encoding="utf-8"?>
<sst xmlns="http://schemas.openxmlformats.org/spreadsheetml/2006/main" count="156" uniqueCount="108">
  <si>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</si>
  <si>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</si>
  <si>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</si>
  <si>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</si>
  <si>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</si>
  <si>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</si>
  <si>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</si>
  <si>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</si>
  <si>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</si>
  <si>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</si>
  <si>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</si>
  <si>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</si>
  <si>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</si>
  <si>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</si>
  <si>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</si>
  <si>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</si>
  <si>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</si>
  <si>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</si>
  <si>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</si>
  <si>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</si>
  <si>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</si>
  <si>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</si>
  <si>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</si>
  <si>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</si>
  <si>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</si>
  <si>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</si>
  <si>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</si>
  <si>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</si>
  <si>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</si>
  <si>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</si>
  <si>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</si>
  <si>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</si>
  <si>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</si>
  <si>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</si>
  <si>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</si>
  <si>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</si>
  <si>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</si>
  <si>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</si>
  <si>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</si>
  <si>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</si>
  <si>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</si>
  <si>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</si>
  <si>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</si>
  <si>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</si>
  <si>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</si>
  <si>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</si>
  <si>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</si>
  <si>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</si>
  <si>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</si>
  <si>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</si>
  <si>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</si>
  <si>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</si>
  <si>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</si>
  <si>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</si>
  <si>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</si>
  <si>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</si>
  <si>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</si>
  <si>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</si>
  <si>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</si>
  <si>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</si>
  <si>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</si>
  <si>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</si>
  <si>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</si>
  <si>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</si>
  <si>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</si>
  <si>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</si>
  <si>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</si>
  <si>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</si>
  <si>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</si>
  <si>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</si>
  <si>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</si>
  <si>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</si>
  <si>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</si>
  <si>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</si>
  <si>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</si>
  <si>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</si>
  <si>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</si>
  <si>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</si>
  <si>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</si>
  <si>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</si>
  <si>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</si>
  <si>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</si>
  <si>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</si>
  <si>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</si>
  <si>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ARPU</t>
  </si>
  <si>
    <t>ARPU y/y</t>
  </si>
  <si>
    <t>Etsy Inc (ETSY)</t>
  </si>
  <si>
    <t>Josh Silverman</t>
  </si>
  <si>
    <t>Rob Kalin</t>
  </si>
  <si>
    <t>Haim Schoppik</t>
  </si>
  <si>
    <t>Jared Tarbell</t>
  </si>
  <si>
    <t>Chris Maguire</t>
  </si>
  <si>
    <t>Marketplace</t>
  </si>
  <si>
    <t>Services</t>
  </si>
  <si>
    <t>Marketplace y/y</t>
  </si>
  <si>
    <t>Services y/y</t>
  </si>
  <si>
    <t>Other y/y</t>
  </si>
  <si>
    <t>Active buyers</t>
  </si>
  <si>
    <t>Active buyers y/y</t>
  </si>
  <si>
    <t>31/3/2019</t>
  </si>
  <si>
    <t>30/6/2019</t>
  </si>
  <si>
    <t>30/9/2019</t>
  </si>
  <si>
    <t>31/12/2019</t>
  </si>
  <si>
    <t>GMS</t>
  </si>
  <si>
    <t>34-35%</t>
  </si>
  <si>
    <t>OE y/y</t>
  </si>
  <si>
    <t>31/3/2020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</si>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</sst>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2" fontId="6" fillId="2" borderId="0" xfId="0" applyNumberFormat="1" applyFont="1" applyFill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6" fillId="0" borderId="1" xfId="0" applyFont="1" applyBorder="1"/>
    <xf numFmtId="166" fontId="6" fillId="0" borderId="0" xfId="0" applyNumberFormat="1" applyFont="1" applyBorder="1" applyAlignment="1">
      <alignment horizontal="right"/>
    </xf>
    <xf numFmtId="166" fontId="6" fillId="0" borderId="0" xfId="0" applyNumberFormat="1" applyFont="1"/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/>
    <xf numFmtId="4" fontId="6" fillId="0" borderId="0" xfId="0" applyNumberFormat="1" applyFont="1"/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2" borderId="0" xfId="0" applyNumberFormat="1" applyFont="1" applyFill="1" applyBorder="1"/>
    <xf numFmtId="0" fontId="7" fillId="0" borderId="0" xfId="0" applyFont="1" applyAlignment="1">
      <alignment horizontal="right"/>
    </xf>
    <xf numFmtId="166" fontId="6" fillId="2" borderId="0" xfId="0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9" fontId="7" fillId="0" borderId="0" xfId="1" applyFont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10</xdr:row>
      <xdr:rowOff>0</xdr:rowOff>
    </xdr:from>
    <xdr:to>
      <xdr:col>8</xdr:col>
      <xdr:colOff>203200</xdr:colOff>
      <xdr:row>68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7315200" y="1651000"/>
          <a:ext cx="0" cy="9601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203200</xdr:colOff>
      <xdr:row>0</xdr:row>
      <xdr:rowOff>152400</xdr:rowOff>
    </xdr:from>
    <xdr:to>
      <xdr:col>22</xdr:col>
      <xdr:colOff>203200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8872200" y="152400"/>
          <a:ext cx="0" cy="96012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ets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etsy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65"/>
  <sheetViews>
    <sheetView tabSelected="1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J33" sqref="J33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23" x14ac:dyDescent="0.15">
      <c r="A1" s="1" t="s">
        <v>83</v>
      </c>
      <c r="B1" s="2" t="s">
        <v>86</v>
      </c>
    </row>
    <row r="2" spans="1:23" x14ac:dyDescent="0.15">
      <c r="B2" s="3" t="s">
        <v>64</v>
      </c>
      <c r="C2" s="4">
        <v>101.22</v>
      </c>
      <c r="D2" s="73">
        <v>44005</v>
      </c>
      <c r="E2" s="6" t="s">
        <v>37</v>
      </c>
      <c r="F2" s="7">
        <v>-5.0000000000000001E-3</v>
      </c>
      <c r="I2" s="16"/>
      <c r="N2" s="2"/>
    </row>
    <row r="3" spans="1:23" x14ac:dyDescent="0.15">
      <c r="A3" s="2" t="s">
        <v>62</v>
      </c>
      <c r="B3" s="3" t="s">
        <v>17</v>
      </c>
      <c r="C3" s="8">
        <f>Reports!V23</f>
        <v>123.11905299999999</v>
      </c>
      <c r="D3" s="74" t="s">
        <v>107</v>
      </c>
      <c r="E3" s="6" t="s">
        <v>38</v>
      </c>
      <c r="F3" s="7">
        <v>0.02</v>
      </c>
      <c r="G3" s="5"/>
      <c r="I3" s="16"/>
    </row>
    <row r="4" spans="1:23" x14ac:dyDescent="0.15">
      <c r="A4" s="3" t="s">
        <v>87</v>
      </c>
      <c r="B4" s="3" t="s">
        <v>65</v>
      </c>
      <c r="C4" s="9">
        <f>C2*C3</f>
        <v>12462.11054466</v>
      </c>
      <c r="D4" s="74"/>
      <c r="E4" s="6" t="s">
        <v>39</v>
      </c>
      <c r="F4" s="7">
        <f>7%</f>
        <v>7.0000000000000007E-2</v>
      </c>
      <c r="G4" s="5"/>
      <c r="I4" s="25"/>
    </row>
    <row r="5" spans="1:23" x14ac:dyDescent="0.15">
      <c r="B5" s="3" t="s">
        <v>33</v>
      </c>
      <c r="C5" s="8">
        <f>Reports!V34</f>
        <v>104</v>
      </c>
      <c r="D5" s="74" t="s">
        <v>107</v>
      </c>
      <c r="E5" s="6" t="s">
        <v>40</v>
      </c>
      <c r="F5" s="10">
        <f>NPV(F4,I30:DT30)</f>
        <v>14942.705781736731</v>
      </c>
      <c r="G5" s="5"/>
      <c r="I5" s="25"/>
    </row>
    <row r="6" spans="1:23" x14ac:dyDescent="0.15">
      <c r="A6" s="2" t="s">
        <v>63</v>
      </c>
      <c r="B6" s="3" t="s">
        <v>66</v>
      </c>
      <c r="C6" s="9">
        <f>C4-C5</f>
        <v>12358.11054466</v>
      </c>
      <c r="D6" s="74"/>
      <c r="E6" s="11" t="s">
        <v>41</v>
      </c>
      <c r="F6" s="12">
        <f>F5+C5</f>
        <v>15046.705781736731</v>
      </c>
      <c r="I6" s="25"/>
    </row>
    <row r="7" spans="1:23" x14ac:dyDescent="0.15">
      <c r="A7" s="3" t="s">
        <v>88</v>
      </c>
      <c r="B7" s="5" t="s">
        <v>67</v>
      </c>
      <c r="C7" s="59">
        <f>C6/C3</f>
        <v>100.3752891492757</v>
      </c>
      <c r="D7" s="74"/>
      <c r="E7" s="13" t="s">
        <v>67</v>
      </c>
      <c r="F7" s="14">
        <f>F6/C3</f>
        <v>122.21265039893323</v>
      </c>
      <c r="G7" s="25">
        <f>F7/C2-1</f>
        <v>0.2073962695014151</v>
      </c>
    </row>
    <row r="8" spans="1:23" x14ac:dyDescent="0.15">
      <c r="A8" s="3" t="s">
        <v>89</v>
      </c>
      <c r="G8" s="6"/>
      <c r="H8" s="15"/>
    </row>
    <row r="9" spans="1:23" x14ac:dyDescent="0.15">
      <c r="A9" s="3" t="s">
        <v>90</v>
      </c>
      <c r="G9" s="6"/>
      <c r="H9" s="15"/>
    </row>
    <row r="10" spans="1:23" x14ac:dyDescent="0.15">
      <c r="A10" s="3" t="s">
        <v>91</v>
      </c>
      <c r="G10" s="6"/>
      <c r="H10" s="15"/>
    </row>
    <row r="11" spans="1:23" x14ac:dyDescent="0.15">
      <c r="B11" s="49">
        <v>2013</v>
      </c>
      <c r="C11" s="49">
        <v>2014</v>
      </c>
      <c r="D11" s="49">
        <v>2015</v>
      </c>
      <c r="E11" s="49">
        <v>2016</v>
      </c>
      <c r="F11" s="49">
        <v>2017</v>
      </c>
      <c r="G11" s="49">
        <f>F11+1</f>
        <v>2018</v>
      </c>
      <c r="H11" s="49">
        <f t="shared" ref="H11:W11" si="0">G11+1</f>
        <v>2019</v>
      </c>
      <c r="I11" s="49">
        <f t="shared" si="0"/>
        <v>2020</v>
      </c>
      <c r="J11" s="49">
        <f t="shared" si="0"/>
        <v>2021</v>
      </c>
      <c r="K11" s="49">
        <f t="shared" si="0"/>
        <v>2022</v>
      </c>
      <c r="L11" s="49">
        <f t="shared" si="0"/>
        <v>2023</v>
      </c>
      <c r="M11" s="49">
        <f t="shared" si="0"/>
        <v>2024</v>
      </c>
      <c r="N11" s="49">
        <f t="shared" si="0"/>
        <v>2025</v>
      </c>
      <c r="O11" s="49">
        <f t="shared" si="0"/>
        <v>2026</v>
      </c>
      <c r="P11" s="49">
        <f t="shared" si="0"/>
        <v>2027</v>
      </c>
      <c r="Q11" s="49">
        <f t="shared" si="0"/>
        <v>2028</v>
      </c>
      <c r="R11" s="49">
        <f t="shared" si="0"/>
        <v>2029</v>
      </c>
      <c r="S11" s="49">
        <f t="shared" si="0"/>
        <v>2030</v>
      </c>
      <c r="T11" s="49">
        <f t="shared" si="0"/>
        <v>2031</v>
      </c>
      <c r="U11" s="49">
        <f t="shared" si="0"/>
        <v>2032</v>
      </c>
      <c r="V11" s="49">
        <f t="shared" si="0"/>
        <v>2033</v>
      </c>
      <c r="W11" s="49">
        <f t="shared" si="0"/>
        <v>2034</v>
      </c>
    </row>
    <row r="12" spans="1:23" x14ac:dyDescent="0.15">
      <c r="A12" s="3" t="s">
        <v>92</v>
      </c>
      <c r="B12" s="29">
        <v>78.543999999999997</v>
      </c>
      <c r="C12" s="29">
        <v>108.732</v>
      </c>
      <c r="D12" s="29">
        <f>SUM(Reports!B3:E3)</f>
        <v>132.648</v>
      </c>
      <c r="E12" s="29">
        <f>SUM(Reports!F3:I3)</f>
        <v>158.20400000000001</v>
      </c>
      <c r="F12" s="48">
        <f>SUM(Reports!J3:M3)</f>
        <v>278.06599999999997</v>
      </c>
      <c r="G12" s="48">
        <f>SUM(Reports!N3:Q3)</f>
        <v>440.74</v>
      </c>
      <c r="H12" s="48">
        <f>SUM(Reports!R3:U3)</f>
        <v>590.65100000000007</v>
      </c>
      <c r="I12" s="48"/>
      <c r="J12" s="48"/>
      <c r="K12" s="48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spans="1:23" x14ac:dyDescent="0.15">
      <c r="A13" s="3" t="s">
        <v>93</v>
      </c>
      <c r="B13" s="29">
        <v>42.817</v>
      </c>
      <c r="C13" s="29">
        <v>82.501999999999995</v>
      </c>
      <c r="D13" s="29">
        <f>SUM(Reports!B4:E4)</f>
        <v>136.608</v>
      </c>
      <c r="E13" s="29">
        <f>SUM(Reports!F4:I4)</f>
        <v>200.857</v>
      </c>
      <c r="F13" s="48">
        <f>SUM(Reports!J4:M4)</f>
        <v>159.87900000000002</v>
      </c>
      <c r="G13" s="48">
        <f>SUM(Reports!N4:Q4)</f>
        <v>158.928</v>
      </c>
      <c r="H13" s="48">
        <f>SUM(Reports!R4:U4)</f>
        <v>226.34699999999998</v>
      </c>
      <c r="I13" s="48"/>
      <c r="J13" s="48"/>
      <c r="K13" s="48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spans="1:23" x14ac:dyDescent="0.15">
      <c r="A14" s="3" t="s">
        <v>72</v>
      </c>
      <c r="B14" s="29">
        <v>3.661</v>
      </c>
      <c r="C14" s="29">
        <v>4.3570000000000002</v>
      </c>
      <c r="D14" s="29">
        <f>SUM(Reports!B5:E5)</f>
        <v>4.2429999999999994</v>
      </c>
      <c r="E14" s="29">
        <f>SUM(Reports!F5:I5)</f>
        <v>5.9059999999999997</v>
      </c>
      <c r="F14" s="48">
        <f>SUM(Reports!J5:M5)</f>
        <v>3.2680000000000002</v>
      </c>
      <c r="G14" s="48">
        <f>SUM(Reports!N5:Q5)</f>
        <v>4.1590000000000007</v>
      </c>
      <c r="H14" s="48"/>
      <c r="I14" s="48"/>
      <c r="J14" s="48"/>
      <c r="K14" s="48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spans="1:23" x14ac:dyDescent="0.15">
      <c r="B15" s="29"/>
      <c r="C15" s="29"/>
      <c r="D15" s="29"/>
      <c r="E15" s="29"/>
      <c r="F15" s="48"/>
      <c r="G15" s="48"/>
      <c r="H15" s="48"/>
      <c r="I15" s="48"/>
      <c r="J15" s="48"/>
      <c r="K15" s="4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spans="1:23" s="53" customFormat="1" x14ac:dyDescent="0.15">
      <c r="A16" s="53" t="s">
        <v>97</v>
      </c>
      <c r="B16" s="52">
        <v>14.032</v>
      </c>
      <c r="C16" s="52">
        <v>19.809999999999999</v>
      </c>
      <c r="D16" s="52">
        <f>Reports!E7</f>
        <v>24.045999999999999</v>
      </c>
      <c r="E16" s="52">
        <f>Reports!I7</f>
        <v>28.565999999999999</v>
      </c>
      <c r="F16" s="62">
        <f>Reports!M7</f>
        <v>33.363999999999997</v>
      </c>
      <c r="G16" s="62">
        <f>Reports!Q7</f>
        <v>39.447000000000003</v>
      </c>
      <c r="H16" s="62">
        <f>Reports!U7</f>
        <v>46.350999999999999</v>
      </c>
      <c r="I16" s="62">
        <f>H16*1.15</f>
        <v>53.303649999999998</v>
      </c>
      <c r="J16" s="62">
        <f t="shared" ref="J16:M16" si="1">I16*1.15</f>
        <v>61.299197499999991</v>
      </c>
      <c r="K16" s="62">
        <f t="shared" si="1"/>
        <v>70.49407712499999</v>
      </c>
      <c r="L16" s="62">
        <f t="shared" si="1"/>
        <v>81.068188693749988</v>
      </c>
      <c r="M16" s="62">
        <f t="shared" si="1"/>
        <v>93.228416997812474</v>
      </c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181" x14ac:dyDescent="0.15">
      <c r="A17" s="3" t="s">
        <v>84</v>
      </c>
      <c r="B17" s="61">
        <f t="shared" ref="B17:H17" si="2">SUM(B12:B14)/B16</f>
        <v>8.9097776510832372</v>
      </c>
      <c r="C17" s="61">
        <f t="shared" si="2"/>
        <v>9.8733467945482083</v>
      </c>
      <c r="D17" s="61">
        <f t="shared" si="2"/>
        <v>11.373991516260499</v>
      </c>
      <c r="E17" s="61">
        <f t="shared" si="2"/>
        <v>12.776272491773438</v>
      </c>
      <c r="F17" s="61">
        <f t="shared" si="2"/>
        <v>13.224223714182951</v>
      </c>
      <c r="G17" s="61">
        <f t="shared" si="2"/>
        <v>15.307298400385326</v>
      </c>
      <c r="H17" s="61">
        <f t="shared" si="2"/>
        <v>17.626329529028503</v>
      </c>
      <c r="I17" s="48">
        <f>H17*1.15</f>
        <v>20.270278958382775</v>
      </c>
      <c r="J17" s="48">
        <f t="shared" ref="J17:M17" si="3">I17*1.15</f>
        <v>23.310820802140189</v>
      </c>
      <c r="K17" s="48">
        <f t="shared" si="3"/>
        <v>26.807443922461214</v>
      </c>
      <c r="L17" s="48">
        <f t="shared" si="3"/>
        <v>30.828560510830393</v>
      </c>
      <c r="M17" s="48">
        <f t="shared" si="3"/>
        <v>35.452844587454948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spans="1:181" x14ac:dyDescent="0.15">
      <c r="B18" s="49"/>
      <c r="C18" s="49"/>
      <c r="D18" s="49"/>
      <c r="E18" s="49"/>
      <c r="F18" s="49"/>
      <c r="G18" s="60"/>
      <c r="H18" s="48"/>
      <c r="I18" s="48"/>
      <c r="J18" s="48"/>
      <c r="K18" s="48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181" x14ac:dyDescent="0.15">
      <c r="A19" s="2" t="s">
        <v>4</v>
      </c>
      <c r="B19" s="31">
        <f>B16*B17</f>
        <v>125.02199999999998</v>
      </c>
      <c r="C19" s="31">
        <f t="shared" ref="C19:D19" si="4">C16*C17</f>
        <v>195.59099999999998</v>
      </c>
      <c r="D19" s="31">
        <f t="shared" si="4"/>
        <v>273.49899999999997</v>
      </c>
      <c r="E19" s="31">
        <f>E16*E17</f>
        <v>364.96700000000004</v>
      </c>
      <c r="F19" s="31">
        <f>F16*F17</f>
        <v>441.21299999999997</v>
      </c>
      <c r="G19" s="31">
        <f>G16*G17</f>
        <v>603.827</v>
      </c>
      <c r="H19" s="31">
        <f>H16*H17</f>
        <v>816.99800000000016</v>
      </c>
      <c r="I19" s="50">
        <f>I16*I17</f>
        <v>1080.479855</v>
      </c>
      <c r="J19" s="50">
        <f t="shared" ref="J19:M19" si="5">J16*J17</f>
        <v>1428.9346082374996</v>
      </c>
      <c r="K19" s="50">
        <f t="shared" si="5"/>
        <v>1889.7660193940931</v>
      </c>
      <c r="L19" s="50">
        <f t="shared" si="5"/>
        <v>2499.2155606486876</v>
      </c>
      <c r="M19" s="50">
        <f t="shared" si="5"/>
        <v>3305.2125789578886</v>
      </c>
      <c r="N19" s="50">
        <f>M19*1.1</f>
        <v>3635.7338368536775</v>
      </c>
      <c r="O19" s="50">
        <f t="shared" ref="O19:W19" si="6">N19*1.1</f>
        <v>3999.3072205390458</v>
      </c>
      <c r="P19" s="50">
        <f t="shared" si="6"/>
        <v>4399.2379425929512</v>
      </c>
      <c r="Q19" s="50">
        <f t="shared" si="6"/>
        <v>4839.1617368522466</v>
      </c>
      <c r="R19" s="50">
        <f t="shared" si="6"/>
        <v>5323.0779105374713</v>
      </c>
      <c r="S19" s="50">
        <f t="shared" si="6"/>
        <v>5855.385701591219</v>
      </c>
      <c r="T19" s="50">
        <f t="shared" si="6"/>
        <v>6440.9242717503412</v>
      </c>
      <c r="U19" s="50">
        <f t="shared" si="6"/>
        <v>7085.0166989253757</v>
      </c>
      <c r="V19" s="50">
        <f t="shared" si="6"/>
        <v>7793.5183688179141</v>
      </c>
      <c r="W19" s="50">
        <f t="shared" si="6"/>
        <v>8572.8702056997063</v>
      </c>
      <c r="X19" s="18"/>
    </row>
    <row r="20" spans="1:181" x14ac:dyDescent="0.15">
      <c r="A20" s="3" t="s">
        <v>5</v>
      </c>
      <c r="B20" s="29">
        <v>47.779000000000003</v>
      </c>
      <c r="C20" s="29">
        <v>73.632999999999996</v>
      </c>
      <c r="D20" s="29">
        <f>SUM(Reports!B11:E11)</f>
        <v>96.978999999999985</v>
      </c>
      <c r="E20" s="29">
        <f>SUM(Reports!F11:I11)</f>
        <v>123.328</v>
      </c>
      <c r="F20" s="48">
        <f>SUM(Reports!J11:M11)</f>
        <v>150.98599999999999</v>
      </c>
      <c r="G20" s="48">
        <f>SUM(Reports!N11:Q11)</f>
        <v>190.762</v>
      </c>
      <c r="H20" s="48">
        <f>SUM(Reports!R11:U11)</f>
        <v>271.82400000000001</v>
      </c>
      <c r="I20" s="29">
        <f>I19-I21</f>
        <v>359.48723999999982</v>
      </c>
      <c r="J20" s="29">
        <f t="shared" ref="J20" si="7">J19-J21</f>
        <v>475.42187489999958</v>
      </c>
      <c r="K20" s="29">
        <f t="shared" ref="K20:S20" si="8">K19-K21</f>
        <v>628.74542955524953</v>
      </c>
      <c r="L20" s="29">
        <f t="shared" si="8"/>
        <v>831.5158305868174</v>
      </c>
      <c r="M20" s="29">
        <f t="shared" si="8"/>
        <v>1099.6796859510655</v>
      </c>
      <c r="N20" s="29">
        <f t="shared" si="8"/>
        <v>1209.6476545461724</v>
      </c>
      <c r="O20" s="29">
        <f t="shared" si="8"/>
        <v>1330.6124200007894</v>
      </c>
      <c r="P20" s="29">
        <f t="shared" si="8"/>
        <v>1463.6736620008687</v>
      </c>
      <c r="Q20" s="29">
        <f t="shared" si="8"/>
        <v>1610.0410282009557</v>
      </c>
      <c r="R20" s="29">
        <f t="shared" si="8"/>
        <v>1771.0451310210515</v>
      </c>
      <c r="S20" s="29">
        <f t="shared" si="8"/>
        <v>1948.1496441231566</v>
      </c>
      <c r="T20" s="29">
        <f t="shared" ref="T20:W20" si="9">T19-T21</f>
        <v>2142.9646085354725</v>
      </c>
      <c r="U20" s="29">
        <f t="shared" si="9"/>
        <v>2357.2610693890201</v>
      </c>
      <c r="V20" s="29">
        <f t="shared" si="9"/>
        <v>2592.9871763279225</v>
      </c>
      <c r="W20" s="29">
        <f t="shared" si="9"/>
        <v>2852.2858939607149</v>
      </c>
      <c r="X20" s="8"/>
    </row>
    <row r="21" spans="1:181" x14ac:dyDescent="0.15">
      <c r="A21" s="3" t="s">
        <v>6</v>
      </c>
      <c r="B21" s="34">
        <f t="shared" ref="B21:H21" si="10">B19-B20</f>
        <v>77.242999999999967</v>
      </c>
      <c r="C21" s="34">
        <f t="shared" si="10"/>
        <v>121.95799999999998</v>
      </c>
      <c r="D21" s="34">
        <f t="shared" si="10"/>
        <v>176.51999999999998</v>
      </c>
      <c r="E21" s="34">
        <f t="shared" si="10"/>
        <v>241.63900000000004</v>
      </c>
      <c r="F21" s="34">
        <f t="shared" si="10"/>
        <v>290.22699999999998</v>
      </c>
      <c r="G21" s="34">
        <f t="shared" si="10"/>
        <v>413.065</v>
      </c>
      <c r="H21" s="34">
        <f t="shared" si="10"/>
        <v>545.17400000000021</v>
      </c>
      <c r="I21" s="29">
        <f t="shared" ref="I21:W21" si="11">I19*H34</f>
        <v>720.99261500000023</v>
      </c>
      <c r="J21" s="29">
        <f t="shared" si="11"/>
        <v>953.51273333749998</v>
      </c>
      <c r="K21" s="29">
        <f t="shared" si="11"/>
        <v>1261.0205898388435</v>
      </c>
      <c r="L21" s="29">
        <f t="shared" si="11"/>
        <v>1667.6997300618702</v>
      </c>
      <c r="M21" s="29">
        <f t="shared" si="11"/>
        <v>2205.5328930068231</v>
      </c>
      <c r="N21" s="29">
        <f t="shared" si="11"/>
        <v>2426.0861823075052</v>
      </c>
      <c r="O21" s="29">
        <f t="shared" si="11"/>
        <v>2668.6948005382565</v>
      </c>
      <c r="P21" s="29">
        <f t="shared" si="11"/>
        <v>2935.5642805920825</v>
      </c>
      <c r="Q21" s="29">
        <f t="shared" si="11"/>
        <v>3229.1207086512909</v>
      </c>
      <c r="R21" s="29">
        <f t="shared" si="11"/>
        <v>3552.0327795164199</v>
      </c>
      <c r="S21" s="29">
        <f t="shared" si="11"/>
        <v>3907.2360574680624</v>
      </c>
      <c r="T21" s="29">
        <f t="shared" si="11"/>
        <v>4297.9596632148687</v>
      </c>
      <c r="U21" s="29">
        <f t="shared" si="11"/>
        <v>4727.7556295363556</v>
      </c>
      <c r="V21" s="29">
        <f t="shared" si="11"/>
        <v>5200.5311924899916</v>
      </c>
      <c r="W21" s="29">
        <f t="shared" si="11"/>
        <v>5720.5843117389913</v>
      </c>
      <c r="X21" s="8"/>
    </row>
    <row r="22" spans="1:181" x14ac:dyDescent="0.15">
      <c r="A22" s="3" t="s">
        <v>7</v>
      </c>
      <c r="B22" s="29">
        <v>27.547999999999998</v>
      </c>
      <c r="C22" s="29">
        <v>36.634</v>
      </c>
      <c r="D22" s="29">
        <f>SUM(Reports!B13:E13)</f>
        <v>42.694000000000003</v>
      </c>
      <c r="E22" s="29">
        <f>SUM(Reports!F13:I13)</f>
        <v>55.082999999999998</v>
      </c>
      <c r="F22" s="48">
        <f>SUM(Reports!J13:M13)</f>
        <v>74.616</v>
      </c>
      <c r="G22" s="48">
        <f>SUM(Reports!N13:Q13)</f>
        <v>97.248999999999995</v>
      </c>
      <c r="H22" s="48">
        <f>SUM(Reports!R13:U13)</f>
        <v>121.70099999999999</v>
      </c>
      <c r="I22" s="29">
        <f>H22*1.25</f>
        <v>152.12625</v>
      </c>
      <c r="J22" s="29">
        <f t="shared" ref="J22:M22" si="12">I22*1.25</f>
        <v>190.15781250000001</v>
      </c>
      <c r="K22" s="29">
        <f t="shared" si="12"/>
        <v>237.697265625</v>
      </c>
      <c r="L22" s="29">
        <f t="shared" si="12"/>
        <v>297.12158203125</v>
      </c>
      <c r="M22" s="29">
        <f t="shared" si="12"/>
        <v>371.4019775390625</v>
      </c>
      <c r="N22" s="29">
        <f t="shared" ref="N22" si="13">M22*1.05</f>
        <v>389.97207641601562</v>
      </c>
      <c r="O22" s="29">
        <f>N22*1.1</f>
        <v>428.96928405761724</v>
      </c>
      <c r="P22" s="29">
        <f t="shared" ref="P22:W22" si="14">O22*1.1</f>
        <v>471.86621246337899</v>
      </c>
      <c r="Q22" s="29">
        <f t="shared" si="14"/>
        <v>519.05283370971688</v>
      </c>
      <c r="R22" s="29">
        <f t="shared" si="14"/>
        <v>570.95811708068857</v>
      </c>
      <c r="S22" s="29">
        <f t="shared" si="14"/>
        <v>628.0539287887575</v>
      </c>
      <c r="T22" s="29">
        <f t="shared" si="14"/>
        <v>690.85932166763325</v>
      </c>
      <c r="U22" s="29">
        <f t="shared" si="14"/>
        <v>759.94525383439668</v>
      </c>
      <c r="V22" s="29">
        <f t="shared" si="14"/>
        <v>835.93977921783642</v>
      </c>
      <c r="W22" s="29">
        <f t="shared" si="14"/>
        <v>919.53375713962009</v>
      </c>
      <c r="X22" s="8"/>
    </row>
    <row r="23" spans="1:181" x14ac:dyDescent="0.15">
      <c r="A23" s="3" t="s">
        <v>8</v>
      </c>
      <c r="B23" s="29">
        <v>17.850000000000001</v>
      </c>
      <c r="C23" s="29">
        <v>39.655000000000001</v>
      </c>
      <c r="D23" s="29">
        <f>SUM(Reports!B14:E14)</f>
        <v>66.771000000000001</v>
      </c>
      <c r="E23" s="29">
        <f>SUM(Reports!F14:I14)</f>
        <v>82.24799999999999</v>
      </c>
      <c r="F23" s="48">
        <f>SUM(Reports!J14:M14)</f>
        <v>109.08500000000001</v>
      </c>
      <c r="G23" s="48">
        <f>SUM(Reports!N14:Q14)</f>
        <v>158.01300000000001</v>
      </c>
      <c r="H23" s="48">
        <f>SUM(Reports!R14:U14)</f>
        <v>215.03399999999999</v>
      </c>
      <c r="I23" s="29">
        <f t="shared" ref="I23:M23" si="15">H23*1.4</f>
        <v>301.04759999999999</v>
      </c>
      <c r="J23" s="29">
        <f t="shared" si="15"/>
        <v>421.46663999999998</v>
      </c>
      <c r="K23" s="29">
        <f t="shared" si="15"/>
        <v>590.05329599999993</v>
      </c>
      <c r="L23" s="29">
        <f t="shared" si="15"/>
        <v>826.07461439999986</v>
      </c>
      <c r="M23" s="29">
        <f t="shared" si="15"/>
        <v>1156.5044601599998</v>
      </c>
      <c r="N23" s="29">
        <f>M23*1.08</f>
        <v>1249.0248169728</v>
      </c>
      <c r="O23" s="29">
        <f t="shared" ref="O23:W23" si="16">N23*1.08</f>
        <v>1348.946802330624</v>
      </c>
      <c r="P23" s="29">
        <f t="shared" si="16"/>
        <v>1456.862546517074</v>
      </c>
      <c r="Q23" s="29">
        <f t="shared" si="16"/>
        <v>1573.41155023844</v>
      </c>
      <c r="R23" s="29">
        <f t="shared" si="16"/>
        <v>1699.2844742575153</v>
      </c>
      <c r="S23" s="29">
        <f t="shared" si="16"/>
        <v>1835.2272321981166</v>
      </c>
      <c r="T23" s="29">
        <f t="shared" si="16"/>
        <v>1982.0454107739661</v>
      </c>
      <c r="U23" s="29">
        <f t="shared" si="16"/>
        <v>2140.6090436358836</v>
      </c>
      <c r="V23" s="29">
        <f t="shared" si="16"/>
        <v>2311.8577671267544</v>
      </c>
      <c r="W23" s="29">
        <f t="shared" si="16"/>
        <v>2496.8063884968951</v>
      </c>
      <c r="X23" s="8"/>
    </row>
    <row r="24" spans="1:181" x14ac:dyDescent="0.15">
      <c r="A24" s="3" t="s">
        <v>9</v>
      </c>
      <c r="B24" s="29">
        <v>31.111999999999998</v>
      </c>
      <c r="C24" s="29">
        <v>51.92</v>
      </c>
      <c r="D24" s="29">
        <f>SUM(Reports!B15:E15)</f>
        <v>68.938999999999993</v>
      </c>
      <c r="E24" s="29">
        <f>SUM(Reports!F15:I15)</f>
        <v>86.730999999999995</v>
      </c>
      <c r="F24" s="48">
        <f>SUM(Reports!J15:M15)</f>
        <v>94.647999999999996</v>
      </c>
      <c r="G24" s="48">
        <f>SUM(Reports!N15:Q15)</f>
        <v>82.88300000000001</v>
      </c>
      <c r="H24" s="48">
        <f>SUM(Reports!R15:U15)</f>
        <v>121.40100000000001</v>
      </c>
      <c r="I24" s="29">
        <f>H24*1.2</f>
        <v>145.68120000000002</v>
      </c>
      <c r="J24" s="29">
        <f t="shared" ref="J24:M24" si="17">I24*1.2</f>
        <v>174.81744</v>
      </c>
      <c r="K24" s="29">
        <f t="shared" si="17"/>
        <v>209.78092799999999</v>
      </c>
      <c r="L24" s="29">
        <f t="shared" si="17"/>
        <v>251.73711359999999</v>
      </c>
      <c r="M24" s="29">
        <f t="shared" si="17"/>
        <v>302.08453631999998</v>
      </c>
      <c r="N24" s="29">
        <f t="shared" ref="N24:W24" si="18">M24*0.98</f>
        <v>296.04284559359996</v>
      </c>
      <c r="O24" s="29">
        <f t="shared" si="18"/>
        <v>290.12198868172794</v>
      </c>
      <c r="P24" s="29">
        <f t="shared" si="18"/>
        <v>284.3195489080934</v>
      </c>
      <c r="Q24" s="29">
        <f t="shared" si="18"/>
        <v>278.63315792993154</v>
      </c>
      <c r="R24" s="29">
        <f t="shared" si="18"/>
        <v>273.06049477133291</v>
      </c>
      <c r="S24" s="29">
        <f t="shared" si="18"/>
        <v>267.59928487590622</v>
      </c>
      <c r="T24" s="29">
        <f t="shared" si="18"/>
        <v>262.24729917838812</v>
      </c>
      <c r="U24" s="29">
        <f t="shared" si="18"/>
        <v>257.00235319482033</v>
      </c>
      <c r="V24" s="29">
        <f t="shared" si="18"/>
        <v>251.86230613092391</v>
      </c>
      <c r="W24" s="29">
        <f t="shared" si="18"/>
        <v>246.82506000830543</v>
      </c>
      <c r="X24" s="8"/>
    </row>
    <row r="25" spans="1:181" x14ac:dyDescent="0.15">
      <c r="A25" s="3" t="s">
        <v>10</v>
      </c>
      <c r="B25" s="34">
        <f t="shared" ref="B25:F25" si="19">SUM(B22:B24)</f>
        <v>76.509999999999991</v>
      </c>
      <c r="C25" s="34">
        <f t="shared" si="19"/>
        <v>128.209</v>
      </c>
      <c r="D25" s="34">
        <f t="shared" si="19"/>
        <v>178.404</v>
      </c>
      <c r="E25" s="34">
        <f t="shared" si="19"/>
        <v>224.06199999999998</v>
      </c>
      <c r="F25" s="34">
        <f t="shared" si="19"/>
        <v>278.34900000000005</v>
      </c>
      <c r="G25" s="34">
        <f t="shared" ref="G25:H25" si="20">SUM(G22:G24)</f>
        <v>338.14499999999998</v>
      </c>
      <c r="H25" s="34">
        <f t="shared" si="20"/>
        <v>458.13600000000002</v>
      </c>
      <c r="I25" s="29">
        <f t="shared" ref="I25:J25" si="21">SUM(I22:I24)</f>
        <v>598.85505000000001</v>
      </c>
      <c r="J25" s="29">
        <f t="shared" si="21"/>
        <v>786.44189249999999</v>
      </c>
      <c r="K25" s="29">
        <f t="shared" ref="K25:S25" si="22">SUM(K22:K24)</f>
        <v>1037.5314896249999</v>
      </c>
      <c r="L25" s="29">
        <f t="shared" si="22"/>
        <v>1374.9333100312499</v>
      </c>
      <c r="M25" s="29">
        <f t="shared" si="22"/>
        <v>1829.9909740190624</v>
      </c>
      <c r="N25" s="29">
        <f t="shared" si="22"/>
        <v>1935.0397389824157</v>
      </c>
      <c r="O25" s="29">
        <f t="shared" si="22"/>
        <v>2068.0380750699692</v>
      </c>
      <c r="P25" s="29">
        <f t="shared" si="22"/>
        <v>2213.0483078885463</v>
      </c>
      <c r="Q25" s="29">
        <f t="shared" si="22"/>
        <v>2371.0975418780886</v>
      </c>
      <c r="R25" s="29">
        <f t="shared" si="22"/>
        <v>2543.3030861095367</v>
      </c>
      <c r="S25" s="29">
        <f t="shared" si="22"/>
        <v>2730.8804458627801</v>
      </c>
      <c r="T25" s="29">
        <f t="shared" ref="T25:W25" si="23">SUM(T22:T24)</f>
        <v>2935.1520316199872</v>
      </c>
      <c r="U25" s="29">
        <f t="shared" si="23"/>
        <v>3157.5566506651007</v>
      </c>
      <c r="V25" s="29">
        <f t="shared" si="23"/>
        <v>3399.659852475515</v>
      </c>
      <c r="W25" s="29">
        <f t="shared" si="23"/>
        <v>3663.1652056448211</v>
      </c>
      <c r="X25" s="8"/>
    </row>
    <row r="26" spans="1:181" x14ac:dyDescent="0.15">
      <c r="A26" s="3" t="s">
        <v>11</v>
      </c>
      <c r="B26" s="34">
        <f t="shared" ref="B26:F26" si="24">B21-B25</f>
        <v>0.73299999999997567</v>
      </c>
      <c r="C26" s="34">
        <f t="shared" si="24"/>
        <v>-6.251000000000019</v>
      </c>
      <c r="D26" s="34">
        <f t="shared" si="24"/>
        <v>-1.8840000000000146</v>
      </c>
      <c r="E26" s="34">
        <f t="shared" si="24"/>
        <v>17.577000000000055</v>
      </c>
      <c r="F26" s="34">
        <f t="shared" si="24"/>
        <v>11.877999999999929</v>
      </c>
      <c r="G26" s="34">
        <f t="shared" ref="G26:H26" si="25">G21-G25</f>
        <v>74.920000000000016</v>
      </c>
      <c r="H26" s="34">
        <f t="shared" si="25"/>
        <v>87.038000000000181</v>
      </c>
      <c r="I26" s="29">
        <f t="shared" ref="I26:J26" si="26">I21-I25</f>
        <v>122.13756500000022</v>
      </c>
      <c r="J26" s="29">
        <f t="shared" si="26"/>
        <v>167.07084083749999</v>
      </c>
      <c r="K26" s="29">
        <f t="shared" ref="K26:S26" si="27">K21-K25</f>
        <v>223.48910021384359</v>
      </c>
      <c r="L26" s="29">
        <f t="shared" si="27"/>
        <v>292.76642003062034</v>
      </c>
      <c r="M26" s="29">
        <f t="shared" si="27"/>
        <v>375.54191898776071</v>
      </c>
      <c r="N26" s="29">
        <f t="shared" si="27"/>
        <v>491.04644332508951</v>
      </c>
      <c r="O26" s="29">
        <f t="shared" si="27"/>
        <v>600.65672546828728</v>
      </c>
      <c r="P26" s="29">
        <f t="shared" si="27"/>
        <v>722.51597270353614</v>
      </c>
      <c r="Q26" s="29">
        <f t="shared" si="27"/>
        <v>858.02316677320232</v>
      </c>
      <c r="R26" s="29">
        <f t="shared" si="27"/>
        <v>1008.7296934068831</v>
      </c>
      <c r="S26" s="29">
        <f t="shared" si="27"/>
        <v>1176.3556116052823</v>
      </c>
      <c r="T26" s="29">
        <f t="shared" ref="T26:W26" si="28">T21-T25</f>
        <v>1362.8076315948815</v>
      </c>
      <c r="U26" s="29">
        <f t="shared" si="28"/>
        <v>1570.1989788712549</v>
      </c>
      <c r="V26" s="29">
        <f t="shared" si="28"/>
        <v>1800.8713400144766</v>
      </c>
      <c r="W26" s="29">
        <f t="shared" si="28"/>
        <v>2057.4191060941703</v>
      </c>
      <c r="X26" s="8"/>
    </row>
    <row r="27" spans="1:181" x14ac:dyDescent="0.15">
      <c r="A27" s="3" t="s">
        <v>12</v>
      </c>
      <c r="B27" s="29">
        <v>-0.67500000000000004</v>
      </c>
      <c r="C27" s="29">
        <v>-4.0090000000000003</v>
      </c>
      <c r="D27" s="29">
        <f>SUM(Reports!B18:E18)</f>
        <v>-26.11</v>
      </c>
      <c r="E27" s="29">
        <f>SUM(Reports!F18:I18)</f>
        <v>-20.452999999999999</v>
      </c>
      <c r="F27" s="48">
        <f>SUM(Reports!J18:M18)</f>
        <v>20.369</v>
      </c>
      <c r="G27" s="48">
        <f>SUM(Reports!N18:Q18)</f>
        <v>-19.708000000000002</v>
      </c>
      <c r="H27" s="48">
        <f>SUM(Reports!R18:U18)</f>
        <v>-7.2869999999999999</v>
      </c>
      <c r="I27" s="29">
        <f t="shared" ref="I27:W27" si="29">H44*$F$3</f>
        <v>2.42</v>
      </c>
      <c r="J27" s="29">
        <f t="shared" si="29"/>
        <v>4.537478605000004</v>
      </c>
      <c r="K27" s="29">
        <f t="shared" si="29"/>
        <v>7.4548200355225038</v>
      </c>
      <c r="L27" s="29">
        <f t="shared" si="29"/>
        <v>11.380866679761727</v>
      </c>
      <c r="M27" s="29">
        <f t="shared" si="29"/>
        <v>16.551370553838225</v>
      </c>
      <c r="N27" s="29">
        <f t="shared" si="29"/>
        <v>23.216956476045407</v>
      </c>
      <c r="O27" s="29">
        <f t="shared" si="29"/>
        <v>31.959434272664705</v>
      </c>
      <c r="P27" s="29">
        <f t="shared" si="29"/>
        <v>42.713908988260883</v>
      </c>
      <c r="Q27" s="29">
        <f t="shared" si="29"/>
        <v>55.722816977021431</v>
      </c>
      <c r="R27" s="29">
        <f t="shared" si="29"/>
        <v>71.256498700775239</v>
      </c>
      <c r="S27" s="29">
        <f t="shared" si="29"/>
        <v>89.616263966605445</v>
      </c>
      <c r="T27" s="29">
        <f t="shared" si="29"/>
        <v>111.13778585132754</v>
      </c>
      <c r="U27" s="29">
        <f t="shared" si="29"/>
        <v>136.19485794791311</v>
      </c>
      <c r="V27" s="29">
        <f t="shared" si="29"/>
        <v>165.20355317383897</v>
      </c>
      <c r="W27" s="29">
        <f t="shared" si="29"/>
        <v>198.62682635804032</v>
      </c>
      <c r="X27" s="8"/>
    </row>
    <row r="28" spans="1:181" x14ac:dyDescent="0.15">
      <c r="A28" s="3" t="s">
        <v>13</v>
      </c>
      <c r="B28" s="34">
        <f t="shared" ref="B28:H28" si="30">B26+B27</f>
        <v>5.7999999999975627E-2</v>
      </c>
      <c r="C28" s="34">
        <f t="shared" si="30"/>
        <v>-10.260000000000019</v>
      </c>
      <c r="D28" s="34">
        <f t="shared" si="30"/>
        <v>-27.994000000000014</v>
      </c>
      <c r="E28" s="34">
        <f t="shared" si="30"/>
        <v>-2.8759999999999444</v>
      </c>
      <c r="F28" s="34">
        <f t="shared" si="30"/>
        <v>32.246999999999929</v>
      </c>
      <c r="G28" s="34">
        <f t="shared" si="30"/>
        <v>55.212000000000018</v>
      </c>
      <c r="H28" s="34">
        <f t="shared" si="30"/>
        <v>79.751000000000175</v>
      </c>
      <c r="I28" s="29">
        <f t="shared" ref="I28:J28" si="31">I26+I27</f>
        <v>124.55756500000022</v>
      </c>
      <c r="J28" s="29">
        <f t="shared" si="31"/>
        <v>171.60831944249998</v>
      </c>
      <c r="K28" s="29">
        <f t="shared" ref="K28" si="32">K26+K27</f>
        <v>230.9439202493661</v>
      </c>
      <c r="L28" s="29">
        <f t="shared" ref="L28" si="33">L26+L27</f>
        <v>304.14728671038205</v>
      </c>
      <c r="M28" s="29">
        <f t="shared" ref="M28" si="34">M26+M27</f>
        <v>392.09328954159895</v>
      </c>
      <c r="N28" s="29">
        <f t="shared" ref="N28" si="35">N26+N27</f>
        <v>514.26339980113494</v>
      </c>
      <c r="O28" s="29">
        <f t="shared" ref="O28" si="36">O26+O27</f>
        <v>632.61615974095196</v>
      </c>
      <c r="P28" s="29">
        <f t="shared" ref="P28" si="37">P26+P27</f>
        <v>765.229881691797</v>
      </c>
      <c r="Q28" s="29">
        <f t="shared" ref="Q28" si="38">Q26+Q27</f>
        <v>913.74598375022379</v>
      </c>
      <c r="R28" s="29">
        <f t="shared" ref="R28" si="39">R26+R27</f>
        <v>1079.9861921076583</v>
      </c>
      <c r="S28" s="29">
        <f t="shared" ref="S28:T28" si="40">S26+S27</f>
        <v>1265.9718755718877</v>
      </c>
      <c r="T28" s="29">
        <f t="shared" si="40"/>
        <v>1473.9454174462091</v>
      </c>
      <c r="U28" s="29">
        <f t="shared" ref="U28:W28" si="41">U26+U27</f>
        <v>1706.393836819168</v>
      </c>
      <c r="V28" s="29">
        <f t="shared" si="41"/>
        <v>1966.0748931883156</v>
      </c>
      <c r="W28" s="29">
        <f t="shared" si="41"/>
        <v>2256.0459324522108</v>
      </c>
      <c r="X28" s="8"/>
    </row>
    <row r="29" spans="1:181" x14ac:dyDescent="0.15">
      <c r="A29" s="3" t="s">
        <v>14</v>
      </c>
      <c r="B29" s="29">
        <v>0.85399999999999998</v>
      </c>
      <c r="C29" s="29">
        <v>4.9829999999999997</v>
      </c>
      <c r="D29" s="29">
        <f>SUM(Reports!B20:E20)</f>
        <v>26.068999999999999</v>
      </c>
      <c r="E29" s="29">
        <f>SUM(Reports!F20:I20)</f>
        <v>27.024999999999999</v>
      </c>
      <c r="F29" s="48">
        <f>SUM(Reports!J20:M20)</f>
        <v>-49.534999999999997</v>
      </c>
      <c r="G29" s="48">
        <f>SUM(Reports!N20:Q20)</f>
        <v>-22.413</v>
      </c>
      <c r="H29" s="48">
        <f>SUM(Reports!R20:U20)</f>
        <v>-15.526</v>
      </c>
      <c r="I29" s="29">
        <f t="shared" ref="I29:S29" si="42">I28*0.15</f>
        <v>18.683634750000031</v>
      </c>
      <c r="J29" s="29">
        <f t="shared" si="42"/>
        <v>25.741247916374995</v>
      </c>
      <c r="K29" s="29">
        <f t="shared" si="42"/>
        <v>34.641588037404915</v>
      </c>
      <c r="L29" s="29">
        <f t="shared" si="42"/>
        <v>45.622093006557307</v>
      </c>
      <c r="M29" s="29">
        <f t="shared" si="42"/>
        <v>58.813993431239837</v>
      </c>
      <c r="N29" s="29">
        <f t="shared" si="42"/>
        <v>77.139509970170238</v>
      </c>
      <c r="O29" s="29">
        <f t="shared" si="42"/>
        <v>94.892423961142796</v>
      </c>
      <c r="P29" s="29">
        <f t="shared" si="42"/>
        <v>114.78448225376955</v>
      </c>
      <c r="Q29" s="29">
        <f t="shared" si="42"/>
        <v>137.06189756253357</v>
      </c>
      <c r="R29" s="29">
        <f t="shared" si="42"/>
        <v>161.99792881614874</v>
      </c>
      <c r="S29" s="29">
        <f t="shared" si="42"/>
        <v>189.89578133578314</v>
      </c>
      <c r="T29" s="29">
        <f t="shared" ref="T29:W29" si="43">T28*0.15</f>
        <v>221.09181261693138</v>
      </c>
      <c r="U29" s="29">
        <f t="shared" si="43"/>
        <v>255.9590755228752</v>
      </c>
      <c r="V29" s="29">
        <f t="shared" si="43"/>
        <v>294.91123397824731</v>
      </c>
      <c r="W29" s="29">
        <f t="shared" si="43"/>
        <v>338.40688986783158</v>
      </c>
      <c r="X29" s="8"/>
    </row>
    <row r="30" spans="1:181" s="2" customFormat="1" x14ac:dyDescent="0.15">
      <c r="A30" s="2" t="s">
        <v>15</v>
      </c>
      <c r="B30" s="31">
        <f t="shared" ref="B30:G30" si="44">B28-B29</f>
        <v>-0.79600000000002435</v>
      </c>
      <c r="C30" s="31">
        <f t="shared" si="44"/>
        <v>-15.24300000000002</v>
      </c>
      <c r="D30" s="31">
        <f t="shared" si="44"/>
        <v>-54.063000000000017</v>
      </c>
      <c r="E30" s="31">
        <f t="shared" si="44"/>
        <v>-29.900999999999943</v>
      </c>
      <c r="F30" s="31">
        <f t="shared" si="44"/>
        <v>81.781999999999925</v>
      </c>
      <c r="G30" s="31">
        <f t="shared" si="44"/>
        <v>77.625000000000014</v>
      </c>
      <c r="H30" s="31">
        <f t="shared" ref="H30:J30" si="45">H28-H29</f>
        <v>95.277000000000172</v>
      </c>
      <c r="I30" s="31">
        <f t="shared" si="45"/>
        <v>105.8739302500002</v>
      </c>
      <c r="J30" s="31">
        <f t="shared" si="45"/>
        <v>145.86707152612499</v>
      </c>
      <c r="K30" s="31">
        <f t="shared" ref="K30:S30" si="46">K28-K29</f>
        <v>196.30233221196119</v>
      </c>
      <c r="L30" s="31">
        <f t="shared" si="46"/>
        <v>258.52519370382475</v>
      </c>
      <c r="M30" s="31">
        <f t="shared" si="46"/>
        <v>333.2792961103591</v>
      </c>
      <c r="N30" s="31">
        <f t="shared" si="46"/>
        <v>437.12388983096469</v>
      </c>
      <c r="O30" s="31">
        <f t="shared" si="46"/>
        <v>537.7237357798092</v>
      </c>
      <c r="P30" s="31">
        <f t="shared" si="46"/>
        <v>650.44539943802749</v>
      </c>
      <c r="Q30" s="31">
        <f t="shared" si="46"/>
        <v>776.68408618769024</v>
      </c>
      <c r="R30" s="31">
        <f t="shared" si="46"/>
        <v>917.98826329150961</v>
      </c>
      <c r="S30" s="31">
        <f t="shared" si="46"/>
        <v>1076.0760942361046</v>
      </c>
      <c r="T30" s="31">
        <f t="shared" ref="T30:W30" si="47">T28-T29</f>
        <v>1252.8536048292779</v>
      </c>
      <c r="U30" s="31">
        <f t="shared" si="47"/>
        <v>1450.4347612962929</v>
      </c>
      <c r="V30" s="31">
        <f t="shared" si="47"/>
        <v>1671.1636592100683</v>
      </c>
      <c r="W30" s="31">
        <f t="shared" si="47"/>
        <v>1917.6390425843792</v>
      </c>
      <c r="X30" s="17">
        <f t="shared" ref="X30:AY30" si="48">W30*($F$2+1)</f>
        <v>1908.0508473714574</v>
      </c>
      <c r="Y30" s="17">
        <f t="shared" si="48"/>
        <v>1898.5105931346002</v>
      </c>
      <c r="Z30" s="17">
        <f t="shared" si="48"/>
        <v>1889.0180401689272</v>
      </c>
      <c r="AA30" s="17">
        <f t="shared" si="48"/>
        <v>1879.5729499680826</v>
      </c>
      <c r="AB30" s="17">
        <f t="shared" si="48"/>
        <v>1870.1750852182422</v>
      </c>
      <c r="AC30" s="17">
        <f t="shared" si="48"/>
        <v>1860.8242097921509</v>
      </c>
      <c r="AD30" s="17">
        <f t="shared" si="48"/>
        <v>1851.5200887431902</v>
      </c>
      <c r="AE30" s="17">
        <f t="shared" si="48"/>
        <v>1842.2624882994742</v>
      </c>
      <c r="AF30" s="17">
        <f t="shared" si="48"/>
        <v>1833.0511758579769</v>
      </c>
      <c r="AG30" s="17">
        <f t="shared" si="48"/>
        <v>1823.8859199786871</v>
      </c>
      <c r="AH30" s="17">
        <f t="shared" si="48"/>
        <v>1814.7664903787936</v>
      </c>
      <c r="AI30" s="17">
        <f t="shared" si="48"/>
        <v>1805.6926579268995</v>
      </c>
      <c r="AJ30" s="17">
        <f t="shared" si="48"/>
        <v>1796.6641946372649</v>
      </c>
      <c r="AK30" s="17">
        <f t="shared" si="48"/>
        <v>1787.6808736640785</v>
      </c>
      <c r="AL30" s="17">
        <f t="shared" si="48"/>
        <v>1778.7424692957582</v>
      </c>
      <c r="AM30" s="17">
        <f t="shared" si="48"/>
        <v>1769.8487569492793</v>
      </c>
      <c r="AN30" s="17">
        <f t="shared" si="48"/>
        <v>1760.9995131645328</v>
      </c>
      <c r="AO30" s="17">
        <f t="shared" si="48"/>
        <v>1752.19451559871</v>
      </c>
      <c r="AP30" s="17">
        <f t="shared" si="48"/>
        <v>1743.4335430207166</v>
      </c>
      <c r="AQ30" s="17">
        <f t="shared" si="48"/>
        <v>1734.7163753056129</v>
      </c>
      <c r="AR30" s="17">
        <f t="shared" si="48"/>
        <v>1726.0427934290849</v>
      </c>
      <c r="AS30" s="17">
        <f t="shared" si="48"/>
        <v>1717.4125794619395</v>
      </c>
      <c r="AT30" s="17">
        <f t="shared" si="48"/>
        <v>1708.8255165646297</v>
      </c>
      <c r="AU30" s="17">
        <f t="shared" si="48"/>
        <v>1700.2813889818065</v>
      </c>
      <c r="AV30" s="17">
        <f t="shared" si="48"/>
        <v>1691.7799820368973</v>
      </c>
      <c r="AW30" s="17">
        <f t="shared" si="48"/>
        <v>1683.3210821267128</v>
      </c>
      <c r="AX30" s="17">
        <f t="shared" si="48"/>
        <v>1674.9044767160792</v>
      </c>
      <c r="AY30" s="17">
        <f t="shared" si="48"/>
        <v>1666.5299543324988</v>
      </c>
      <c r="AZ30" s="17">
        <f t="shared" ref="AZ30:CE30" si="49">AY30*($F$2+1)</f>
        <v>1658.1973045608363</v>
      </c>
      <c r="BA30" s="17">
        <f t="shared" si="49"/>
        <v>1649.9063180380322</v>
      </c>
      <c r="BB30" s="17">
        <f t="shared" si="49"/>
        <v>1641.656786447842</v>
      </c>
      <c r="BC30" s="17">
        <f t="shared" si="49"/>
        <v>1633.4485025156027</v>
      </c>
      <c r="BD30" s="17">
        <f t="shared" si="49"/>
        <v>1625.2812600030247</v>
      </c>
      <c r="BE30" s="17">
        <f t="shared" si="49"/>
        <v>1617.1548537030096</v>
      </c>
      <c r="BF30" s="17">
        <f t="shared" si="49"/>
        <v>1609.0690794344946</v>
      </c>
      <c r="BG30" s="17">
        <f t="shared" si="49"/>
        <v>1601.0237340373221</v>
      </c>
      <c r="BH30" s="17">
        <f t="shared" si="49"/>
        <v>1593.0186153671355</v>
      </c>
      <c r="BI30" s="17">
        <f t="shared" si="49"/>
        <v>1585.0535222902997</v>
      </c>
      <c r="BJ30" s="17">
        <f t="shared" si="49"/>
        <v>1577.1282546788482</v>
      </c>
      <c r="BK30" s="17">
        <f t="shared" si="49"/>
        <v>1569.242613405454</v>
      </c>
      <c r="BL30" s="17">
        <f t="shared" si="49"/>
        <v>1561.3964003384267</v>
      </c>
      <c r="BM30" s="17">
        <f t="shared" si="49"/>
        <v>1553.5894183367345</v>
      </c>
      <c r="BN30" s="17">
        <f t="shared" si="49"/>
        <v>1545.8214712450508</v>
      </c>
      <c r="BO30" s="17">
        <f t="shared" si="49"/>
        <v>1538.0923638888255</v>
      </c>
      <c r="BP30" s="17">
        <f t="shared" si="49"/>
        <v>1530.4019020693813</v>
      </c>
      <c r="BQ30" s="17">
        <f t="shared" si="49"/>
        <v>1522.7498925590344</v>
      </c>
      <c r="BR30" s="17">
        <f t="shared" si="49"/>
        <v>1515.1361430962393</v>
      </c>
      <c r="BS30" s="17">
        <f t="shared" si="49"/>
        <v>1507.5604623807581</v>
      </c>
      <c r="BT30" s="17">
        <f t="shared" si="49"/>
        <v>1500.0226600688543</v>
      </c>
      <c r="BU30" s="17">
        <f t="shared" si="49"/>
        <v>1492.52254676851</v>
      </c>
      <c r="BV30" s="17">
        <f t="shared" si="49"/>
        <v>1485.0599340346673</v>
      </c>
      <c r="BW30" s="17">
        <f t="shared" si="49"/>
        <v>1477.6346343644939</v>
      </c>
      <c r="BX30" s="17">
        <f t="shared" si="49"/>
        <v>1470.2464611926714</v>
      </c>
      <c r="BY30" s="17">
        <f t="shared" si="49"/>
        <v>1462.8952288867081</v>
      </c>
      <c r="BZ30" s="17">
        <f t="shared" si="49"/>
        <v>1455.5807527422746</v>
      </c>
      <c r="CA30" s="17">
        <f t="shared" si="49"/>
        <v>1448.3028489785631</v>
      </c>
      <c r="CB30" s="17">
        <f t="shared" si="49"/>
        <v>1441.0613347336703</v>
      </c>
      <c r="CC30" s="17">
        <f t="shared" si="49"/>
        <v>1433.856028060002</v>
      </c>
      <c r="CD30" s="17">
        <f t="shared" si="49"/>
        <v>1426.6867479197019</v>
      </c>
      <c r="CE30" s="17">
        <f t="shared" si="49"/>
        <v>1419.5533141801034</v>
      </c>
      <c r="CF30" s="17">
        <f t="shared" ref="CF30:DK30" si="50">CE30*($F$2+1)</f>
        <v>1412.4555476092028</v>
      </c>
      <c r="CG30" s="17">
        <f t="shared" si="50"/>
        <v>1405.3932698711567</v>
      </c>
      <c r="CH30" s="17">
        <f t="shared" si="50"/>
        <v>1398.366303521801</v>
      </c>
      <c r="CI30" s="17">
        <f t="shared" si="50"/>
        <v>1391.3744720041921</v>
      </c>
      <c r="CJ30" s="17">
        <f t="shared" si="50"/>
        <v>1384.4175996441711</v>
      </c>
      <c r="CK30" s="17">
        <f t="shared" si="50"/>
        <v>1377.4955116459503</v>
      </c>
      <c r="CL30" s="17">
        <f t="shared" si="50"/>
        <v>1370.6080340877206</v>
      </c>
      <c r="CM30" s="17">
        <f t="shared" si="50"/>
        <v>1363.754993917282</v>
      </c>
      <c r="CN30" s="17">
        <f t="shared" si="50"/>
        <v>1356.9362189476956</v>
      </c>
      <c r="CO30" s="17">
        <f t="shared" si="50"/>
        <v>1350.1515378529571</v>
      </c>
      <c r="CP30" s="17">
        <f t="shared" si="50"/>
        <v>1343.4007801636922</v>
      </c>
      <c r="CQ30" s="17">
        <f t="shared" si="50"/>
        <v>1336.6837762628736</v>
      </c>
      <c r="CR30" s="17">
        <f t="shared" si="50"/>
        <v>1330.0003573815593</v>
      </c>
      <c r="CS30" s="17">
        <f t="shared" si="50"/>
        <v>1323.3503555946515</v>
      </c>
      <c r="CT30" s="17">
        <f t="shared" si="50"/>
        <v>1316.7336038166782</v>
      </c>
      <c r="CU30" s="17">
        <f t="shared" si="50"/>
        <v>1310.1499357975947</v>
      </c>
      <c r="CV30" s="17">
        <f t="shared" si="50"/>
        <v>1303.5991861186067</v>
      </c>
      <c r="CW30" s="17">
        <f t="shared" si="50"/>
        <v>1297.0811901880136</v>
      </c>
      <c r="CX30" s="17">
        <f t="shared" si="50"/>
        <v>1290.5957842370735</v>
      </c>
      <c r="CY30" s="17">
        <f t="shared" si="50"/>
        <v>1284.1428053158882</v>
      </c>
      <c r="CZ30" s="17">
        <f t="shared" si="50"/>
        <v>1277.7220912893088</v>
      </c>
      <c r="DA30" s="17">
        <f t="shared" si="50"/>
        <v>1271.3334808328623</v>
      </c>
      <c r="DB30" s="17">
        <f t="shared" si="50"/>
        <v>1264.9768134286981</v>
      </c>
      <c r="DC30" s="17">
        <f t="shared" si="50"/>
        <v>1258.6519293615545</v>
      </c>
      <c r="DD30" s="17">
        <f t="shared" si="50"/>
        <v>1252.3586697147466</v>
      </c>
      <c r="DE30" s="17">
        <f t="shared" si="50"/>
        <v>1246.0968763661729</v>
      </c>
      <c r="DF30" s="17">
        <f t="shared" si="50"/>
        <v>1239.866391984342</v>
      </c>
      <c r="DG30" s="17">
        <f t="shared" si="50"/>
        <v>1233.6670600244204</v>
      </c>
      <c r="DH30" s="17">
        <f t="shared" si="50"/>
        <v>1227.4987247242982</v>
      </c>
      <c r="DI30" s="17">
        <f t="shared" si="50"/>
        <v>1221.3612311006766</v>
      </c>
      <c r="DJ30" s="17">
        <f t="shared" si="50"/>
        <v>1215.2544249451732</v>
      </c>
      <c r="DK30" s="17">
        <f t="shared" si="50"/>
        <v>1209.1781528204474</v>
      </c>
      <c r="DL30" s="17">
        <f t="shared" ref="DL30:DT30" si="51">DK30*($F$2+1)</f>
        <v>1203.1322620563451</v>
      </c>
      <c r="DM30" s="17">
        <f t="shared" si="51"/>
        <v>1197.1166007460633</v>
      </c>
      <c r="DN30" s="17">
        <f t="shared" si="51"/>
        <v>1191.1310177423329</v>
      </c>
      <c r="DO30" s="17">
        <f t="shared" si="51"/>
        <v>1185.1753626536213</v>
      </c>
      <c r="DP30" s="17">
        <f t="shared" si="51"/>
        <v>1179.2494858403531</v>
      </c>
      <c r="DQ30" s="17">
        <f t="shared" si="51"/>
        <v>1173.3532384111513</v>
      </c>
      <c r="DR30" s="17">
        <f t="shared" si="51"/>
        <v>1167.4864722190955</v>
      </c>
      <c r="DS30" s="17">
        <f t="shared" si="51"/>
        <v>1161.6490398579999</v>
      </c>
      <c r="DT30" s="17">
        <f t="shared" si="51"/>
        <v>1155.8407946587099</v>
      </c>
      <c r="DU30" s="17">
        <f t="shared" ref="DU30" si="52">DT30*($F$2+1)</f>
        <v>1150.0615906854164</v>
      </c>
      <c r="DV30" s="17">
        <f t="shared" ref="DV30" si="53">DU30*($F$2+1)</f>
        <v>1144.3112827319892</v>
      </c>
      <c r="DW30" s="17">
        <f t="shared" ref="DW30" si="54">DV30*($F$2+1)</f>
        <v>1138.5897263183292</v>
      </c>
      <c r="DX30" s="17">
        <f t="shared" ref="DX30" si="55">DW30*($F$2+1)</f>
        <v>1132.8967776867376</v>
      </c>
      <c r="DY30" s="17">
        <f t="shared" ref="DY30" si="56">DX30*($F$2+1)</f>
        <v>1127.2322937983038</v>
      </c>
      <c r="DZ30" s="17">
        <f t="shared" ref="DZ30" si="57">DY30*($F$2+1)</f>
        <v>1121.5961323293122</v>
      </c>
      <c r="EA30" s="17">
        <f t="shared" ref="EA30" si="58">DZ30*($F$2+1)</f>
        <v>1115.9881516676658</v>
      </c>
      <c r="EB30" s="17">
        <f t="shared" ref="EB30" si="59">EA30*($F$2+1)</f>
        <v>1110.4082109093274</v>
      </c>
      <c r="EC30" s="17">
        <f t="shared" ref="EC30" si="60">EB30*($F$2+1)</f>
        <v>1104.8561698547808</v>
      </c>
      <c r="ED30" s="17">
        <f t="shared" ref="ED30" si="61">EC30*($F$2+1)</f>
        <v>1099.3318890055068</v>
      </c>
      <c r="EE30" s="17">
        <f t="shared" ref="EE30" si="62">ED30*($F$2+1)</f>
        <v>1093.8352295604793</v>
      </c>
      <c r="EF30" s="17">
        <f t="shared" ref="EF30" si="63">EE30*($F$2+1)</f>
        <v>1088.3660534126768</v>
      </c>
      <c r="EG30" s="17">
        <f t="shared" ref="EG30" si="64">EF30*($F$2+1)</f>
        <v>1082.9242231456135</v>
      </c>
      <c r="EH30" s="17">
        <f t="shared" ref="EH30" si="65">EG30*($F$2+1)</f>
        <v>1077.5096020298854</v>
      </c>
      <c r="EI30" s="17">
        <f t="shared" ref="EI30" si="66">EH30*($F$2+1)</f>
        <v>1072.122054019736</v>
      </c>
      <c r="EJ30" s="17">
        <f t="shared" ref="EJ30" si="67">EI30*($F$2+1)</f>
        <v>1066.7614437496372</v>
      </c>
      <c r="EK30" s="17">
        <f t="shared" ref="EK30" si="68">EJ30*($F$2+1)</f>
        <v>1061.427636530889</v>
      </c>
      <c r="EL30" s="17">
        <f t="shared" ref="EL30" si="69">EK30*($F$2+1)</f>
        <v>1056.1204983482346</v>
      </c>
      <c r="EM30" s="17">
        <f t="shared" ref="EM30" si="70">EL30*($F$2+1)</f>
        <v>1050.8398958564935</v>
      </c>
      <c r="EN30" s="17">
        <f t="shared" ref="EN30" si="71">EM30*($F$2+1)</f>
        <v>1045.585696377211</v>
      </c>
      <c r="EO30" s="17">
        <f t="shared" ref="EO30" si="72">EN30*($F$2+1)</f>
        <v>1040.357767895325</v>
      </c>
      <c r="EP30" s="17">
        <f t="shared" ref="EP30" si="73">EO30*($F$2+1)</f>
        <v>1035.1559790558483</v>
      </c>
      <c r="EQ30" s="17">
        <f t="shared" ref="EQ30" si="74">EP30*($F$2+1)</f>
        <v>1029.9801991605691</v>
      </c>
      <c r="ER30" s="17">
        <f t="shared" ref="ER30" si="75">EQ30*($F$2+1)</f>
        <v>1024.8302981647662</v>
      </c>
      <c r="ES30" s="17">
        <f t="shared" ref="ES30" si="76">ER30*($F$2+1)</f>
        <v>1019.7061466739424</v>
      </c>
      <c r="ET30" s="17">
        <f t="shared" ref="ET30" si="77">ES30*($F$2+1)</f>
        <v>1014.6076159405727</v>
      </c>
      <c r="EU30" s="17">
        <f t="shared" ref="EU30" si="78">ET30*($F$2+1)</f>
        <v>1009.5345778608698</v>
      </c>
      <c r="EV30" s="17">
        <f t="shared" ref="EV30" si="79">EU30*($F$2+1)</f>
        <v>1004.4869049715654</v>
      </c>
      <c r="EW30" s="17">
        <f t="shared" ref="EW30" si="80">EV30*($F$2+1)</f>
        <v>999.46447044670754</v>
      </c>
      <c r="EX30" s="17">
        <f t="shared" ref="EX30" si="81">EW30*($F$2+1)</f>
        <v>994.46714809447394</v>
      </c>
      <c r="EY30" s="17">
        <f t="shared" ref="EY30" si="82">EX30*($F$2+1)</f>
        <v>989.49481235400162</v>
      </c>
      <c r="EZ30" s="17">
        <f t="shared" ref="EZ30" si="83">EY30*($F$2+1)</f>
        <v>984.54733829223164</v>
      </c>
      <c r="FA30" s="17">
        <f t="shared" ref="FA30" si="84">EZ30*($F$2+1)</f>
        <v>979.62460160077046</v>
      </c>
      <c r="FB30" s="17">
        <f t="shared" ref="FB30" si="85">FA30*($F$2+1)</f>
        <v>974.72647859276663</v>
      </c>
      <c r="FC30" s="17">
        <f t="shared" ref="FC30" si="86">FB30*($F$2+1)</f>
        <v>969.8528461998028</v>
      </c>
      <c r="FD30" s="17">
        <f t="shared" ref="FD30" si="87">FC30*($F$2+1)</f>
        <v>965.00358196880381</v>
      </c>
      <c r="FE30" s="17">
        <f t="shared" ref="FE30" si="88">FD30*($F$2+1)</f>
        <v>960.17856405895975</v>
      </c>
      <c r="FF30" s="17">
        <f t="shared" ref="FF30" si="89">FE30*($F$2+1)</f>
        <v>955.3776712386649</v>
      </c>
      <c r="FG30" s="17">
        <f t="shared" ref="FG30" si="90">FF30*($F$2+1)</f>
        <v>950.60078288247155</v>
      </c>
      <c r="FH30" s="17">
        <f t="shared" ref="FH30" si="91">FG30*($F$2+1)</f>
        <v>945.84777896805917</v>
      </c>
      <c r="FI30" s="17">
        <f t="shared" ref="FI30" si="92">FH30*($F$2+1)</f>
        <v>941.11854007321892</v>
      </c>
      <c r="FJ30" s="17">
        <f t="shared" ref="FJ30" si="93">FI30*($F$2+1)</f>
        <v>936.41294737285284</v>
      </c>
      <c r="FK30" s="17">
        <f t="shared" ref="FK30" si="94">FJ30*($F$2+1)</f>
        <v>931.73088263598856</v>
      </c>
      <c r="FL30" s="17">
        <f t="shared" ref="FL30" si="95">FK30*($F$2+1)</f>
        <v>927.07222822280858</v>
      </c>
      <c r="FM30" s="17">
        <f t="shared" ref="FM30" si="96">FL30*($F$2+1)</f>
        <v>922.43686708169457</v>
      </c>
      <c r="FN30" s="17">
        <f t="shared" ref="FN30" si="97">FM30*($F$2+1)</f>
        <v>917.82468274628604</v>
      </c>
      <c r="FO30" s="17">
        <f t="shared" ref="FO30" si="98">FN30*($F$2+1)</f>
        <v>913.23555933255466</v>
      </c>
      <c r="FP30" s="17">
        <f t="shared" ref="FP30" si="99">FO30*($F$2+1)</f>
        <v>908.66938153589183</v>
      </c>
      <c r="FQ30" s="17">
        <f t="shared" ref="FQ30" si="100">FP30*($F$2+1)</f>
        <v>904.12603462821232</v>
      </c>
      <c r="FR30" s="17">
        <f t="shared" ref="FR30" si="101">FQ30*($F$2+1)</f>
        <v>899.60540445507127</v>
      </c>
      <c r="FS30" s="17">
        <f t="shared" ref="FS30" si="102">FR30*($F$2+1)</f>
        <v>895.10737743279594</v>
      </c>
      <c r="FT30" s="17">
        <f t="shared" ref="FT30" si="103">FS30*($F$2+1)</f>
        <v>890.63184054563192</v>
      </c>
      <c r="FU30" s="17">
        <f t="shared" ref="FU30" si="104">FT30*($F$2+1)</f>
        <v>886.1786813429037</v>
      </c>
      <c r="FV30" s="17">
        <f t="shared" ref="FV30" si="105">FU30*($F$2+1)</f>
        <v>881.74778793618918</v>
      </c>
      <c r="FW30" s="17">
        <f t="shared" ref="FW30" si="106">FV30*($F$2+1)</f>
        <v>877.33904899650827</v>
      </c>
      <c r="FX30" s="17">
        <f t="shared" ref="FX30" si="107">FW30*($F$2+1)</f>
        <v>872.95235375152572</v>
      </c>
      <c r="FY30" s="17">
        <f t="shared" ref="FY30" si="108">FX30*($F$2+1)</f>
        <v>868.58759198276812</v>
      </c>
    </row>
    <row r="31" spans="1:181" x14ac:dyDescent="0.15">
      <c r="A31" s="3" t="s">
        <v>16</v>
      </c>
      <c r="B31" s="38">
        <f t="shared" ref="B31:H31" si="109">B30/B32</f>
        <v>-2.4366917782652858E-2</v>
      </c>
      <c r="C31" s="38">
        <f t="shared" si="109"/>
        <v>-0.37873947462426938</v>
      </c>
      <c r="D31" s="38">
        <f t="shared" si="109"/>
        <v>-0.48409887465435225</v>
      </c>
      <c r="E31" s="38">
        <f t="shared" si="109"/>
        <v>-0.25934031927108159</v>
      </c>
      <c r="F31" s="38">
        <f t="shared" si="109"/>
        <v>0.6552082954616224</v>
      </c>
      <c r="G31" s="38">
        <f t="shared" si="109"/>
        <v>0.60168584584062201</v>
      </c>
      <c r="H31" s="38">
        <f t="shared" si="109"/>
        <v>0.7721160409929716</v>
      </c>
      <c r="I31" s="63">
        <f t="shared" ref="I31:J31" si="110">I30/I32</f>
        <v>0.8579925886519939</v>
      </c>
      <c r="J31" s="63">
        <f t="shared" si="110"/>
        <v>1.18209332554541</v>
      </c>
      <c r="K31" s="63">
        <f t="shared" ref="K31:S31" si="111">K30/K32</f>
        <v>1.5908160372932216</v>
      </c>
      <c r="L31" s="63">
        <f t="shared" si="111"/>
        <v>2.0950643813253769</v>
      </c>
      <c r="M31" s="63">
        <f t="shared" si="111"/>
        <v>2.7008647486555444</v>
      </c>
      <c r="N31" s="63">
        <f t="shared" si="111"/>
        <v>3.5424117808047244</v>
      </c>
      <c r="O31" s="63">
        <f t="shared" si="111"/>
        <v>4.3576636755802163</v>
      </c>
      <c r="P31" s="63">
        <f t="shared" si="111"/>
        <v>5.2711496656714729</v>
      </c>
      <c r="Q31" s="63">
        <f t="shared" si="111"/>
        <v>6.2941763671135975</v>
      </c>
      <c r="R31" s="63">
        <f t="shared" si="111"/>
        <v>7.4392924161198692</v>
      </c>
      <c r="S31" s="63">
        <f t="shared" si="111"/>
        <v>8.7204216514873423</v>
      </c>
      <c r="T31" s="63">
        <f t="shared" ref="T31:W31" si="112">T30/T32</f>
        <v>10.153010330977605</v>
      </c>
      <c r="U31" s="63">
        <f t="shared" si="112"/>
        <v>11.754189842361509</v>
      </c>
      <c r="V31" s="63">
        <f t="shared" si="112"/>
        <v>13.542956520467722</v>
      </c>
      <c r="W31" s="63">
        <f t="shared" si="112"/>
        <v>15.540370347657889</v>
      </c>
      <c r="X31" s="19"/>
    </row>
    <row r="32" spans="1:181" x14ac:dyDescent="0.15">
      <c r="A32" s="3" t="s">
        <v>17</v>
      </c>
      <c r="B32" s="29">
        <v>32.667242000000002</v>
      </c>
      <c r="C32" s="29">
        <v>40.246662999999998</v>
      </c>
      <c r="D32" s="29">
        <f>Reports!E23</f>
        <v>111.677599</v>
      </c>
      <c r="E32" s="29">
        <f>Reports!I23</f>
        <v>115.29638</v>
      </c>
      <c r="F32" s="29">
        <f>Reports!M23</f>
        <v>124.81832199999999</v>
      </c>
      <c r="G32" s="29">
        <f>Reports!Q23</f>
        <v>129.012508</v>
      </c>
      <c r="H32" s="29">
        <f>Reports!U23</f>
        <v>123.397255</v>
      </c>
      <c r="I32" s="29">
        <f t="shared" ref="I32" si="113">H32</f>
        <v>123.397255</v>
      </c>
      <c r="J32" s="29">
        <f t="shared" ref="J32" si="114">I32</f>
        <v>123.397255</v>
      </c>
      <c r="K32" s="29">
        <f t="shared" ref="K32" si="115">J32</f>
        <v>123.397255</v>
      </c>
      <c r="L32" s="29">
        <f t="shared" ref="L32" si="116">K32</f>
        <v>123.397255</v>
      </c>
      <c r="M32" s="29">
        <f t="shared" ref="M32" si="117">L32</f>
        <v>123.397255</v>
      </c>
      <c r="N32" s="29">
        <f t="shared" ref="N32" si="118">M32</f>
        <v>123.397255</v>
      </c>
      <c r="O32" s="29">
        <f t="shared" ref="O32" si="119">N32</f>
        <v>123.397255</v>
      </c>
      <c r="P32" s="29">
        <f t="shared" ref="P32" si="120">O32</f>
        <v>123.397255</v>
      </c>
      <c r="Q32" s="29">
        <f t="shared" ref="Q32" si="121">P32</f>
        <v>123.397255</v>
      </c>
      <c r="R32" s="29">
        <f t="shared" ref="R32" si="122">Q32</f>
        <v>123.397255</v>
      </c>
      <c r="S32" s="29">
        <f t="shared" ref="S32:W32" si="123">R32</f>
        <v>123.397255</v>
      </c>
      <c r="T32" s="29">
        <f t="shared" si="123"/>
        <v>123.397255</v>
      </c>
      <c r="U32" s="29">
        <f t="shared" si="123"/>
        <v>123.397255</v>
      </c>
      <c r="V32" s="29">
        <f t="shared" si="123"/>
        <v>123.397255</v>
      </c>
      <c r="W32" s="29">
        <f t="shared" si="123"/>
        <v>123.397255</v>
      </c>
      <c r="X32" s="8"/>
    </row>
    <row r="33" spans="1:124" x14ac:dyDescent="0.1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6"/>
    </row>
    <row r="34" spans="1:124" x14ac:dyDescent="0.15">
      <c r="A34" s="3" t="s">
        <v>19</v>
      </c>
      <c r="B34" s="44">
        <f t="shared" ref="B34:C34" si="124">IFERROR(B21/B19,0)</f>
        <v>0.61783526099406494</v>
      </c>
      <c r="C34" s="44">
        <f t="shared" si="124"/>
        <v>0.62353584776395643</v>
      </c>
      <c r="D34" s="44">
        <f t="shared" ref="D34:S34" si="125">IFERROR(D21/D19,0)</f>
        <v>0.64541369438279483</v>
      </c>
      <c r="E34" s="44">
        <f t="shared" si="125"/>
        <v>0.66208451723032491</v>
      </c>
      <c r="F34" s="44">
        <f t="shared" si="125"/>
        <v>0.65779340137303299</v>
      </c>
      <c r="G34" s="44">
        <f t="shared" si="125"/>
        <v>0.68407838669022747</v>
      </c>
      <c r="H34" s="44">
        <f t="shared" si="125"/>
        <v>0.66728927120996639</v>
      </c>
      <c r="I34" s="44">
        <f t="shared" si="125"/>
        <v>0.66728927120996639</v>
      </c>
      <c r="J34" s="44">
        <f>IFERROR(J21/J19,0)</f>
        <v>0.66728927120996639</v>
      </c>
      <c r="K34" s="44">
        <f t="shared" si="125"/>
        <v>0.66728927120996639</v>
      </c>
      <c r="L34" s="44">
        <f t="shared" si="125"/>
        <v>0.66728927120996639</v>
      </c>
      <c r="M34" s="44">
        <f t="shared" si="125"/>
        <v>0.66728927120996639</v>
      </c>
      <c r="N34" s="44">
        <f t="shared" si="125"/>
        <v>0.66728927120996639</v>
      </c>
      <c r="O34" s="44">
        <f t="shared" si="125"/>
        <v>0.66728927120996639</v>
      </c>
      <c r="P34" s="44">
        <f t="shared" si="125"/>
        <v>0.66728927120996639</v>
      </c>
      <c r="Q34" s="44">
        <f t="shared" si="125"/>
        <v>0.66728927120996639</v>
      </c>
      <c r="R34" s="44">
        <f t="shared" si="125"/>
        <v>0.66728927120996639</v>
      </c>
      <c r="S34" s="44">
        <f t="shared" si="125"/>
        <v>0.66728927120996639</v>
      </c>
      <c r="T34" s="44">
        <f t="shared" ref="T34:W34" si="126">IFERROR(T21/T19,0)</f>
        <v>0.66728927120996639</v>
      </c>
      <c r="U34" s="44">
        <f t="shared" si="126"/>
        <v>0.66728927120996639</v>
      </c>
      <c r="V34" s="44">
        <f t="shared" si="126"/>
        <v>0.66728927120996639</v>
      </c>
      <c r="W34" s="44">
        <f t="shared" si="126"/>
        <v>0.66728927120996639</v>
      </c>
      <c r="X34" s="22"/>
    </row>
    <row r="35" spans="1:124" x14ac:dyDescent="0.15">
      <c r="A35" s="3" t="s">
        <v>20</v>
      </c>
      <c r="B35" s="46">
        <f t="shared" ref="B35:C35" si="127">IFERROR(B26/B19,0)</f>
        <v>5.8629681176111071E-3</v>
      </c>
      <c r="C35" s="46">
        <f t="shared" si="127"/>
        <v>-3.1959548240972337E-2</v>
      </c>
      <c r="D35" s="46">
        <f t="shared" ref="D35:S35" si="128">IFERROR(D26/D19,0)</f>
        <v>-6.88850781904144E-3</v>
      </c>
      <c r="E35" s="46">
        <f t="shared" si="128"/>
        <v>4.8160518622231745E-2</v>
      </c>
      <c r="F35" s="46">
        <f t="shared" si="128"/>
        <v>2.6921237588194206E-2</v>
      </c>
      <c r="G35" s="46">
        <f>IFERROR(G26/G19,0)</f>
        <v>0.12407527321567273</v>
      </c>
      <c r="H35" s="46">
        <f t="shared" si="128"/>
        <v>0.10653392052367346</v>
      </c>
      <c r="I35" s="46">
        <f t="shared" si="128"/>
        <v>0.11304011308938307</v>
      </c>
      <c r="J35" s="46">
        <f t="shared" si="128"/>
        <v>0.11691986454409646</v>
      </c>
      <c r="K35" s="46">
        <f t="shared" si="128"/>
        <v>0.11826284202395589</v>
      </c>
      <c r="L35" s="46">
        <f t="shared" si="128"/>
        <v>0.11714332474571777</v>
      </c>
      <c r="M35" s="46">
        <f t="shared" si="128"/>
        <v>0.11362110908647412</v>
      </c>
      <c r="N35" s="46">
        <f t="shared" si="128"/>
        <v>0.13506116381446545</v>
      </c>
      <c r="O35" s="46">
        <f t="shared" si="128"/>
        <v>0.15019019353740168</v>
      </c>
      <c r="P35" s="46">
        <f t="shared" si="128"/>
        <v>0.16423662055380406</v>
      </c>
      <c r="Q35" s="46">
        <f t="shared" si="128"/>
        <v>0.17730822266984714</v>
      </c>
      <c r="R35" s="46">
        <f t="shared" si="128"/>
        <v>0.18950120782752769</v>
      </c>
      <c r="S35" s="46">
        <f t="shared" si="128"/>
        <v>0.20090147285867166</v>
      </c>
      <c r="T35" s="46">
        <f t="shared" ref="T35:W35" si="129">IFERROR(T26/T19,0)</f>
        <v>0.21158572498237652</v>
      </c>
      <c r="U35" s="46">
        <f t="shared" si="129"/>
        <v>0.22162248101820506</v>
      </c>
      <c r="V35" s="46">
        <f t="shared" si="129"/>
        <v>0.23107295765412106</v>
      </c>
      <c r="W35" s="46">
        <f t="shared" si="129"/>
        <v>0.2399918646530175</v>
      </c>
      <c r="X35" s="21"/>
    </row>
    <row r="36" spans="1:124" x14ac:dyDescent="0.15">
      <c r="A36" s="3" t="s">
        <v>21</v>
      </c>
      <c r="B36" s="46">
        <f t="shared" ref="B36:C36" si="130">IFERROR(B29/B28,0)</f>
        <v>14.724137931040669</v>
      </c>
      <c r="C36" s="46">
        <f t="shared" si="130"/>
        <v>-0.48567251461988209</v>
      </c>
      <c r="D36" s="46">
        <f t="shared" ref="D36:S36" si="131">IFERROR(D29/D28,0)</f>
        <v>-0.93123526469957796</v>
      </c>
      <c r="E36" s="46">
        <f t="shared" si="131"/>
        <v>-9.3967315716274413</v>
      </c>
      <c r="F36" s="46">
        <f t="shared" si="131"/>
        <v>-1.5361118863770307</v>
      </c>
      <c r="G36" s="46">
        <f t="shared" si="131"/>
        <v>-0.40594435992175604</v>
      </c>
      <c r="H36" s="46">
        <f t="shared" si="131"/>
        <v>-0.19468094443956774</v>
      </c>
      <c r="I36" s="46">
        <f t="shared" si="131"/>
        <v>0.15</v>
      </c>
      <c r="J36" s="46">
        <f t="shared" si="131"/>
        <v>0.15</v>
      </c>
      <c r="K36" s="46">
        <f t="shared" si="131"/>
        <v>0.15</v>
      </c>
      <c r="L36" s="46">
        <f t="shared" si="131"/>
        <v>0.15</v>
      </c>
      <c r="M36" s="46">
        <f t="shared" si="131"/>
        <v>0.15</v>
      </c>
      <c r="N36" s="46">
        <f t="shared" si="131"/>
        <v>0.15</v>
      </c>
      <c r="O36" s="46">
        <f t="shared" si="131"/>
        <v>0.15</v>
      </c>
      <c r="P36" s="46">
        <f t="shared" si="131"/>
        <v>0.15</v>
      </c>
      <c r="Q36" s="46">
        <f t="shared" si="131"/>
        <v>0.15</v>
      </c>
      <c r="R36" s="46">
        <f t="shared" si="131"/>
        <v>0.15</v>
      </c>
      <c r="S36" s="46">
        <f t="shared" si="131"/>
        <v>0.15</v>
      </c>
      <c r="T36" s="46">
        <f t="shared" ref="T36:W36" si="132">IFERROR(T29/T28,0)</f>
        <v>0.15</v>
      </c>
      <c r="U36" s="46">
        <f t="shared" si="132"/>
        <v>0.15</v>
      </c>
      <c r="V36" s="46">
        <f t="shared" si="132"/>
        <v>0.15</v>
      </c>
      <c r="W36" s="46">
        <f t="shared" si="132"/>
        <v>0.15</v>
      </c>
      <c r="X36" s="21"/>
    </row>
    <row r="37" spans="1:124" x14ac:dyDescent="0.1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21"/>
    </row>
    <row r="38" spans="1:124" x14ac:dyDescent="0.15">
      <c r="A38" s="2" t="s">
        <v>18</v>
      </c>
      <c r="B38" s="33"/>
      <c r="C38" s="64">
        <f t="shared" ref="C38" si="133">C19/B19-1</f>
        <v>0.56445265633248565</v>
      </c>
      <c r="D38" s="64">
        <f t="shared" ref="D38" si="134">D19/C19-1</f>
        <v>0.39832098613944411</v>
      </c>
      <c r="E38" s="64">
        <f t="shared" ref="E38:W38" si="135">E19/D19-1</f>
        <v>0.33443632335036</v>
      </c>
      <c r="F38" s="64">
        <f t="shared" si="135"/>
        <v>0.20891203862266972</v>
      </c>
      <c r="G38" s="64">
        <f>G19/F19-1</f>
        <v>0.36856121646461015</v>
      </c>
      <c r="H38" s="64">
        <f t="shared" si="135"/>
        <v>0.3530332363408728</v>
      </c>
      <c r="I38" s="64">
        <f t="shared" si="135"/>
        <v>0.32249999999999979</v>
      </c>
      <c r="J38" s="64">
        <f t="shared" si="135"/>
        <v>0.32249999999999956</v>
      </c>
      <c r="K38" s="64">
        <f t="shared" si="135"/>
        <v>0.32250000000000001</v>
      </c>
      <c r="L38" s="64">
        <f t="shared" si="135"/>
        <v>0.32249999999999979</v>
      </c>
      <c r="M38" s="64">
        <f t="shared" si="135"/>
        <v>0.32249999999999956</v>
      </c>
      <c r="N38" s="64">
        <f t="shared" si="135"/>
        <v>0.10000000000000009</v>
      </c>
      <c r="O38" s="64">
        <f t="shared" si="135"/>
        <v>0.10000000000000009</v>
      </c>
      <c r="P38" s="64">
        <f t="shared" si="135"/>
        <v>0.10000000000000009</v>
      </c>
      <c r="Q38" s="64">
        <f t="shared" si="135"/>
        <v>0.10000000000000009</v>
      </c>
      <c r="R38" s="64">
        <f t="shared" si="135"/>
        <v>0.10000000000000009</v>
      </c>
      <c r="S38" s="64">
        <f t="shared" si="135"/>
        <v>0.10000000000000009</v>
      </c>
      <c r="T38" s="64">
        <f t="shared" si="135"/>
        <v>0.10000000000000009</v>
      </c>
      <c r="U38" s="64">
        <f t="shared" si="135"/>
        <v>0.10000000000000009</v>
      </c>
      <c r="V38" s="64">
        <f t="shared" si="135"/>
        <v>0.10000000000000009</v>
      </c>
      <c r="W38" s="64">
        <f t="shared" si="135"/>
        <v>0.10000000000000009</v>
      </c>
      <c r="X38" s="20"/>
    </row>
    <row r="39" spans="1:124" x14ac:dyDescent="0.15">
      <c r="A39" s="3" t="s">
        <v>58</v>
      </c>
      <c r="B39" s="26"/>
      <c r="C39" s="46">
        <f t="shared" ref="C39:C41" si="136">C22/B22-1</f>
        <v>0.32982430666473084</v>
      </c>
      <c r="D39" s="46">
        <f t="shared" ref="D39:D42" si="137">D22/C22-1</f>
        <v>0.16542010154501297</v>
      </c>
      <c r="E39" s="46">
        <f t="shared" ref="E39:W39" si="138">E22/D22-1</f>
        <v>0.29018129011102256</v>
      </c>
      <c r="F39" s="46">
        <f t="shared" si="138"/>
        <v>0.3546103153423017</v>
      </c>
      <c r="G39" s="46">
        <f t="shared" si="138"/>
        <v>0.30332636431864479</v>
      </c>
      <c r="H39" s="46">
        <f t="shared" si="138"/>
        <v>0.25143703277154517</v>
      </c>
      <c r="I39" s="46">
        <f t="shared" si="138"/>
        <v>0.25</v>
      </c>
      <c r="J39" s="46">
        <f t="shared" si="138"/>
        <v>0.25</v>
      </c>
      <c r="K39" s="46">
        <f t="shared" si="138"/>
        <v>0.25</v>
      </c>
      <c r="L39" s="46">
        <f t="shared" si="138"/>
        <v>0.25</v>
      </c>
      <c r="M39" s="46">
        <f t="shared" si="138"/>
        <v>0.25</v>
      </c>
      <c r="N39" s="46">
        <f t="shared" si="138"/>
        <v>5.0000000000000044E-2</v>
      </c>
      <c r="O39" s="46">
        <f t="shared" si="138"/>
        <v>0.10000000000000009</v>
      </c>
      <c r="P39" s="46">
        <f t="shared" si="138"/>
        <v>0.10000000000000009</v>
      </c>
      <c r="Q39" s="46">
        <f t="shared" si="138"/>
        <v>0.10000000000000009</v>
      </c>
      <c r="R39" s="46">
        <f t="shared" si="138"/>
        <v>0.10000000000000009</v>
      </c>
      <c r="S39" s="46">
        <f t="shared" si="138"/>
        <v>0.10000000000000009</v>
      </c>
      <c r="T39" s="46">
        <f t="shared" si="138"/>
        <v>0.10000000000000009</v>
      </c>
      <c r="U39" s="46">
        <f t="shared" si="138"/>
        <v>0.10000000000000009</v>
      </c>
      <c r="V39" s="46">
        <f t="shared" si="138"/>
        <v>0.10000000000000009</v>
      </c>
      <c r="W39" s="46">
        <f t="shared" si="138"/>
        <v>0.10000000000000009</v>
      </c>
      <c r="X39" s="21"/>
    </row>
    <row r="40" spans="1:124" x14ac:dyDescent="0.15">
      <c r="A40" s="3" t="s">
        <v>59</v>
      </c>
      <c r="B40" s="26"/>
      <c r="C40" s="46">
        <f t="shared" si="136"/>
        <v>1.2215686274509805</v>
      </c>
      <c r="D40" s="46">
        <f t="shared" si="137"/>
        <v>0.68379775564241574</v>
      </c>
      <c r="E40" s="46">
        <f t="shared" ref="E40:W40" si="139">E23/D23-1</f>
        <v>0.23179224513636143</v>
      </c>
      <c r="F40" s="46">
        <f t="shared" si="139"/>
        <v>0.32629364847777476</v>
      </c>
      <c r="G40" s="46">
        <f t="shared" si="139"/>
        <v>0.44853096209378007</v>
      </c>
      <c r="H40" s="46">
        <f t="shared" si="139"/>
        <v>0.36086271382734325</v>
      </c>
      <c r="I40" s="46">
        <f t="shared" si="139"/>
        <v>0.39999999999999991</v>
      </c>
      <c r="J40" s="46">
        <f t="shared" si="139"/>
        <v>0.39999999999999991</v>
      </c>
      <c r="K40" s="46">
        <f t="shared" si="139"/>
        <v>0.39999999999999991</v>
      </c>
      <c r="L40" s="46">
        <f t="shared" si="139"/>
        <v>0.39999999999999991</v>
      </c>
      <c r="M40" s="46">
        <f t="shared" si="139"/>
        <v>0.39999999999999991</v>
      </c>
      <c r="N40" s="46">
        <f t="shared" si="139"/>
        <v>8.0000000000000071E-2</v>
      </c>
      <c r="O40" s="46">
        <f t="shared" si="139"/>
        <v>8.0000000000000071E-2</v>
      </c>
      <c r="P40" s="46">
        <f t="shared" si="139"/>
        <v>8.0000000000000071E-2</v>
      </c>
      <c r="Q40" s="46">
        <f t="shared" si="139"/>
        <v>8.0000000000000071E-2</v>
      </c>
      <c r="R40" s="46">
        <f t="shared" si="139"/>
        <v>8.0000000000000071E-2</v>
      </c>
      <c r="S40" s="46">
        <f t="shared" si="139"/>
        <v>8.0000000000000071E-2</v>
      </c>
      <c r="T40" s="46">
        <f t="shared" si="139"/>
        <v>8.0000000000000071E-2</v>
      </c>
      <c r="U40" s="46">
        <f t="shared" si="139"/>
        <v>8.0000000000000071E-2</v>
      </c>
      <c r="V40" s="46">
        <f t="shared" si="139"/>
        <v>8.0000000000000071E-2</v>
      </c>
      <c r="W40" s="46">
        <f t="shared" si="139"/>
        <v>8.0000000000000071E-2</v>
      </c>
      <c r="X40" s="21"/>
    </row>
    <row r="41" spans="1:124" x14ac:dyDescent="0.15">
      <c r="A41" s="3" t="s">
        <v>60</v>
      </c>
      <c r="B41" s="26"/>
      <c r="C41" s="46">
        <f t="shared" si="136"/>
        <v>0.66880946258678331</v>
      </c>
      <c r="D41" s="46">
        <f t="shared" si="137"/>
        <v>0.32779275808936803</v>
      </c>
      <c r="E41" s="46">
        <f t="shared" ref="E41:W41" si="140">E24/D24-1</f>
        <v>0.25808323300308977</v>
      </c>
      <c r="F41" s="46">
        <f t="shared" si="140"/>
        <v>9.1282240490712763E-2</v>
      </c>
      <c r="G41" s="46">
        <f t="shared" si="140"/>
        <v>-0.12430267940157202</v>
      </c>
      <c r="H41" s="46">
        <f t="shared" si="140"/>
        <v>0.46472738679825776</v>
      </c>
      <c r="I41" s="46">
        <f t="shared" si="140"/>
        <v>0.19999999999999996</v>
      </c>
      <c r="J41" s="46">
        <f t="shared" si="140"/>
        <v>0.19999999999999996</v>
      </c>
      <c r="K41" s="46">
        <f t="shared" si="140"/>
        <v>0.19999999999999996</v>
      </c>
      <c r="L41" s="46">
        <f t="shared" si="140"/>
        <v>0.19999999999999996</v>
      </c>
      <c r="M41" s="46">
        <f t="shared" si="140"/>
        <v>0.19999999999999996</v>
      </c>
      <c r="N41" s="46">
        <f t="shared" si="140"/>
        <v>-2.0000000000000018E-2</v>
      </c>
      <c r="O41" s="46">
        <f t="shared" si="140"/>
        <v>-2.0000000000000129E-2</v>
      </c>
      <c r="P41" s="46">
        <f t="shared" si="140"/>
        <v>-1.9999999999999907E-2</v>
      </c>
      <c r="Q41" s="46">
        <f t="shared" si="140"/>
        <v>-1.9999999999999907E-2</v>
      </c>
      <c r="R41" s="46">
        <f t="shared" si="140"/>
        <v>-2.0000000000000018E-2</v>
      </c>
      <c r="S41" s="46">
        <f t="shared" si="140"/>
        <v>-2.0000000000000129E-2</v>
      </c>
      <c r="T41" s="46">
        <f t="shared" si="140"/>
        <v>-1.9999999999999907E-2</v>
      </c>
      <c r="U41" s="46">
        <f t="shared" si="140"/>
        <v>-2.0000000000000129E-2</v>
      </c>
      <c r="V41" s="46">
        <f t="shared" si="140"/>
        <v>-2.0000000000000018E-2</v>
      </c>
      <c r="W41" s="46">
        <f t="shared" si="140"/>
        <v>-2.0000000000000018E-2</v>
      </c>
      <c r="X41" s="21"/>
    </row>
    <row r="42" spans="1:124" s="5" customFormat="1" x14ac:dyDescent="0.15">
      <c r="A42" s="5" t="s">
        <v>105</v>
      </c>
      <c r="B42" s="70"/>
      <c r="C42" s="71">
        <f>C25/B25-1</f>
        <v>0.67571559273297632</v>
      </c>
      <c r="D42" s="71">
        <f t="shared" si="137"/>
        <v>0.39150917642287197</v>
      </c>
      <c r="E42" s="71">
        <f t="shared" ref="E42:W42" si="141">E25/D25-1</f>
        <v>0.25592475505033518</v>
      </c>
      <c r="F42" s="71">
        <f t="shared" si="141"/>
        <v>0.24228561737376286</v>
      </c>
      <c r="G42" s="71">
        <f t="shared" si="141"/>
        <v>0.2148238362631083</v>
      </c>
      <c r="H42" s="71">
        <f t="shared" si="141"/>
        <v>0.35485072971654197</v>
      </c>
      <c r="I42" s="71">
        <f t="shared" si="141"/>
        <v>0.30715562627691329</v>
      </c>
      <c r="J42" s="71">
        <f t="shared" si="141"/>
        <v>0.31324248246716802</v>
      </c>
      <c r="K42" s="71">
        <f t="shared" si="141"/>
        <v>0.31927291707060212</v>
      </c>
      <c r="L42" s="71">
        <f t="shared" si="141"/>
        <v>0.32519670369542109</v>
      </c>
      <c r="M42" s="71">
        <f t="shared" si="141"/>
        <v>0.33096708085243032</v>
      </c>
      <c r="N42" s="71">
        <f t="shared" si="141"/>
        <v>5.7403979830918495E-2</v>
      </c>
      <c r="O42" s="71">
        <f t="shared" si="141"/>
        <v>6.8731578689693373E-2</v>
      </c>
      <c r="P42" s="71">
        <f t="shared" si="141"/>
        <v>7.0119711318018529E-2</v>
      </c>
      <c r="Q42" s="71">
        <f t="shared" si="141"/>
        <v>7.1416983274231294E-2</v>
      </c>
      <c r="R42" s="71">
        <f t="shared" si="141"/>
        <v>7.2626933810174821E-2</v>
      </c>
      <c r="S42" s="71">
        <f t="shared" si="141"/>
        <v>7.3753443220240911E-2</v>
      </c>
      <c r="T42" s="71">
        <f t="shared" si="141"/>
        <v>7.4800632911877774E-2</v>
      </c>
      <c r="U42" s="71">
        <f t="shared" si="141"/>
        <v>7.5772776554392962E-2</v>
      </c>
      <c r="V42" s="71">
        <f t="shared" si="141"/>
        <v>7.6674222696659466E-2</v>
      </c>
      <c r="W42" s="71">
        <f t="shared" si="141"/>
        <v>7.7509328757531692E-2</v>
      </c>
      <c r="X42" s="72"/>
    </row>
    <row r="43" spans="1:124" x14ac:dyDescent="0.1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6"/>
    </row>
    <row r="44" spans="1:124" x14ac:dyDescent="0.15">
      <c r="A44" s="2" t="s">
        <v>33</v>
      </c>
      <c r="B44" s="26"/>
      <c r="C44" s="26"/>
      <c r="D44" s="31">
        <f>D45-D46</f>
        <v>298.20500000000004</v>
      </c>
      <c r="E44" s="31">
        <f>E45-E46</f>
        <v>287.42700000000002</v>
      </c>
      <c r="F44" s="31">
        <f>F45-F46</f>
        <v>345.89100000000002</v>
      </c>
      <c r="G44" s="31">
        <f>G45-G46</f>
        <v>353.14200000000005</v>
      </c>
      <c r="H44" s="31">
        <f>H45-H46</f>
        <v>121</v>
      </c>
      <c r="I44" s="37">
        <f t="shared" ref="I44:W44" si="142">H44+I30</f>
        <v>226.8739302500002</v>
      </c>
      <c r="J44" s="37">
        <f t="shared" si="142"/>
        <v>372.74100177612519</v>
      </c>
      <c r="K44" s="37">
        <f t="shared" si="142"/>
        <v>569.04333398808637</v>
      </c>
      <c r="L44" s="37">
        <f t="shared" si="142"/>
        <v>827.56852769191119</v>
      </c>
      <c r="M44" s="37">
        <f t="shared" si="142"/>
        <v>1160.8478238022703</v>
      </c>
      <c r="N44" s="37">
        <f t="shared" si="142"/>
        <v>1597.9717136332351</v>
      </c>
      <c r="O44" s="37">
        <f t="shared" si="142"/>
        <v>2135.6954494130441</v>
      </c>
      <c r="P44" s="37">
        <f t="shared" si="142"/>
        <v>2786.1408488510715</v>
      </c>
      <c r="Q44" s="37">
        <f t="shared" si="142"/>
        <v>3562.8249350387619</v>
      </c>
      <c r="R44" s="37">
        <f t="shared" si="142"/>
        <v>4480.8131983302719</v>
      </c>
      <c r="S44" s="37">
        <f t="shared" si="142"/>
        <v>5556.8892925663768</v>
      </c>
      <c r="T44" s="37">
        <f t="shared" si="142"/>
        <v>6809.7428973956548</v>
      </c>
      <c r="U44" s="37">
        <f t="shared" si="142"/>
        <v>8260.1776586919477</v>
      </c>
      <c r="V44" s="37">
        <f t="shared" si="142"/>
        <v>9931.3413179020154</v>
      </c>
      <c r="W44" s="37">
        <f t="shared" si="142"/>
        <v>11848.980360486396</v>
      </c>
      <c r="X44" s="18"/>
    </row>
    <row r="45" spans="1:124" x14ac:dyDescent="0.15">
      <c r="A45" s="3" t="s">
        <v>34</v>
      </c>
      <c r="B45" s="26"/>
      <c r="C45" s="26"/>
      <c r="D45" s="36">
        <f>Reports!E35</f>
        <v>298.20500000000004</v>
      </c>
      <c r="E45" s="36">
        <f>Reports!I35</f>
        <v>287.42700000000002</v>
      </c>
      <c r="F45" s="36">
        <f>Reports!M35</f>
        <v>345.89100000000002</v>
      </c>
      <c r="G45" s="36">
        <f>Reports!Q35</f>
        <v>629.62800000000004</v>
      </c>
      <c r="H45" s="36">
        <f>Reports!U35</f>
        <v>906</v>
      </c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8"/>
    </row>
    <row r="46" spans="1:124" x14ac:dyDescent="0.15">
      <c r="A46" s="3" t="s">
        <v>35</v>
      </c>
      <c r="B46" s="26"/>
      <c r="C46" s="26"/>
      <c r="D46" s="36">
        <f>Reports!E36</f>
        <v>0</v>
      </c>
      <c r="E46" s="36">
        <f>Reports!I36</f>
        <v>0</v>
      </c>
      <c r="F46" s="36">
        <f>Reports!M36</f>
        <v>0</v>
      </c>
      <c r="G46" s="36">
        <f>Reports!Q36</f>
        <v>276.48599999999999</v>
      </c>
      <c r="H46" s="36">
        <f>Reports!U36</f>
        <v>785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8"/>
    </row>
    <row r="47" spans="1:124" x14ac:dyDescent="0.15">
      <c r="B47" s="26"/>
      <c r="C47" s="2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23"/>
    </row>
    <row r="48" spans="1:124" x14ac:dyDescent="0.15">
      <c r="A48" s="3" t="s">
        <v>73</v>
      </c>
      <c r="B48" s="26"/>
      <c r="C48" s="26"/>
      <c r="D48" s="66">
        <f>Reports!E38</f>
        <v>30.622999999999998</v>
      </c>
      <c r="E48" s="66">
        <f>Reports!I38</f>
        <v>43.163999999999994</v>
      </c>
      <c r="F48" s="66">
        <f>Reports!M38</f>
        <v>42.640999999999998</v>
      </c>
      <c r="G48" s="36">
        <f>Reports!Q38</f>
        <v>72.070999999999998</v>
      </c>
      <c r="H48" s="36">
        <f>Reports!U38</f>
        <v>338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1:124" x14ac:dyDescent="0.15">
      <c r="A49" s="3" t="s">
        <v>74</v>
      </c>
      <c r="B49" s="26"/>
      <c r="C49" s="26"/>
      <c r="D49" s="66">
        <f>Reports!E39</f>
        <v>553.06100000000004</v>
      </c>
      <c r="E49" s="66">
        <f>Reports!I39</f>
        <v>581.19299999999998</v>
      </c>
      <c r="F49" s="66">
        <f>Reports!M39</f>
        <v>605.58299999999997</v>
      </c>
      <c r="G49" s="36">
        <f>Reports!Q39</f>
        <v>901.851</v>
      </c>
      <c r="H49" s="36">
        <f>Reports!U39</f>
        <v>1542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1:124" x14ac:dyDescent="0.15">
      <c r="A50" s="3" t="s">
        <v>75</v>
      </c>
      <c r="B50" s="26"/>
      <c r="C50" s="26"/>
      <c r="D50" s="66">
        <f>Reports!E40</f>
        <v>222.56299999999999</v>
      </c>
      <c r="E50" s="66">
        <f>Reports!I40</f>
        <v>236.43600000000001</v>
      </c>
      <c r="F50" s="66">
        <f>Reports!M40</f>
        <v>208.68899999999999</v>
      </c>
      <c r="G50" s="36">
        <f>Reports!Q40</f>
        <v>500.95299999999997</v>
      </c>
      <c r="H50" s="36">
        <f>Reports!U40</f>
        <v>1136</v>
      </c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1:124" x14ac:dyDescent="0.15">
      <c r="B51" s="26"/>
      <c r="C51" s="26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 spans="1:124" x14ac:dyDescent="0.15">
      <c r="A52" s="3" t="s">
        <v>76</v>
      </c>
      <c r="B52" s="26"/>
      <c r="C52" s="26"/>
      <c r="D52" s="67">
        <f>D49-D48-D45</f>
        <v>224.23299999999995</v>
      </c>
      <c r="E52" s="67">
        <f>E49-E48-E45</f>
        <v>250.60199999999998</v>
      </c>
      <c r="F52" s="67">
        <f>F49-F48-F45</f>
        <v>217.05099999999999</v>
      </c>
      <c r="G52" s="67">
        <f>G49-G48-G45</f>
        <v>200.15199999999993</v>
      </c>
      <c r="H52" s="67">
        <f>H49-H48-H45</f>
        <v>298</v>
      </c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1:124" x14ac:dyDescent="0.15">
      <c r="A53" s="3" t="s">
        <v>77</v>
      </c>
      <c r="B53" s="26"/>
      <c r="C53" s="26"/>
      <c r="D53" s="67">
        <f>D49-D50</f>
        <v>330.49800000000005</v>
      </c>
      <c r="E53" s="67">
        <f>E49-E50</f>
        <v>344.75699999999995</v>
      </c>
      <c r="F53" s="67">
        <f>F49-F50</f>
        <v>396.89400000000001</v>
      </c>
      <c r="G53" s="67">
        <f>G49-G50</f>
        <v>400.89800000000002</v>
      </c>
      <c r="H53" s="67">
        <f>H49-H50</f>
        <v>406</v>
      </c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1:124" x14ac:dyDescent="0.15">
      <c r="B54" s="26"/>
      <c r="C54" s="26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1:124" x14ac:dyDescent="0.15">
      <c r="A55" s="24" t="s">
        <v>79</v>
      </c>
      <c r="B55" s="26"/>
      <c r="C55" s="26"/>
      <c r="D55" s="26"/>
      <c r="E55" s="26"/>
      <c r="F55" s="68">
        <f>F30/F53</f>
        <v>0.20605501720862479</v>
      </c>
      <c r="G55" s="68">
        <f>G30/G53</f>
        <v>0.19362780557648082</v>
      </c>
      <c r="H55" s="68">
        <f>H30/H53</f>
        <v>0.23467241379310388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 spans="1:124" x14ac:dyDescent="0.15">
      <c r="A56" s="24" t="s">
        <v>80</v>
      </c>
      <c r="B56" s="26"/>
      <c r="C56" s="26"/>
      <c r="D56" s="26"/>
      <c r="E56" s="26"/>
      <c r="F56" s="68">
        <f>F30/F49</f>
        <v>0.13504672357050962</v>
      </c>
      <c r="G56" s="68">
        <f>G30/G49</f>
        <v>8.6072976578170909E-2</v>
      </c>
      <c r="H56" s="68">
        <f>H30/H49</f>
        <v>6.1787937743190774E-2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 spans="1:124" x14ac:dyDescent="0.15">
      <c r="A57" s="24" t="s">
        <v>81</v>
      </c>
      <c r="B57" s="26"/>
      <c r="C57" s="26"/>
      <c r="D57" s="26"/>
      <c r="E57" s="26"/>
      <c r="F57" s="68">
        <f>F30/(F53-F48)</f>
        <v>0.23085760741616848</v>
      </c>
      <c r="G57" s="68">
        <f>G30/(G53-G48)</f>
        <v>0.23606638141028569</v>
      </c>
      <c r="H57" s="68">
        <f>H30/(H53-H48)</f>
        <v>1.401132352941179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1:124" x14ac:dyDescent="0.15">
      <c r="A58" s="24" t="s">
        <v>82</v>
      </c>
      <c r="B58" s="26"/>
      <c r="C58" s="26"/>
      <c r="D58" s="26"/>
      <c r="E58" s="26"/>
      <c r="F58" s="68">
        <f>F30/F52</f>
        <v>0.37678702240487227</v>
      </c>
      <c r="G58" s="68">
        <f>G30/G52</f>
        <v>0.38783024901075203</v>
      </c>
      <c r="H58" s="68">
        <f>H30/H52</f>
        <v>0.31972147651006771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 spans="1:124" x14ac:dyDescent="0.15"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124" x14ac:dyDescent="0.15">
      <c r="A60" s="3" t="s">
        <v>94</v>
      </c>
      <c r="B60" s="49"/>
      <c r="C60" s="49"/>
      <c r="D60" s="49"/>
      <c r="E60" s="68">
        <f>E12/D12-1</f>
        <v>0.19266027380736994</v>
      </c>
      <c r="F60" s="68">
        <f t="shared" ref="F60:H60" si="143">F12/E12-1</f>
        <v>0.7576420318070336</v>
      </c>
      <c r="G60" s="68">
        <f t="shared" si="143"/>
        <v>0.58501938388727881</v>
      </c>
      <c r="H60" s="68">
        <f t="shared" si="143"/>
        <v>0.34013477333575359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1:124" x14ac:dyDescent="0.15">
      <c r="A61" s="3" t="s">
        <v>95</v>
      </c>
      <c r="B61" s="49"/>
      <c r="C61" s="49"/>
      <c r="D61" s="49"/>
      <c r="E61" s="68">
        <f t="shared" ref="E61:H61" si="144">E13/D13-1</f>
        <v>0.47031652611852892</v>
      </c>
      <c r="F61" s="68">
        <f t="shared" si="144"/>
        <v>-0.20401579232986644</v>
      </c>
      <c r="G61" s="68">
        <f t="shared" si="144"/>
        <v>-5.948248362824482E-3</v>
      </c>
      <c r="H61" s="68">
        <f t="shared" si="144"/>
        <v>0.42421096345514941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1:124" x14ac:dyDescent="0.15">
      <c r="A62" s="3" t="s">
        <v>96</v>
      </c>
      <c r="B62" s="49"/>
      <c r="C62" s="49"/>
      <c r="D62" s="49"/>
      <c r="E62" s="68">
        <f t="shared" ref="E62:G62" si="145">E14/D14-1</f>
        <v>0.39193966533113378</v>
      </c>
      <c r="F62" s="68">
        <f t="shared" si="145"/>
        <v>-0.4466644090755163</v>
      </c>
      <c r="G62" s="68">
        <f t="shared" si="145"/>
        <v>0.27264381884944933</v>
      </c>
      <c r="H62" s="68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124" x14ac:dyDescent="0.15"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1:124" x14ac:dyDescent="0.15">
      <c r="A64" s="3" t="s">
        <v>98</v>
      </c>
      <c r="B64" s="49"/>
      <c r="C64" s="68">
        <f>C16/B16-1</f>
        <v>0.41177309007981755</v>
      </c>
      <c r="D64" s="68">
        <f t="shared" ref="D64:M64" si="146">D16/C16-1</f>
        <v>0.21383139828369524</v>
      </c>
      <c r="E64" s="68">
        <f t="shared" si="146"/>
        <v>0.18797305165100231</v>
      </c>
      <c r="F64" s="68">
        <f t="shared" si="146"/>
        <v>0.16796191276342509</v>
      </c>
      <c r="G64" s="68">
        <f t="shared" si="146"/>
        <v>0.18232226351756409</v>
      </c>
      <c r="H64" s="68">
        <f t="shared" si="146"/>
        <v>0.17501964661444469</v>
      </c>
      <c r="I64" s="68">
        <f t="shared" si="146"/>
        <v>0.14999999999999991</v>
      </c>
      <c r="J64" s="68">
        <f t="shared" si="146"/>
        <v>0.14999999999999991</v>
      </c>
      <c r="K64" s="68">
        <f t="shared" si="146"/>
        <v>0.14999999999999991</v>
      </c>
      <c r="L64" s="68">
        <f t="shared" si="146"/>
        <v>0.14999999999999991</v>
      </c>
      <c r="M64" s="68">
        <f t="shared" si="146"/>
        <v>0.14999999999999991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3" x14ac:dyDescent="0.15">
      <c r="A65" s="3" t="s">
        <v>85</v>
      </c>
      <c r="B65" s="49"/>
      <c r="C65" s="68">
        <f t="shared" ref="C65:M65" si="147">C17/B17-1</f>
        <v>0.10814738382924993</v>
      </c>
      <c r="D65" s="68">
        <f t="shared" si="147"/>
        <v>0.15198946749656428</v>
      </c>
      <c r="E65" s="68">
        <f t="shared" si="147"/>
        <v>0.12328837888688482</v>
      </c>
      <c r="F65" s="68">
        <f t="shared" si="147"/>
        <v>3.5061182570890415E-2</v>
      </c>
      <c r="G65" s="68">
        <f>G17/F17-1</f>
        <v>0.15751961939121473</v>
      </c>
      <c r="H65" s="68">
        <f t="shared" si="147"/>
        <v>0.15149839429437151</v>
      </c>
      <c r="I65" s="68">
        <f t="shared" si="147"/>
        <v>0.14999999999999991</v>
      </c>
      <c r="J65" s="68">
        <f t="shared" si="147"/>
        <v>0.14999999999999991</v>
      </c>
      <c r="K65" s="68">
        <f t="shared" si="147"/>
        <v>0.14999999999999991</v>
      </c>
      <c r="L65" s="68">
        <f t="shared" si="147"/>
        <v>0.14999999999999991</v>
      </c>
      <c r="M65" s="68">
        <f t="shared" si="147"/>
        <v>0.14999999999999991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S18" sqref="S18"/>
    </sheetView>
  </sheetViews>
  <sheetFormatPr baseColWidth="10" defaultRowHeight="13" x14ac:dyDescent="0.15"/>
  <cols>
    <col min="1" max="1" width="17.5" style="6" bestFit="1" customWidth="1"/>
    <col min="2" max="5" width="10.83203125" style="26" customWidth="1"/>
    <col min="6" max="6" width="10.83203125" style="27" customWidth="1"/>
    <col min="7" max="8" width="10.83203125" style="26" customWidth="1"/>
    <col min="9" max="9" width="10.83203125" style="26"/>
    <col min="10" max="10" width="10.83203125" style="27"/>
    <col min="11" max="13" width="10.83203125" style="26"/>
    <col min="14" max="14" width="10.83203125" style="27"/>
    <col min="15" max="17" width="10.83203125" style="26"/>
    <col min="18" max="18" width="10.83203125" style="27"/>
    <col min="19" max="21" width="10.83203125" style="26"/>
    <col min="22" max="22" width="10.83203125" style="51"/>
    <col min="23" max="16384" width="10.83203125" style="6"/>
  </cols>
  <sheetData>
    <row r="1" spans="1:22" x14ac:dyDescent="0.15">
      <c r="A1" s="1" t="s">
        <v>61</v>
      </c>
      <c r="B1" s="26" t="s">
        <v>50</v>
      </c>
      <c r="C1" s="26" t="s">
        <v>51</v>
      </c>
      <c r="D1" s="26" t="s">
        <v>52</v>
      </c>
      <c r="E1" s="26" t="s">
        <v>53</v>
      </c>
      <c r="F1" s="27" t="s">
        <v>22</v>
      </c>
      <c r="G1" s="26" t="s">
        <v>23</v>
      </c>
      <c r="H1" s="26" t="s">
        <v>24</v>
      </c>
      <c r="I1" s="26" t="s">
        <v>25</v>
      </c>
      <c r="J1" s="28" t="s">
        <v>0</v>
      </c>
      <c r="K1" s="29" t="s">
        <v>1</v>
      </c>
      <c r="L1" s="29" t="s">
        <v>2</v>
      </c>
      <c r="M1" s="29" t="s">
        <v>3</v>
      </c>
      <c r="N1" s="28" t="s">
        <v>42</v>
      </c>
      <c r="O1" s="29" t="s">
        <v>43</v>
      </c>
      <c r="P1" s="29" t="s">
        <v>44</v>
      </c>
      <c r="Q1" s="29" t="s">
        <v>45</v>
      </c>
      <c r="R1" s="28" t="s">
        <v>68</v>
      </c>
      <c r="S1" s="29" t="s">
        <v>69</v>
      </c>
      <c r="T1" s="29" t="s">
        <v>70</v>
      </c>
      <c r="U1" s="29" t="s">
        <v>71</v>
      </c>
      <c r="V1" s="28" t="s">
        <v>107</v>
      </c>
    </row>
    <row r="2" spans="1:22" s="26" customFormat="1" x14ac:dyDescent="0.15">
      <c r="A2" s="1"/>
      <c r="B2" s="26" t="s">
        <v>54</v>
      </c>
      <c r="C2" s="26" t="s">
        <v>55</v>
      </c>
      <c r="D2" s="26" t="s">
        <v>56</v>
      </c>
      <c r="E2" s="26" t="s">
        <v>57</v>
      </c>
      <c r="F2" s="27" t="s">
        <v>29</v>
      </c>
      <c r="G2" s="26" t="s">
        <v>28</v>
      </c>
      <c r="H2" s="26" t="s">
        <v>27</v>
      </c>
      <c r="I2" s="26" t="s">
        <v>32</v>
      </c>
      <c r="J2" s="27" t="s">
        <v>31</v>
      </c>
      <c r="K2" s="26" t="s">
        <v>30</v>
      </c>
      <c r="L2" s="26" t="s">
        <v>26</v>
      </c>
      <c r="M2" s="26" t="s">
        <v>36</v>
      </c>
      <c r="N2" s="27" t="s">
        <v>46</v>
      </c>
      <c r="O2" s="26" t="s">
        <v>47</v>
      </c>
      <c r="P2" s="26" t="s">
        <v>48</v>
      </c>
      <c r="Q2" s="26" t="s">
        <v>49</v>
      </c>
      <c r="R2" s="27" t="s">
        <v>99</v>
      </c>
      <c r="S2" s="26" t="s">
        <v>100</v>
      </c>
      <c r="T2" s="26" t="s">
        <v>101</v>
      </c>
      <c r="U2" s="26" t="s">
        <v>102</v>
      </c>
      <c r="V2" s="27" t="s">
        <v>106</v>
      </c>
    </row>
    <row r="3" spans="1:22" x14ac:dyDescent="0.15">
      <c r="A3" s="3" t="s">
        <v>92</v>
      </c>
      <c r="B3" s="29">
        <v>30.151</v>
      </c>
      <c r="C3" s="29">
        <v>30.469000000000001</v>
      </c>
      <c r="D3" s="29">
        <v>32.231999999999999</v>
      </c>
      <c r="E3" s="29">
        <v>39.795999999999999</v>
      </c>
      <c r="F3" s="28">
        <v>35.729999999999997</v>
      </c>
      <c r="G3" s="29">
        <v>37.405000000000001</v>
      </c>
      <c r="H3" s="29">
        <v>38.133000000000003</v>
      </c>
      <c r="I3" s="29">
        <v>46.936</v>
      </c>
      <c r="J3" s="28">
        <v>70.561999999999998</v>
      </c>
      <c r="K3" s="29">
        <v>75.444999999999993</v>
      </c>
      <c r="L3" s="29">
        <v>77.808000000000007</v>
      </c>
      <c r="M3" s="29">
        <v>54.250999999999998</v>
      </c>
      <c r="N3" s="28">
        <v>87.966999999999999</v>
      </c>
      <c r="O3" s="29">
        <v>91.305999999999997</v>
      </c>
      <c r="P3" s="29">
        <v>110.92700000000001</v>
      </c>
      <c r="Q3" s="29">
        <v>150.54</v>
      </c>
      <c r="R3" s="28">
        <v>126</v>
      </c>
      <c r="S3" s="29">
        <v>134</v>
      </c>
      <c r="T3" s="29">
        <v>141</v>
      </c>
      <c r="U3" s="29">
        <v>189.65100000000001</v>
      </c>
      <c r="V3" s="28">
        <v>155.92099999999999</v>
      </c>
    </row>
    <row r="4" spans="1:22" x14ac:dyDescent="0.15">
      <c r="A4" s="3" t="s">
        <v>93</v>
      </c>
      <c r="B4" s="29">
        <v>27.279</v>
      </c>
      <c r="C4" s="29">
        <v>29.77</v>
      </c>
      <c r="D4" s="29">
        <v>32.329000000000001</v>
      </c>
      <c r="E4" s="29">
        <v>47.23</v>
      </c>
      <c r="F4" s="28">
        <v>43.533000000000001</v>
      </c>
      <c r="G4" s="29">
        <v>47.069000000000003</v>
      </c>
      <c r="H4" s="29">
        <v>48.511000000000003</v>
      </c>
      <c r="I4" s="29">
        <v>61.744</v>
      </c>
      <c r="J4" s="28">
        <v>24.143999999999998</v>
      </c>
      <c r="K4" s="29">
        <v>25.44</v>
      </c>
      <c r="L4" s="29">
        <v>27.975999999999999</v>
      </c>
      <c r="M4" s="29">
        <v>82.319000000000003</v>
      </c>
      <c r="N4" s="28">
        <v>32.604999999999997</v>
      </c>
      <c r="O4" s="29">
        <v>39.506999999999998</v>
      </c>
      <c r="P4" s="29">
        <v>38.194000000000003</v>
      </c>
      <c r="Q4" s="29">
        <v>48.622</v>
      </c>
      <c r="R4" s="28">
        <v>42</v>
      </c>
      <c r="S4" s="29">
        <f>46+1</f>
        <v>47</v>
      </c>
      <c r="T4" s="29">
        <f>56+1</f>
        <v>57</v>
      </c>
      <c r="U4" s="29">
        <v>80.346999999999994</v>
      </c>
      <c r="V4" s="28">
        <v>72.134</v>
      </c>
    </row>
    <row r="5" spans="1:22" x14ac:dyDescent="0.15">
      <c r="A5" s="3" t="s">
        <v>72</v>
      </c>
      <c r="B5" s="29">
        <v>1.113</v>
      </c>
      <c r="C5" s="29">
        <v>1.1259999999999999</v>
      </c>
      <c r="D5" s="29">
        <v>1.135</v>
      </c>
      <c r="E5" s="29">
        <v>0.86899999999999999</v>
      </c>
      <c r="F5" s="28">
        <v>2.5840000000000001</v>
      </c>
      <c r="G5" s="29">
        <v>0.875</v>
      </c>
      <c r="H5" s="29">
        <v>0.91800000000000004</v>
      </c>
      <c r="I5" s="29">
        <v>1.5289999999999999</v>
      </c>
      <c r="J5" s="28">
        <v>2.1850000000000001</v>
      </c>
      <c r="K5" s="29">
        <v>0.80700000000000005</v>
      </c>
      <c r="L5" s="29">
        <v>0.59599999999999997</v>
      </c>
      <c r="M5" s="29">
        <v>-0.32</v>
      </c>
      <c r="N5" s="28">
        <v>0.34</v>
      </c>
      <c r="O5" s="29">
        <v>1.5740000000000001</v>
      </c>
      <c r="P5" s="29">
        <v>1.2450000000000001</v>
      </c>
      <c r="Q5" s="29">
        <v>1</v>
      </c>
      <c r="R5" s="28"/>
      <c r="S5" s="29"/>
      <c r="T5" s="29"/>
      <c r="U5" s="29"/>
      <c r="V5" s="28"/>
    </row>
    <row r="6" spans="1:22" x14ac:dyDescent="0.15">
      <c r="A6" s="3"/>
      <c r="B6" s="29"/>
      <c r="C6" s="29"/>
      <c r="D6" s="29"/>
      <c r="E6" s="29"/>
      <c r="F6" s="28"/>
      <c r="G6" s="29"/>
      <c r="H6" s="29"/>
      <c r="I6" s="29"/>
      <c r="J6" s="28"/>
      <c r="K6" s="29"/>
      <c r="L6" s="29"/>
      <c r="M6" s="29"/>
      <c r="N6" s="28"/>
      <c r="O6" s="29"/>
      <c r="P6" s="29"/>
      <c r="Q6" s="29"/>
      <c r="R6" s="28"/>
      <c r="S6" s="29"/>
      <c r="T6" s="29"/>
      <c r="U6" s="29"/>
      <c r="V6" s="28"/>
    </row>
    <row r="7" spans="1:22" s="55" customFormat="1" x14ac:dyDescent="0.15">
      <c r="A7" s="53" t="s">
        <v>97</v>
      </c>
      <c r="B7" s="52">
        <v>20.837</v>
      </c>
      <c r="C7" s="52">
        <v>21.696999999999999</v>
      </c>
      <c r="D7" s="52">
        <v>22.603000000000002</v>
      </c>
      <c r="E7" s="52">
        <v>24.045999999999999</v>
      </c>
      <c r="F7" s="54">
        <v>25.027000000000001</v>
      </c>
      <c r="G7" s="52">
        <v>26.103999999999999</v>
      </c>
      <c r="H7" s="52">
        <v>27.14</v>
      </c>
      <c r="I7" s="52">
        <v>28.565999999999999</v>
      </c>
      <c r="J7" s="54">
        <v>29.669</v>
      </c>
      <c r="K7" s="52">
        <v>30.584</v>
      </c>
      <c r="L7" s="52">
        <v>31.68</v>
      </c>
      <c r="M7" s="52">
        <v>33.363999999999997</v>
      </c>
      <c r="N7" s="54">
        <v>34.692999999999998</v>
      </c>
      <c r="O7" s="52">
        <v>35.83</v>
      </c>
      <c r="P7" s="52">
        <v>37.134</v>
      </c>
      <c r="Q7" s="52">
        <v>39.447000000000003</v>
      </c>
      <c r="R7" s="54">
        <v>41</v>
      </c>
      <c r="S7" s="52">
        <v>42.7</v>
      </c>
      <c r="T7" s="52">
        <v>44.8</v>
      </c>
      <c r="U7" s="52">
        <v>46.350999999999999</v>
      </c>
      <c r="V7" s="54">
        <v>47.747999999999998</v>
      </c>
    </row>
    <row r="8" spans="1:22" s="4" customFormat="1" x14ac:dyDescent="0.15">
      <c r="A8" s="56" t="s">
        <v>84</v>
      </c>
      <c r="B8" s="57">
        <f t="shared" ref="B8:Q8" si="0">SUM(B3:B5)/B7</f>
        <v>2.8095695157652254</v>
      </c>
      <c r="C8" s="57">
        <f t="shared" si="0"/>
        <v>2.828271189565378</v>
      </c>
      <c r="D8" s="57">
        <f t="shared" si="0"/>
        <v>2.9065168340485781</v>
      </c>
      <c r="E8" s="57">
        <f t="shared" si="0"/>
        <v>3.655285702403726</v>
      </c>
      <c r="F8" s="58">
        <f t="shared" si="0"/>
        <v>3.2703480241339355</v>
      </c>
      <c r="G8" s="57">
        <f t="shared" si="0"/>
        <v>3.2695755439779348</v>
      </c>
      <c r="H8" s="57">
        <f t="shared" si="0"/>
        <v>3.2263080324244662</v>
      </c>
      <c r="I8" s="57">
        <f t="shared" si="0"/>
        <v>3.8580480291255341</v>
      </c>
      <c r="J8" s="58">
        <f t="shared" si="0"/>
        <v>3.2657319087262797</v>
      </c>
      <c r="K8" s="57">
        <f t="shared" si="0"/>
        <v>3.325006539366989</v>
      </c>
      <c r="L8" s="57">
        <f t="shared" si="0"/>
        <v>3.3579545454545459</v>
      </c>
      <c r="M8" s="57">
        <f t="shared" si="0"/>
        <v>4.0837429564800383</v>
      </c>
      <c r="N8" s="58">
        <f t="shared" si="0"/>
        <v>3.4851987432623299</v>
      </c>
      <c r="O8" s="57">
        <f t="shared" si="0"/>
        <v>3.6948646385710302</v>
      </c>
      <c r="P8" s="57">
        <f t="shared" si="0"/>
        <v>4.0492809823881082</v>
      </c>
      <c r="Q8" s="57">
        <f t="shared" si="0"/>
        <v>5.0742008264253293</v>
      </c>
      <c r="R8" s="58">
        <f t="shared" ref="R8:T8" si="1">SUM(R3:R5)/R7</f>
        <v>4.0975609756097562</v>
      </c>
      <c r="S8" s="57">
        <f t="shared" si="1"/>
        <v>4.2388758782201403</v>
      </c>
      <c r="T8" s="57">
        <f t="shared" si="1"/>
        <v>4.4196428571428577</v>
      </c>
      <c r="U8" s="57">
        <f>SUM(U3:U5)/U7</f>
        <v>5.8250738926883994</v>
      </c>
      <c r="V8" s="58">
        <f t="shared" ref="V8" si="2">SUM(V3:V5)/V7</f>
        <v>4.7762209935494688</v>
      </c>
    </row>
    <row r="9" spans="1:22" x14ac:dyDescent="0.15">
      <c r="B9" s="29"/>
      <c r="F9" s="28"/>
      <c r="I9" s="29"/>
      <c r="V9" s="27"/>
    </row>
    <row r="10" spans="1:22" s="11" customFormat="1" x14ac:dyDescent="0.15">
      <c r="A10" s="11" t="s">
        <v>4</v>
      </c>
      <c r="B10" s="31">
        <f t="shared" ref="B10:Q10" si="3">SUM(B3:B5)</f>
        <v>58.542999999999999</v>
      </c>
      <c r="C10" s="31">
        <f t="shared" si="3"/>
        <v>61.365000000000002</v>
      </c>
      <c r="D10" s="31">
        <f t="shared" si="3"/>
        <v>65.696000000000012</v>
      </c>
      <c r="E10" s="31">
        <f t="shared" si="3"/>
        <v>87.894999999999996</v>
      </c>
      <c r="F10" s="32">
        <f t="shared" si="3"/>
        <v>81.847000000000008</v>
      </c>
      <c r="G10" s="31">
        <f t="shared" si="3"/>
        <v>85.349000000000004</v>
      </c>
      <c r="H10" s="31">
        <f t="shared" si="3"/>
        <v>87.562000000000012</v>
      </c>
      <c r="I10" s="31">
        <f t="shared" si="3"/>
        <v>110.209</v>
      </c>
      <c r="J10" s="32">
        <f t="shared" si="3"/>
        <v>96.890999999999991</v>
      </c>
      <c r="K10" s="31">
        <f t="shared" si="3"/>
        <v>101.69199999999999</v>
      </c>
      <c r="L10" s="31">
        <f t="shared" si="3"/>
        <v>106.38000000000001</v>
      </c>
      <c r="M10" s="31">
        <f t="shared" si="3"/>
        <v>136.25</v>
      </c>
      <c r="N10" s="32">
        <f t="shared" si="3"/>
        <v>120.91200000000001</v>
      </c>
      <c r="O10" s="31">
        <f t="shared" si="3"/>
        <v>132.387</v>
      </c>
      <c r="P10" s="31">
        <f>SUM(P3:P5)</f>
        <v>150.36600000000001</v>
      </c>
      <c r="Q10" s="31">
        <f t="shared" si="3"/>
        <v>200.16199999999998</v>
      </c>
      <c r="R10" s="32">
        <f>SUM(R3:R5)</f>
        <v>168</v>
      </c>
      <c r="S10" s="31">
        <f t="shared" ref="S10:T10" si="4">SUM(S3:S5)</f>
        <v>181</v>
      </c>
      <c r="T10" s="31">
        <f t="shared" si="4"/>
        <v>198</v>
      </c>
      <c r="U10" s="31">
        <f>SUM(U3:U5)</f>
        <v>269.99799999999999</v>
      </c>
      <c r="V10" s="32">
        <f>SUM(V3:V5)</f>
        <v>228.05500000000001</v>
      </c>
    </row>
    <row r="11" spans="1:22" x14ac:dyDescent="0.15">
      <c r="A11" s="6" t="s">
        <v>5</v>
      </c>
      <c r="B11" s="29">
        <v>20.709</v>
      </c>
      <c r="C11" s="29">
        <v>21.908999999999999</v>
      </c>
      <c r="D11" s="29">
        <v>24.164999999999999</v>
      </c>
      <c r="E11" s="29">
        <v>30.196000000000002</v>
      </c>
      <c r="F11" s="28">
        <v>27.911000000000001</v>
      </c>
      <c r="G11" s="29">
        <v>29.097999999999999</v>
      </c>
      <c r="H11" s="29">
        <v>29.314</v>
      </c>
      <c r="I11" s="29">
        <v>37.005000000000003</v>
      </c>
      <c r="J11" s="28">
        <v>34.658999999999999</v>
      </c>
      <c r="K11" s="29">
        <v>35.723999999999997</v>
      </c>
      <c r="L11" s="29">
        <v>36.383000000000003</v>
      </c>
      <c r="M11" s="29">
        <v>44.22</v>
      </c>
      <c r="N11" s="28">
        <v>41.295000000000002</v>
      </c>
      <c r="O11" s="29">
        <v>45.408999999999999</v>
      </c>
      <c r="P11" s="29">
        <v>46.947000000000003</v>
      </c>
      <c r="Q11" s="29">
        <v>57.110999999999997</v>
      </c>
      <c r="R11" s="28">
        <v>53</v>
      </c>
      <c r="S11" s="29">
        <v>59</v>
      </c>
      <c r="T11" s="29">
        <v>69</v>
      </c>
      <c r="U11" s="29">
        <v>90.823999999999998</v>
      </c>
      <c r="V11" s="28">
        <v>82</v>
      </c>
    </row>
    <row r="12" spans="1:22" x14ac:dyDescent="0.15">
      <c r="A12" s="6" t="s">
        <v>6</v>
      </c>
      <c r="B12" s="34">
        <f>B10-B11</f>
        <v>37.834000000000003</v>
      </c>
      <c r="C12" s="34">
        <f>C10-C11</f>
        <v>39.456000000000003</v>
      </c>
      <c r="D12" s="34">
        <f>D10-D11</f>
        <v>41.531000000000013</v>
      </c>
      <c r="E12" s="34">
        <f>E10-E11</f>
        <v>57.698999999999998</v>
      </c>
      <c r="F12" s="35">
        <f>F10-F11</f>
        <v>53.936000000000007</v>
      </c>
      <c r="G12" s="34">
        <f t="shared" ref="G12:L12" si="5">G10-G11</f>
        <v>56.251000000000005</v>
      </c>
      <c r="H12" s="34">
        <f t="shared" si="5"/>
        <v>58.248000000000012</v>
      </c>
      <c r="I12" s="34">
        <f t="shared" si="5"/>
        <v>73.204000000000008</v>
      </c>
      <c r="J12" s="35">
        <f t="shared" si="5"/>
        <v>62.231999999999992</v>
      </c>
      <c r="K12" s="34">
        <f t="shared" si="5"/>
        <v>65.967999999999989</v>
      </c>
      <c r="L12" s="34">
        <f t="shared" si="5"/>
        <v>69.997000000000014</v>
      </c>
      <c r="M12" s="34">
        <f t="shared" ref="M12" si="6">M10-M11</f>
        <v>92.03</v>
      </c>
      <c r="N12" s="35">
        <f>N10-N11</f>
        <v>79.617000000000004</v>
      </c>
      <c r="O12" s="34">
        <f>O10-O11</f>
        <v>86.978000000000009</v>
      </c>
      <c r="P12" s="34">
        <f t="shared" ref="P12:Q12" si="7">P10-P11</f>
        <v>103.41900000000001</v>
      </c>
      <c r="Q12" s="34">
        <f t="shared" si="7"/>
        <v>143.05099999999999</v>
      </c>
      <c r="R12" s="35">
        <f>R10-R11</f>
        <v>115</v>
      </c>
      <c r="S12" s="34">
        <f>S10-S11</f>
        <v>122</v>
      </c>
      <c r="T12" s="34">
        <f t="shared" ref="T12:U12" si="8">T10-T11</f>
        <v>129</v>
      </c>
      <c r="U12" s="34">
        <f t="shared" si="8"/>
        <v>179.17399999999998</v>
      </c>
      <c r="V12" s="35">
        <f>V10-V11</f>
        <v>146.05500000000001</v>
      </c>
    </row>
    <row r="13" spans="1:22" x14ac:dyDescent="0.15">
      <c r="A13" s="6" t="s">
        <v>7</v>
      </c>
      <c r="B13" s="29">
        <v>10.009</v>
      </c>
      <c r="C13" s="29">
        <v>10.071999999999999</v>
      </c>
      <c r="D13" s="29">
        <v>11.406000000000001</v>
      </c>
      <c r="E13" s="29">
        <v>11.207000000000001</v>
      </c>
      <c r="F13" s="28">
        <v>12.23</v>
      </c>
      <c r="G13" s="29">
        <v>11.84</v>
      </c>
      <c r="H13" s="29">
        <v>14.897</v>
      </c>
      <c r="I13" s="29">
        <v>16.116</v>
      </c>
      <c r="J13" s="28">
        <v>18.116</v>
      </c>
      <c r="K13" s="29">
        <v>21.754000000000001</v>
      </c>
      <c r="L13" s="29">
        <v>16.957999999999998</v>
      </c>
      <c r="M13" s="29">
        <v>17.788</v>
      </c>
      <c r="N13" s="28">
        <v>20.721</v>
      </c>
      <c r="O13" s="29">
        <v>23.568000000000001</v>
      </c>
      <c r="P13" s="29">
        <v>24.417999999999999</v>
      </c>
      <c r="Q13" s="29">
        <v>28.542000000000002</v>
      </c>
      <c r="R13" s="28">
        <v>25</v>
      </c>
      <c r="S13" s="29">
        <v>29</v>
      </c>
      <c r="T13" s="29">
        <v>32</v>
      </c>
      <c r="U13" s="29">
        <v>35.701000000000001</v>
      </c>
      <c r="V13" s="28">
        <v>38</v>
      </c>
    </row>
    <row r="14" spans="1:22" x14ac:dyDescent="0.15">
      <c r="A14" s="6" t="s">
        <v>8</v>
      </c>
      <c r="B14" s="29">
        <v>12.21</v>
      </c>
      <c r="C14" s="29">
        <v>15.542999999999999</v>
      </c>
      <c r="D14" s="29">
        <v>16.542000000000002</v>
      </c>
      <c r="E14" s="29">
        <v>22.475999999999999</v>
      </c>
      <c r="F14" s="28">
        <v>15.847</v>
      </c>
      <c r="G14" s="29">
        <v>17.204999999999998</v>
      </c>
      <c r="H14" s="29">
        <v>18.736000000000001</v>
      </c>
      <c r="I14" s="29">
        <v>30.46</v>
      </c>
      <c r="J14" s="28">
        <v>23.454000000000001</v>
      </c>
      <c r="K14" s="29">
        <v>27.521000000000001</v>
      </c>
      <c r="L14" s="29">
        <v>23.52</v>
      </c>
      <c r="M14" s="29">
        <v>34.590000000000003</v>
      </c>
      <c r="N14" s="28">
        <v>26.193999999999999</v>
      </c>
      <c r="O14" s="29">
        <v>28.940999999999999</v>
      </c>
      <c r="P14" s="29">
        <v>39.515999999999998</v>
      </c>
      <c r="Q14" s="29">
        <v>63.362000000000002</v>
      </c>
      <c r="R14" s="28">
        <v>35</v>
      </c>
      <c r="S14" s="29">
        <v>46</v>
      </c>
      <c r="T14" s="29">
        <v>50</v>
      </c>
      <c r="U14" s="29">
        <v>84.034000000000006</v>
      </c>
      <c r="V14" s="28">
        <v>49</v>
      </c>
    </row>
    <row r="15" spans="1:22" x14ac:dyDescent="0.15">
      <c r="A15" s="6" t="s">
        <v>9</v>
      </c>
      <c r="B15" s="29">
        <v>20.457000000000001</v>
      </c>
      <c r="C15" s="29">
        <v>17.632000000000001</v>
      </c>
      <c r="D15" s="29">
        <v>15.25</v>
      </c>
      <c r="E15" s="29">
        <v>15.6</v>
      </c>
      <c r="F15" s="28">
        <v>19.076000000000001</v>
      </c>
      <c r="G15" s="29">
        <v>22.536999999999999</v>
      </c>
      <c r="H15" s="29">
        <v>21.942</v>
      </c>
      <c r="I15" s="29">
        <f>22.625+0.551</f>
        <v>23.175999999999998</v>
      </c>
      <c r="J15" s="28">
        <v>22.763000000000002</v>
      </c>
      <c r="K15" s="29">
        <v>28.411000000000001</v>
      </c>
      <c r="L15" s="29">
        <v>22.094000000000001</v>
      </c>
      <c r="M15" s="29">
        <f>18.218+3.162</f>
        <v>21.38</v>
      </c>
      <c r="N15" s="28">
        <v>18.904</v>
      </c>
      <c r="O15" s="29">
        <v>21.707000000000001</v>
      </c>
      <c r="P15" s="29">
        <v>20.748000000000001</v>
      </c>
      <c r="Q15" s="29">
        <v>21.524000000000001</v>
      </c>
      <c r="R15" s="28">
        <v>25</v>
      </c>
      <c r="S15" s="29">
        <v>30</v>
      </c>
      <c r="T15" s="29">
        <v>32</v>
      </c>
      <c r="U15" s="29">
        <v>34.401000000000003</v>
      </c>
      <c r="V15" s="28">
        <v>34</v>
      </c>
    </row>
    <row r="16" spans="1:22" x14ac:dyDescent="0.15">
      <c r="A16" s="6" t="s">
        <v>10</v>
      </c>
      <c r="B16" s="34">
        <f>SUM(B13:B15)</f>
        <v>42.676000000000002</v>
      </c>
      <c r="C16" s="34">
        <f>SUM(C13:C15)</f>
        <v>43.247</v>
      </c>
      <c r="D16" s="34">
        <f>SUM(D13:D15)</f>
        <v>43.198</v>
      </c>
      <c r="E16" s="34">
        <f>SUM(E13:E15)</f>
        <v>49.283000000000001</v>
      </c>
      <c r="F16" s="35">
        <f>SUM(F13:F15)</f>
        <v>47.152999999999999</v>
      </c>
      <c r="G16" s="34">
        <f t="shared" ref="G16:L16" si="9">SUM(G13:G15)</f>
        <v>51.581999999999994</v>
      </c>
      <c r="H16" s="34">
        <f t="shared" si="9"/>
        <v>55.575000000000003</v>
      </c>
      <c r="I16" s="34">
        <f t="shared" si="9"/>
        <v>69.751999999999995</v>
      </c>
      <c r="J16" s="35">
        <f t="shared" si="9"/>
        <v>64.332999999999998</v>
      </c>
      <c r="K16" s="34">
        <f t="shared" si="9"/>
        <v>77.686000000000007</v>
      </c>
      <c r="L16" s="34">
        <f t="shared" si="9"/>
        <v>62.571999999999996</v>
      </c>
      <c r="M16" s="34">
        <f t="shared" ref="M16:N16" si="10">SUM(M13:M15)</f>
        <v>73.757999999999996</v>
      </c>
      <c r="N16" s="35">
        <f t="shared" si="10"/>
        <v>65.819000000000003</v>
      </c>
      <c r="O16" s="34">
        <f t="shared" ref="O16:P16" si="11">SUM(O13:O15)</f>
        <v>74.216000000000008</v>
      </c>
      <c r="P16" s="34">
        <f t="shared" si="11"/>
        <v>84.682000000000002</v>
      </c>
      <c r="Q16" s="34">
        <f t="shared" ref="Q16:T16" si="12">SUM(Q13:Q15)</f>
        <v>113.428</v>
      </c>
      <c r="R16" s="35">
        <f t="shared" si="12"/>
        <v>85</v>
      </c>
      <c r="S16" s="34">
        <f t="shared" si="12"/>
        <v>105</v>
      </c>
      <c r="T16" s="34">
        <f t="shared" si="12"/>
        <v>114</v>
      </c>
      <c r="U16" s="34">
        <f t="shared" ref="U16:V16" si="13">SUM(U13:U15)</f>
        <v>154.13600000000002</v>
      </c>
      <c r="V16" s="35">
        <f t="shared" si="13"/>
        <v>121</v>
      </c>
    </row>
    <row r="17" spans="1:22" x14ac:dyDescent="0.15">
      <c r="A17" s="6" t="s">
        <v>11</v>
      </c>
      <c r="B17" s="34">
        <f>B12-B16</f>
        <v>-4.8419999999999987</v>
      </c>
      <c r="C17" s="34">
        <f>C12-C16</f>
        <v>-3.7909999999999968</v>
      </c>
      <c r="D17" s="34">
        <f>D12-D16</f>
        <v>-1.6669999999999874</v>
      </c>
      <c r="E17" s="34">
        <f>E12-E16</f>
        <v>8.4159999999999968</v>
      </c>
      <c r="F17" s="35">
        <f>F12-F16</f>
        <v>6.7830000000000084</v>
      </c>
      <c r="G17" s="34">
        <f t="shared" ref="G17:H17" si="14">G12-G16</f>
        <v>4.6690000000000111</v>
      </c>
      <c r="H17" s="34">
        <f t="shared" si="14"/>
        <v>2.6730000000000089</v>
      </c>
      <c r="I17" s="34">
        <f t="shared" ref="I17:P17" si="15">I12-I16</f>
        <v>3.4520000000000124</v>
      </c>
      <c r="J17" s="35">
        <f t="shared" si="15"/>
        <v>-2.1010000000000062</v>
      </c>
      <c r="K17" s="34">
        <f t="shared" si="15"/>
        <v>-11.718000000000018</v>
      </c>
      <c r="L17" s="34">
        <f t="shared" si="15"/>
        <v>7.4250000000000185</v>
      </c>
      <c r="M17" s="34">
        <f t="shared" si="15"/>
        <v>18.272000000000006</v>
      </c>
      <c r="N17" s="35">
        <f t="shared" si="15"/>
        <v>13.798000000000002</v>
      </c>
      <c r="O17" s="34">
        <f t="shared" si="15"/>
        <v>12.762</v>
      </c>
      <c r="P17" s="34">
        <f t="shared" si="15"/>
        <v>18.737000000000009</v>
      </c>
      <c r="Q17" s="34">
        <f t="shared" ref="Q17:T17" si="16">Q12-Q16</f>
        <v>29.62299999999999</v>
      </c>
      <c r="R17" s="35">
        <f t="shared" si="16"/>
        <v>30</v>
      </c>
      <c r="S17" s="34">
        <f t="shared" si="16"/>
        <v>17</v>
      </c>
      <c r="T17" s="34">
        <f t="shared" si="16"/>
        <v>15</v>
      </c>
      <c r="U17" s="34">
        <f t="shared" ref="U17:V17" si="17">U12-U16</f>
        <v>25.037999999999954</v>
      </c>
      <c r="V17" s="35">
        <f t="shared" si="17"/>
        <v>25.055000000000007</v>
      </c>
    </row>
    <row r="18" spans="1:22" x14ac:dyDescent="0.15">
      <c r="A18" s="6" t="s">
        <v>12</v>
      </c>
      <c r="B18" s="29">
        <v>-21.018999999999998</v>
      </c>
      <c r="C18" s="29">
        <v>2.3460000000000001</v>
      </c>
      <c r="D18" s="29">
        <v>-1.129</v>
      </c>
      <c r="E18" s="29">
        <v>-6.3079999999999998</v>
      </c>
      <c r="F18" s="28">
        <v>8.0229999999999997</v>
      </c>
      <c r="G18" s="29">
        <v>-7.7190000000000003</v>
      </c>
      <c r="H18" s="29">
        <v>-0.70899999999999996</v>
      </c>
      <c r="I18" s="29">
        <v>-20.047999999999998</v>
      </c>
      <c r="J18" s="28">
        <f>-2.591+0.439+2.78</f>
        <v>0.62799999999999967</v>
      </c>
      <c r="K18" s="29">
        <f>-2.696+0.543+16.103</f>
        <v>13.950000000000001</v>
      </c>
      <c r="L18" s="29">
        <f>-2.908+0.654+8.069</f>
        <v>5.8150000000000013</v>
      </c>
      <c r="M18" s="29">
        <v>-2.4E-2</v>
      </c>
      <c r="N18" s="28">
        <f>-3.764+1.097+1.85</f>
        <v>-0.81699999999999973</v>
      </c>
      <c r="O18" s="29">
        <f>-6.125+2.438-4.45</f>
        <v>-8.1370000000000005</v>
      </c>
      <c r="P18" s="29">
        <f>-6.135+2.367-0.373</f>
        <v>-4.141</v>
      </c>
      <c r="Q18" s="29">
        <v>-6.6130000000000004</v>
      </c>
      <c r="R18" s="28">
        <v>0</v>
      </c>
      <c r="S18" s="29">
        <v>-1</v>
      </c>
      <c r="T18" s="29">
        <v>-4</v>
      </c>
      <c r="U18" s="29">
        <f>+-2.287</f>
        <v>-2.2869999999999999</v>
      </c>
      <c r="V18" s="28">
        <v>-16</v>
      </c>
    </row>
    <row r="19" spans="1:22" x14ac:dyDescent="0.15">
      <c r="A19" s="6" t="s">
        <v>13</v>
      </c>
      <c r="B19" s="34">
        <f>B17+B18</f>
        <v>-25.860999999999997</v>
      </c>
      <c r="C19" s="34">
        <f>C17+C18</f>
        <v>-1.4449999999999967</v>
      </c>
      <c r="D19" s="34">
        <f>D17+D18</f>
        <v>-2.7959999999999874</v>
      </c>
      <c r="E19" s="34">
        <f>E17+E18</f>
        <v>2.107999999999997</v>
      </c>
      <c r="F19" s="35">
        <f>F17+F18</f>
        <v>14.806000000000008</v>
      </c>
      <c r="G19" s="34">
        <f t="shared" ref="G19:I19" si="18">G17+G18</f>
        <v>-3.0499999999999892</v>
      </c>
      <c r="H19" s="34">
        <f t="shared" si="18"/>
        <v>1.9640000000000088</v>
      </c>
      <c r="I19" s="34">
        <f t="shared" si="18"/>
        <v>-16.595999999999986</v>
      </c>
      <c r="J19" s="35">
        <f t="shared" ref="J19:K19" si="19">J17+J18</f>
        <v>-1.4730000000000065</v>
      </c>
      <c r="K19" s="34">
        <f t="shared" si="19"/>
        <v>2.2319999999999833</v>
      </c>
      <c r="L19" s="34">
        <f t="shared" ref="L19:N19" si="20">L17+L18</f>
        <v>13.24000000000002</v>
      </c>
      <c r="M19" s="34">
        <f>M17+M18</f>
        <v>18.248000000000005</v>
      </c>
      <c r="N19" s="35">
        <f t="shared" si="20"/>
        <v>12.981000000000002</v>
      </c>
      <c r="O19" s="34">
        <f t="shared" ref="O19" si="21">O17+O18</f>
        <v>4.625</v>
      </c>
      <c r="P19" s="34">
        <f>P17+P18</f>
        <v>14.596000000000009</v>
      </c>
      <c r="Q19" s="34">
        <f>Q17+Q18</f>
        <v>23.009999999999991</v>
      </c>
      <c r="R19" s="35">
        <f t="shared" ref="R19:S19" si="22">R17+R18</f>
        <v>30</v>
      </c>
      <c r="S19" s="34">
        <f t="shared" si="22"/>
        <v>16</v>
      </c>
      <c r="T19" s="34">
        <f>T17+T18</f>
        <v>11</v>
      </c>
      <c r="U19" s="34">
        <f>U17+U18</f>
        <v>22.750999999999955</v>
      </c>
      <c r="V19" s="35">
        <f t="shared" ref="V19" si="23">V17+V18</f>
        <v>9.0550000000000068</v>
      </c>
    </row>
    <row r="20" spans="1:22" x14ac:dyDescent="0.15">
      <c r="A20" s="6" t="s">
        <v>14</v>
      </c>
      <c r="B20" s="29">
        <v>10.725</v>
      </c>
      <c r="C20" s="29">
        <v>4.9089999999999998</v>
      </c>
      <c r="D20" s="29">
        <v>4.0949999999999998</v>
      </c>
      <c r="E20" s="29">
        <v>6.34</v>
      </c>
      <c r="F20" s="28">
        <v>13.614000000000001</v>
      </c>
      <c r="G20" s="29">
        <v>4.2610000000000001</v>
      </c>
      <c r="H20" s="29">
        <v>4.3630000000000004</v>
      </c>
      <c r="I20" s="29">
        <v>4.7869999999999999</v>
      </c>
      <c r="J20" s="28">
        <v>-1.052</v>
      </c>
      <c r="K20" s="29">
        <v>-9.4369999999999994</v>
      </c>
      <c r="L20" s="29">
        <v>-12.561999999999999</v>
      </c>
      <c r="M20" s="29">
        <v>-26.484000000000002</v>
      </c>
      <c r="N20" s="28">
        <v>1.4E-2</v>
      </c>
      <c r="O20" s="29">
        <v>1.246</v>
      </c>
      <c r="P20" s="29">
        <v>-5.298</v>
      </c>
      <c r="Q20" s="29">
        <v>-18.375</v>
      </c>
      <c r="R20" s="28">
        <v>1.4E-2</v>
      </c>
      <c r="S20" s="29">
        <v>-2</v>
      </c>
      <c r="T20" s="29">
        <v>-5</v>
      </c>
      <c r="U20" s="29">
        <v>-8.5399999999999991</v>
      </c>
      <c r="V20" s="28">
        <v>-3</v>
      </c>
    </row>
    <row r="21" spans="1:22" s="11" customFormat="1" x14ac:dyDescent="0.15">
      <c r="A21" s="11" t="s">
        <v>15</v>
      </c>
      <c r="B21" s="31">
        <f t="shared" ref="B21:P21" si="24">B19-B20</f>
        <v>-36.585999999999999</v>
      </c>
      <c r="C21" s="31">
        <f t="shared" si="24"/>
        <v>-6.3539999999999965</v>
      </c>
      <c r="D21" s="31">
        <f t="shared" si="24"/>
        <v>-6.8909999999999876</v>
      </c>
      <c r="E21" s="31">
        <f t="shared" si="24"/>
        <v>-4.2320000000000029</v>
      </c>
      <c r="F21" s="32">
        <f t="shared" si="24"/>
        <v>1.1920000000000073</v>
      </c>
      <c r="G21" s="31">
        <f t="shared" si="24"/>
        <v>-7.3109999999999893</v>
      </c>
      <c r="H21" s="31">
        <f t="shared" si="24"/>
        <v>-2.3989999999999916</v>
      </c>
      <c r="I21" s="31">
        <f t="shared" si="24"/>
        <v>-21.382999999999985</v>
      </c>
      <c r="J21" s="32">
        <f t="shared" si="24"/>
        <v>-0.42100000000000648</v>
      </c>
      <c r="K21" s="31">
        <f t="shared" si="24"/>
        <v>11.668999999999983</v>
      </c>
      <c r="L21" s="31">
        <f t="shared" si="24"/>
        <v>25.802000000000021</v>
      </c>
      <c r="M21" s="31">
        <f t="shared" si="24"/>
        <v>44.732000000000006</v>
      </c>
      <c r="N21" s="32">
        <f t="shared" si="24"/>
        <v>12.967000000000002</v>
      </c>
      <c r="O21" s="31">
        <f t="shared" si="24"/>
        <v>3.379</v>
      </c>
      <c r="P21" s="31">
        <f t="shared" si="24"/>
        <v>19.894000000000009</v>
      </c>
      <c r="Q21" s="31">
        <f t="shared" ref="Q21:T21" si="25">Q19-Q20</f>
        <v>41.384999999999991</v>
      </c>
      <c r="R21" s="32">
        <f t="shared" si="25"/>
        <v>29.986000000000001</v>
      </c>
      <c r="S21" s="31">
        <f t="shared" si="25"/>
        <v>18</v>
      </c>
      <c r="T21" s="31">
        <f t="shared" si="25"/>
        <v>16</v>
      </c>
      <c r="U21" s="31">
        <f t="shared" ref="U21:V21" si="26">U19-U20</f>
        <v>31.290999999999954</v>
      </c>
      <c r="V21" s="32">
        <f t="shared" si="26"/>
        <v>12.055000000000007</v>
      </c>
    </row>
    <row r="22" spans="1:22" x14ac:dyDescent="0.15">
      <c r="A22" s="6" t="s">
        <v>16</v>
      </c>
      <c r="B22" s="38">
        <f>IFERROR(B21/B23,0)</f>
        <v>-0.83714103682477847</v>
      </c>
      <c r="C22" s="38">
        <f>IFERROR(C21/C23,0)</f>
        <v>-6.5842411007748528E-2</v>
      </c>
      <c r="D22" s="38">
        <f>IFERROR(D21/D23,0)</f>
        <v>-6.1897108932543153E-2</v>
      </c>
      <c r="E22" s="38">
        <f>IFERROR(E21/E23,0)</f>
        <v>-3.7894797505451411E-2</v>
      </c>
      <c r="F22" s="39">
        <f t="shared" ref="F22:H22" si="27">IFERROR(F21/F23,0)</f>
        <v>1.0332103807201757E-2</v>
      </c>
      <c r="G22" s="38">
        <f t="shared" si="27"/>
        <v>-6.4672852143016379E-2</v>
      </c>
      <c r="H22" s="38">
        <f t="shared" si="27"/>
        <v>-2.1088772815564358E-2</v>
      </c>
      <c r="I22" s="38">
        <f t="shared" ref="I22:L22" si="28">IFERROR(I21/I23,0)</f>
        <v>-0.18546115671628186</v>
      </c>
      <c r="J22" s="39">
        <f t="shared" si="28"/>
        <v>-3.6388458777114629E-3</v>
      </c>
      <c r="K22" s="38">
        <f t="shared" si="28"/>
        <v>9.6658543395096858E-2</v>
      </c>
      <c r="L22" s="38">
        <f t="shared" si="28"/>
        <v>0.20939007783342947</v>
      </c>
      <c r="M22" s="38">
        <f t="shared" ref="M22" si="29">IFERROR(M21/M23,0)</f>
        <v>0.35837687354906123</v>
      </c>
      <c r="N22" s="39">
        <f t="shared" ref="N22:V22" si="30">IFERROR(N21/N23,0)</f>
        <v>0.10309900076181314</v>
      </c>
      <c r="O22" s="38">
        <f t="shared" si="30"/>
        <v>2.6913203183397853E-2</v>
      </c>
      <c r="P22" s="38">
        <f t="shared" si="30"/>
        <v>0.15411414782673377</v>
      </c>
      <c r="Q22" s="38">
        <f t="shared" si="30"/>
        <v>0.32078284998536727</v>
      </c>
      <c r="R22" s="39">
        <f t="shared" si="30"/>
        <v>0.23066153846153847</v>
      </c>
      <c r="S22" s="38">
        <f t="shared" si="30"/>
        <v>0.13740458015267176</v>
      </c>
      <c r="T22" s="38">
        <f t="shared" si="30"/>
        <v>0.12698412698412698</v>
      </c>
      <c r="U22" s="38">
        <f t="shared" si="30"/>
        <v>0.25357938472780417</v>
      </c>
      <c r="V22" s="39">
        <f t="shared" si="30"/>
        <v>9.791335870655217E-2</v>
      </c>
    </row>
    <row r="23" spans="1:22" s="8" customFormat="1" x14ac:dyDescent="0.15">
      <c r="A23" s="8" t="s">
        <v>17</v>
      </c>
      <c r="B23" s="29">
        <v>43.703507999999999</v>
      </c>
      <c r="C23" s="29">
        <v>96.503148999999993</v>
      </c>
      <c r="D23" s="29">
        <v>111.32991699999999</v>
      </c>
      <c r="E23" s="29">
        <v>111.677599</v>
      </c>
      <c r="F23" s="28">
        <v>115.368566</v>
      </c>
      <c r="G23" s="29">
        <v>113.04588800000001</v>
      </c>
      <c r="H23" s="29">
        <v>113.757212</v>
      </c>
      <c r="I23" s="29">
        <v>115.29638</v>
      </c>
      <c r="J23" s="28">
        <v>115.69602399999999</v>
      </c>
      <c r="K23" s="29">
        <v>120.723938</v>
      </c>
      <c r="L23" s="29">
        <v>123.224559</v>
      </c>
      <c r="M23" s="29">
        <v>124.81832199999999</v>
      </c>
      <c r="N23" s="28">
        <v>125.77231500000001</v>
      </c>
      <c r="O23" s="29">
        <v>125.551759</v>
      </c>
      <c r="P23" s="29">
        <v>129.08613700000001</v>
      </c>
      <c r="Q23" s="29">
        <v>129.012508</v>
      </c>
      <c r="R23" s="28">
        <v>130</v>
      </c>
      <c r="S23" s="29">
        <v>131</v>
      </c>
      <c r="T23" s="29">
        <v>126</v>
      </c>
      <c r="U23" s="29">
        <v>123.397255</v>
      </c>
      <c r="V23" s="28">
        <v>123.11905299999999</v>
      </c>
    </row>
    <row r="24" spans="1:22" x14ac:dyDescent="0.15">
      <c r="B24" s="29"/>
      <c r="C24" s="29"/>
      <c r="D24" s="29"/>
      <c r="E24" s="29"/>
      <c r="F24" s="28"/>
      <c r="G24" s="29"/>
      <c r="H24" s="29"/>
      <c r="I24" s="29"/>
      <c r="J24" s="28"/>
      <c r="K24" s="29"/>
      <c r="L24" s="29"/>
      <c r="M24" s="29"/>
      <c r="Q24" s="29"/>
      <c r="U24" s="29"/>
      <c r="V24" s="27"/>
    </row>
    <row r="25" spans="1:22" x14ac:dyDescent="0.15">
      <c r="A25" s="6" t="s">
        <v>19</v>
      </c>
      <c r="B25" s="44">
        <f t="shared" ref="B25:Q25" si="31">IFERROR(B12/B10,0)</f>
        <v>0.64626001400679844</v>
      </c>
      <c r="C25" s="44">
        <f t="shared" si="31"/>
        <v>0.64297237839159138</v>
      </c>
      <c r="D25" s="44">
        <f t="shared" si="31"/>
        <v>0.63216938626400399</v>
      </c>
      <c r="E25" s="44">
        <f t="shared" si="31"/>
        <v>0.65645372319244555</v>
      </c>
      <c r="F25" s="45">
        <f t="shared" si="31"/>
        <v>0.65898566838124795</v>
      </c>
      <c r="G25" s="44">
        <f t="shared" si="31"/>
        <v>0.65907040504282421</v>
      </c>
      <c r="H25" s="44">
        <f t="shared" si="31"/>
        <v>0.66522007263424776</v>
      </c>
      <c r="I25" s="44">
        <f t="shared" si="31"/>
        <v>0.66422887422987242</v>
      </c>
      <c r="J25" s="45">
        <f t="shared" si="31"/>
        <v>0.64228875746973402</v>
      </c>
      <c r="K25" s="44">
        <f t="shared" si="31"/>
        <v>0.64870392951264599</v>
      </c>
      <c r="L25" s="44">
        <f t="shared" si="31"/>
        <v>0.65799022372626437</v>
      </c>
      <c r="M25" s="44">
        <f t="shared" si="31"/>
        <v>0.67544954128440371</v>
      </c>
      <c r="N25" s="45">
        <f t="shared" si="31"/>
        <v>0.65847062326319972</v>
      </c>
      <c r="O25" s="44">
        <f t="shared" si="31"/>
        <v>0.65699804361455438</v>
      </c>
      <c r="P25" s="44">
        <f t="shared" si="31"/>
        <v>0.68778181237779823</v>
      </c>
      <c r="Q25" s="44">
        <f t="shared" si="31"/>
        <v>0.71467611234899731</v>
      </c>
      <c r="R25" s="45">
        <f t="shared" ref="R25:U25" si="32">IFERROR(R12/R10,0)</f>
        <v>0.68452380952380953</v>
      </c>
      <c r="S25" s="44">
        <f t="shared" si="32"/>
        <v>0.67403314917127077</v>
      </c>
      <c r="T25" s="44">
        <f t="shared" si="32"/>
        <v>0.65151515151515149</v>
      </c>
      <c r="U25" s="44">
        <f t="shared" si="32"/>
        <v>0.66361232305424478</v>
      </c>
      <c r="V25" s="45">
        <f t="shared" ref="V25" si="33">IFERROR(V12/V10,0)</f>
        <v>0.64043761373352925</v>
      </c>
    </row>
    <row r="26" spans="1:22" x14ac:dyDescent="0.15">
      <c r="A26" s="6" t="s">
        <v>20</v>
      </c>
      <c r="B26" s="46">
        <f t="shared" ref="B26:Q26" si="34">IFERROR(B17/B10,0)</f>
        <v>-8.270843653382981E-2</v>
      </c>
      <c r="C26" s="46">
        <f t="shared" si="34"/>
        <v>-6.177788641733882E-2</v>
      </c>
      <c r="D26" s="46">
        <f t="shared" si="34"/>
        <v>-2.5374452021431855E-2</v>
      </c>
      <c r="E26" s="46">
        <f t="shared" si="34"/>
        <v>9.5750611525115159E-2</v>
      </c>
      <c r="F26" s="47">
        <f t="shared" si="34"/>
        <v>8.287414321844426E-2</v>
      </c>
      <c r="G26" s="46">
        <f t="shared" si="34"/>
        <v>5.470480029057178E-2</v>
      </c>
      <c r="H26" s="46">
        <f t="shared" si="34"/>
        <v>3.0526940910440701E-2</v>
      </c>
      <c r="I26" s="46">
        <f t="shared" si="34"/>
        <v>3.1322305800796778E-2</v>
      </c>
      <c r="J26" s="47">
        <f t="shared" si="34"/>
        <v>-2.168416055154768E-2</v>
      </c>
      <c r="K26" s="46">
        <f t="shared" si="34"/>
        <v>-0.11523030326869388</v>
      </c>
      <c r="L26" s="46">
        <f t="shared" si="34"/>
        <v>6.979695431472098E-2</v>
      </c>
      <c r="M26" s="46">
        <f t="shared" si="34"/>
        <v>0.13410642201834866</v>
      </c>
      <c r="N26" s="47">
        <f t="shared" si="34"/>
        <v>0.11411605134312559</v>
      </c>
      <c r="O26" s="46">
        <f t="shared" si="34"/>
        <v>9.6399193274264092E-2</v>
      </c>
      <c r="P26" s="46">
        <f t="shared" si="34"/>
        <v>0.12460928667384918</v>
      </c>
      <c r="Q26" s="46">
        <f t="shared" si="34"/>
        <v>0.14799512394960079</v>
      </c>
      <c r="R26" s="47">
        <f t="shared" ref="R26:U26" si="35">IFERROR(R17/R10,0)</f>
        <v>0.17857142857142858</v>
      </c>
      <c r="S26" s="46">
        <f t="shared" si="35"/>
        <v>9.3922651933701654E-2</v>
      </c>
      <c r="T26" s="46">
        <f t="shared" si="35"/>
        <v>7.575757575757576E-2</v>
      </c>
      <c r="U26" s="46">
        <f t="shared" si="35"/>
        <v>9.2734020252001698E-2</v>
      </c>
      <c r="V26" s="47">
        <f t="shared" ref="V26" si="36">IFERROR(V17/V10,0)</f>
        <v>0.10986384863300522</v>
      </c>
    </row>
    <row r="27" spans="1:22" x14ac:dyDescent="0.15">
      <c r="A27" s="6" t="s">
        <v>21</v>
      </c>
      <c r="B27" s="46">
        <f t="shared" ref="B27:Q27" si="37">IFERROR(B20/B19,0)</f>
        <v>-0.41471714164185458</v>
      </c>
      <c r="C27" s="46">
        <f t="shared" si="37"/>
        <v>-3.397231833910042</v>
      </c>
      <c r="D27" s="46">
        <f t="shared" si="37"/>
        <v>-1.4645922746781181</v>
      </c>
      <c r="E27" s="46">
        <f t="shared" si="37"/>
        <v>3.0075901328273287</v>
      </c>
      <c r="F27" s="47">
        <f t="shared" si="37"/>
        <v>0.91949209779818952</v>
      </c>
      <c r="G27" s="46">
        <f t="shared" si="37"/>
        <v>-1.397049180327874</v>
      </c>
      <c r="H27" s="46">
        <f t="shared" si="37"/>
        <v>2.2214867617107843</v>
      </c>
      <c r="I27" s="46">
        <f t="shared" si="37"/>
        <v>-0.2884429983128467</v>
      </c>
      <c r="J27" s="47">
        <f t="shared" si="37"/>
        <v>0.71418873048200637</v>
      </c>
      <c r="K27" s="46">
        <f t="shared" si="37"/>
        <v>-4.2280465949821098</v>
      </c>
      <c r="L27" s="46">
        <f t="shared" si="37"/>
        <v>-0.94879154078549699</v>
      </c>
      <c r="M27" s="46">
        <f t="shared" si="37"/>
        <v>-1.451337132836475</v>
      </c>
      <c r="N27" s="47">
        <f t="shared" si="37"/>
        <v>1.0784993451968261E-3</v>
      </c>
      <c r="O27" s="46">
        <f t="shared" si="37"/>
        <v>0.26940540540540542</v>
      </c>
      <c r="P27" s="46">
        <f t="shared" si="37"/>
        <v>-0.36297615785146592</v>
      </c>
      <c r="Q27" s="46">
        <f t="shared" si="37"/>
        <v>-0.79856584093872263</v>
      </c>
      <c r="R27" s="47">
        <f t="shared" ref="R27:U27" si="38">IFERROR(R20/R19,0)</f>
        <v>4.6666666666666666E-4</v>
      </c>
      <c r="S27" s="46">
        <f t="shared" si="38"/>
        <v>-0.125</v>
      </c>
      <c r="T27" s="46">
        <f t="shared" si="38"/>
        <v>-0.45454545454545453</v>
      </c>
      <c r="U27" s="46">
        <f t="shared" si="38"/>
        <v>-0.37536811568722322</v>
      </c>
      <c r="V27" s="47">
        <f t="shared" ref="V27" si="39">IFERROR(V20/V19,0)</f>
        <v>-0.3313086692435116</v>
      </c>
    </row>
    <row r="28" spans="1:22" x14ac:dyDescent="0.15">
      <c r="B28" s="29"/>
      <c r="C28" s="29"/>
      <c r="D28" s="29"/>
      <c r="E28" s="29"/>
      <c r="F28" s="28"/>
      <c r="G28" s="29"/>
      <c r="H28" s="29"/>
      <c r="I28" s="29"/>
      <c r="J28" s="28"/>
      <c r="K28" s="29"/>
      <c r="L28" s="29"/>
      <c r="M28" s="29"/>
      <c r="Q28" s="29"/>
      <c r="U28" s="69" t="s">
        <v>104</v>
      </c>
      <c r="V28" s="27"/>
    </row>
    <row r="29" spans="1:22" s="11" customFormat="1" x14ac:dyDescent="0.15">
      <c r="A29" s="11" t="s">
        <v>18</v>
      </c>
      <c r="B29" s="40"/>
      <c r="C29" s="40"/>
      <c r="D29" s="40"/>
      <c r="E29" s="40"/>
      <c r="F29" s="41">
        <f t="shared" ref="F29:Q29" si="40">IFERROR((F10/B10)-1,0)</f>
        <v>0.39806637855934968</v>
      </c>
      <c r="G29" s="40">
        <f t="shared" si="40"/>
        <v>0.3908416849995926</v>
      </c>
      <c r="H29" s="40">
        <f t="shared" si="40"/>
        <v>0.33283609352167542</v>
      </c>
      <c r="I29" s="40">
        <f t="shared" si="40"/>
        <v>0.25387109619432291</v>
      </c>
      <c r="J29" s="41">
        <f t="shared" si="40"/>
        <v>0.18380637042286185</v>
      </c>
      <c r="K29" s="40">
        <f t="shared" si="40"/>
        <v>0.19148437591535905</v>
      </c>
      <c r="L29" s="40">
        <f t="shared" si="40"/>
        <v>0.21491057764783794</v>
      </c>
      <c r="M29" s="40">
        <f t="shared" si="40"/>
        <v>0.23628741754303184</v>
      </c>
      <c r="N29" s="41">
        <f t="shared" si="40"/>
        <v>0.24791776325974557</v>
      </c>
      <c r="O29" s="40">
        <f t="shared" si="40"/>
        <v>0.30184281949415892</v>
      </c>
      <c r="P29" s="40">
        <f t="shared" si="40"/>
        <v>0.41347997743936826</v>
      </c>
      <c r="Q29" s="40">
        <f t="shared" si="40"/>
        <v>0.46907889908256872</v>
      </c>
      <c r="R29" s="41">
        <f t="shared" ref="R29" si="41">IFERROR((R10/N10)-1,0)</f>
        <v>0.3894402540690749</v>
      </c>
      <c r="S29" s="40">
        <f t="shared" ref="S29" si="42">IFERROR((S10/O10)-1,0)</f>
        <v>0.3672037284627645</v>
      </c>
      <c r="T29" s="40">
        <f t="shared" ref="T29" si="43">IFERROR((T10/P10)-1,0)</f>
        <v>0.316787039623319</v>
      </c>
      <c r="U29" s="40">
        <f t="shared" ref="U29:V29" si="44">IFERROR((U10/Q10)-1,0)</f>
        <v>0.34889739311157975</v>
      </c>
      <c r="V29" s="41">
        <f t="shared" si="44"/>
        <v>0.35747023809523815</v>
      </c>
    </row>
    <row r="30" spans="1:22" s="11" customFormat="1" x14ac:dyDescent="0.15">
      <c r="A30" s="6" t="s">
        <v>58</v>
      </c>
      <c r="B30" s="42"/>
      <c r="C30" s="42"/>
      <c r="D30" s="42"/>
      <c r="E30" s="42"/>
      <c r="F30" s="43">
        <f t="shared" ref="F30:Q32" si="45">F13/B13-1</f>
        <v>0.22190028973923459</v>
      </c>
      <c r="G30" s="42">
        <f t="shared" si="45"/>
        <v>0.17553613979348692</v>
      </c>
      <c r="H30" s="42">
        <f t="shared" si="45"/>
        <v>0.30606698229002283</v>
      </c>
      <c r="I30" s="42">
        <f t="shared" si="45"/>
        <v>0.43802980280182013</v>
      </c>
      <c r="J30" s="43">
        <f t="shared" si="45"/>
        <v>0.4812755519215044</v>
      </c>
      <c r="K30" s="42">
        <f t="shared" si="45"/>
        <v>0.83733108108108123</v>
      </c>
      <c r="L30" s="42">
        <f t="shared" si="45"/>
        <v>0.13835000335638026</v>
      </c>
      <c r="M30" s="42">
        <f t="shared" si="45"/>
        <v>0.10374782824522222</v>
      </c>
      <c r="N30" s="43">
        <f t="shared" si="45"/>
        <v>0.14379553985427251</v>
      </c>
      <c r="O30" s="42">
        <f t="shared" si="45"/>
        <v>8.3386963317091167E-2</v>
      </c>
      <c r="P30" s="42">
        <f t="shared" si="45"/>
        <v>0.43991036678853646</v>
      </c>
      <c r="Q30" s="42">
        <f t="shared" si="45"/>
        <v>0.60456487519676183</v>
      </c>
      <c r="R30" s="43">
        <f t="shared" ref="R30:R32" si="46">R13/N13-1</f>
        <v>0.20650547753486803</v>
      </c>
      <c r="S30" s="42">
        <f t="shared" ref="S30:S32" si="47">S13/O13-1</f>
        <v>0.23048200950441267</v>
      </c>
      <c r="T30" s="42">
        <f t="shared" ref="T30:T32" si="48">T13/P13-1</f>
        <v>0.31050864116635268</v>
      </c>
      <c r="U30" s="42">
        <f t="shared" ref="U30:V32" si="49">U13/Q13-1</f>
        <v>0.25082334804848982</v>
      </c>
      <c r="V30" s="43">
        <f t="shared" si="49"/>
        <v>0.52</v>
      </c>
    </row>
    <row r="31" spans="1:22" s="11" customFormat="1" x14ac:dyDescent="0.15">
      <c r="A31" s="6" t="s">
        <v>59</v>
      </c>
      <c r="B31" s="42"/>
      <c r="C31" s="42"/>
      <c r="D31" s="42"/>
      <c r="E31" s="42"/>
      <c r="F31" s="43">
        <f t="shared" si="45"/>
        <v>0.29787059787059778</v>
      </c>
      <c r="G31" s="42">
        <f t="shared" si="45"/>
        <v>0.10692916425400489</v>
      </c>
      <c r="H31" s="42">
        <f t="shared" si="45"/>
        <v>0.13263208801837734</v>
      </c>
      <c r="I31" s="42">
        <f t="shared" si="45"/>
        <v>0.35522334935041822</v>
      </c>
      <c r="J31" s="43">
        <f t="shared" si="45"/>
        <v>0.48002776550766724</v>
      </c>
      <c r="K31" s="42">
        <f t="shared" si="45"/>
        <v>0.59959314152862553</v>
      </c>
      <c r="L31" s="42">
        <f t="shared" si="45"/>
        <v>0.25533731853116981</v>
      </c>
      <c r="M31" s="42">
        <f t="shared" si="45"/>
        <v>0.13558765594221933</v>
      </c>
      <c r="N31" s="43">
        <f t="shared" si="45"/>
        <v>0.11682442227338607</v>
      </c>
      <c r="O31" s="42">
        <f t="shared" si="45"/>
        <v>5.1596962319683026E-2</v>
      </c>
      <c r="P31" s="42">
        <f t="shared" si="45"/>
        <v>0.68010204081632653</v>
      </c>
      <c r="Q31" s="42">
        <f t="shared" si="45"/>
        <v>0.83180109858340545</v>
      </c>
      <c r="R31" s="43">
        <f t="shared" si="46"/>
        <v>0.3361838588989845</v>
      </c>
      <c r="S31" s="42">
        <f t="shared" si="47"/>
        <v>0.58944058601983351</v>
      </c>
      <c r="T31" s="42">
        <f t="shared" si="48"/>
        <v>0.26531025407429909</v>
      </c>
      <c r="U31" s="42">
        <f t="shared" si="49"/>
        <v>0.32625232789369019</v>
      </c>
      <c r="V31" s="43">
        <f t="shared" si="49"/>
        <v>0.39999999999999991</v>
      </c>
    </row>
    <row r="32" spans="1:22" s="11" customFormat="1" x14ac:dyDescent="0.15">
      <c r="A32" s="6" t="s">
        <v>60</v>
      </c>
      <c r="B32" s="42"/>
      <c r="C32" s="42"/>
      <c r="D32" s="42"/>
      <c r="E32" s="42"/>
      <c r="F32" s="43">
        <f t="shared" si="45"/>
        <v>-6.750745466099628E-2</v>
      </c>
      <c r="G32" s="42">
        <f t="shared" si="45"/>
        <v>0.27818738656987274</v>
      </c>
      <c r="H32" s="42">
        <f t="shared" si="45"/>
        <v>0.43881967213114748</v>
      </c>
      <c r="I32" s="42">
        <f t="shared" si="45"/>
        <v>0.48564102564102551</v>
      </c>
      <c r="J32" s="43">
        <f t="shared" si="45"/>
        <v>0.19327951352484796</v>
      </c>
      <c r="K32" s="42">
        <f t="shared" si="45"/>
        <v>0.26063806185384042</v>
      </c>
      <c r="L32" s="42">
        <f t="shared" si="45"/>
        <v>6.9273539330962919E-3</v>
      </c>
      <c r="M32" s="42">
        <f t="shared" si="45"/>
        <v>-7.7493959268208457E-2</v>
      </c>
      <c r="N32" s="43">
        <f t="shared" si="45"/>
        <v>-0.16952949962658703</v>
      </c>
      <c r="O32" s="42">
        <f t="shared" si="45"/>
        <v>-0.23596494315581995</v>
      </c>
      <c r="P32" s="42">
        <f t="shared" si="45"/>
        <v>-6.0921517153978422E-2</v>
      </c>
      <c r="Q32" s="42">
        <f t="shared" si="45"/>
        <v>6.7352666043032361E-3</v>
      </c>
      <c r="R32" s="43">
        <f t="shared" si="46"/>
        <v>0.32247143461701233</v>
      </c>
      <c r="S32" s="42">
        <f t="shared" si="47"/>
        <v>0.38204265905007606</v>
      </c>
      <c r="T32" s="42">
        <f t="shared" si="48"/>
        <v>0.54231733179101593</v>
      </c>
      <c r="U32" s="42">
        <f>U15/Q15-1</f>
        <v>0.59826240475748005</v>
      </c>
      <c r="V32" s="43">
        <f t="shared" si="49"/>
        <v>0.3600000000000001</v>
      </c>
    </row>
    <row r="33" spans="1:22" x14ac:dyDescent="0.15">
      <c r="V33" s="27"/>
    </row>
    <row r="34" spans="1:22" s="11" customFormat="1" x14ac:dyDescent="0.15">
      <c r="A34" s="11" t="s">
        <v>33</v>
      </c>
      <c r="B34" s="29"/>
      <c r="C34" s="29"/>
      <c r="D34" s="29"/>
      <c r="E34" s="31">
        <f>E35-E36</f>
        <v>298.20500000000004</v>
      </c>
      <c r="F34" s="32">
        <f>F35-F36</f>
        <v>275.01900000000001</v>
      </c>
      <c r="G34" s="31">
        <f t="shared" ref="G34:K34" si="50">G35-G36</f>
        <v>283.541</v>
      </c>
      <c r="H34" s="31">
        <f t="shared" si="50"/>
        <v>275.709</v>
      </c>
      <c r="I34" s="31">
        <f t="shared" si="50"/>
        <v>287.42700000000002</v>
      </c>
      <c r="J34" s="32">
        <f t="shared" si="50"/>
        <v>281.29300000000001</v>
      </c>
      <c r="K34" s="31">
        <f t="shared" si="50"/>
        <v>292.57900000000001</v>
      </c>
      <c r="L34" s="31">
        <f t="shared" ref="L34:P34" si="51">L35-L36</f>
        <v>316.036</v>
      </c>
      <c r="M34" s="31">
        <f t="shared" si="51"/>
        <v>345.89100000000002</v>
      </c>
      <c r="N34" s="32">
        <f t="shared" si="51"/>
        <v>350.30699999999996</v>
      </c>
      <c r="O34" s="31">
        <f t="shared" si="51"/>
        <v>303.71700000000004</v>
      </c>
      <c r="P34" s="31">
        <f t="shared" si="51"/>
        <v>316.68699999999995</v>
      </c>
      <c r="Q34" s="31">
        <f t="shared" ref="Q34:T34" si="52">Q35-Q36</f>
        <v>353.14200000000005</v>
      </c>
      <c r="R34" s="32">
        <f t="shared" si="52"/>
        <v>342</v>
      </c>
      <c r="S34" s="31">
        <f t="shared" si="52"/>
        <v>375</v>
      </c>
      <c r="T34" s="31">
        <f t="shared" si="52"/>
        <v>81</v>
      </c>
      <c r="U34" s="31">
        <f t="shared" ref="U34:V34" si="53">U35-U36</f>
        <v>121</v>
      </c>
      <c r="V34" s="32">
        <f t="shared" si="53"/>
        <v>104</v>
      </c>
    </row>
    <row r="35" spans="1:22" x14ac:dyDescent="0.15">
      <c r="A35" s="6" t="s">
        <v>34</v>
      </c>
      <c r="B35" s="29"/>
      <c r="C35" s="29"/>
      <c r="D35" s="29"/>
      <c r="E35" s="29">
        <f>271.244+21.62+5.341</f>
        <v>298.20500000000004</v>
      </c>
      <c r="F35" s="28">
        <f>158.381+111.297+5.341</f>
        <v>275.01900000000001</v>
      </c>
      <c r="G35" s="29">
        <f>167.482+110.718+5.341</f>
        <v>283.541</v>
      </c>
      <c r="H35" s="29">
        <f>188.03+82.338+5.341</f>
        <v>275.709</v>
      </c>
      <c r="I35" s="29">
        <f>181.592+100.494+5.341</f>
        <v>287.42700000000002</v>
      </c>
      <c r="J35" s="28">
        <f>194.807+81.145+5.341</f>
        <v>281.29300000000001</v>
      </c>
      <c r="K35" s="29">
        <f>226.885+60.353+5.341</f>
        <v>292.57900000000001</v>
      </c>
      <c r="L35" s="29">
        <f>260.288+50.407+5.341</f>
        <v>316.036</v>
      </c>
      <c r="M35" s="29">
        <f>315.442+25.108+5.341</f>
        <v>345.89100000000002</v>
      </c>
      <c r="N35" s="28">
        <f>533.855+67.526+5.341</f>
        <v>606.72199999999998</v>
      </c>
      <c r="O35" s="29">
        <f>357.82+209.689+5.341</f>
        <v>572.85</v>
      </c>
      <c r="P35" s="29">
        <f>362.727+221.409+5.341</f>
        <v>589.47699999999998</v>
      </c>
      <c r="Q35" s="29">
        <f>366.985+257.302+5.341</f>
        <v>629.62800000000004</v>
      </c>
      <c r="R35" s="28">
        <f>346+276</f>
        <v>622</v>
      </c>
      <c r="S35" s="29">
        <f>359+275+25</f>
        <v>659</v>
      </c>
      <c r="T35" s="29">
        <f>672+180+5</f>
        <v>857</v>
      </c>
      <c r="U35" s="29">
        <f>443+374+89</f>
        <v>906</v>
      </c>
      <c r="V35" s="28">
        <f>442+362+94</f>
        <v>898</v>
      </c>
    </row>
    <row r="36" spans="1:22" x14ac:dyDescent="0.15">
      <c r="A36" s="6" t="s">
        <v>35</v>
      </c>
      <c r="B36" s="29"/>
      <c r="C36" s="29"/>
      <c r="D36" s="29"/>
      <c r="E36" s="29">
        <v>0</v>
      </c>
      <c r="F36" s="28">
        <v>0</v>
      </c>
      <c r="G36" s="29">
        <v>0</v>
      </c>
      <c r="H36" s="29">
        <v>0</v>
      </c>
      <c r="I36" s="29">
        <v>0</v>
      </c>
      <c r="J36" s="28">
        <v>0</v>
      </c>
      <c r="K36" s="29">
        <v>0</v>
      </c>
      <c r="L36" s="29">
        <v>0</v>
      </c>
      <c r="M36" s="29">
        <v>0</v>
      </c>
      <c r="N36" s="28">
        <v>256.41500000000002</v>
      </c>
      <c r="O36" s="29">
        <v>269.13299999999998</v>
      </c>
      <c r="P36" s="29">
        <v>272.79000000000002</v>
      </c>
      <c r="Q36" s="29">
        <v>276.48599999999999</v>
      </c>
      <c r="R36" s="28">
        <v>280</v>
      </c>
      <c r="S36" s="29">
        <v>284</v>
      </c>
      <c r="T36" s="29">
        <v>776</v>
      </c>
      <c r="U36" s="29">
        <v>785</v>
      </c>
      <c r="V36" s="28">
        <v>794</v>
      </c>
    </row>
    <row r="37" spans="1:22" x14ac:dyDescent="0.15">
      <c r="V37" s="27"/>
    </row>
    <row r="38" spans="1:22" x14ac:dyDescent="0.15">
      <c r="A38" s="24" t="s">
        <v>73</v>
      </c>
      <c r="B38" s="29"/>
      <c r="C38" s="29"/>
      <c r="D38" s="29"/>
      <c r="E38" s="48">
        <f>27.752+2.871</f>
        <v>30.622999999999998</v>
      </c>
      <c r="F38" s="28">
        <f>28.642+2.416</f>
        <v>31.058</v>
      </c>
      <c r="G38" s="29">
        <f>28.147+1.877</f>
        <v>30.023999999999997</v>
      </c>
      <c r="H38" s="29">
        <f>37.765+8.772</f>
        <v>46.536999999999999</v>
      </c>
      <c r="I38" s="48">
        <f>35.657+7.507</f>
        <v>43.163999999999994</v>
      </c>
      <c r="J38" s="28">
        <f>35.97+6.062</f>
        <v>42.031999999999996</v>
      </c>
      <c r="K38" s="29">
        <f>37.438+5.301</f>
        <v>42.739000000000004</v>
      </c>
      <c r="L38" s="29">
        <f>38.216+4.7</f>
        <v>42.916000000000004</v>
      </c>
      <c r="M38" s="48">
        <f>38.541+4.1</f>
        <v>42.640999999999998</v>
      </c>
      <c r="N38" s="28">
        <f>39.228+3.5</f>
        <v>42.728000000000002</v>
      </c>
      <c r="O38" s="29">
        <f>37.959+38.077</f>
        <v>76.036000000000001</v>
      </c>
      <c r="P38" s="29">
        <f>37.802+36.36</f>
        <v>74.162000000000006</v>
      </c>
      <c r="Q38" s="29">
        <f>37.482+34.589</f>
        <v>72.070999999999998</v>
      </c>
      <c r="R38" s="28">
        <f>37+34</f>
        <v>71</v>
      </c>
      <c r="S38" s="29">
        <f>37+33</f>
        <v>70</v>
      </c>
      <c r="T38" s="29">
        <f>138+202</f>
        <v>340</v>
      </c>
      <c r="U38" s="29">
        <f>139+199</f>
        <v>338</v>
      </c>
      <c r="V38" s="28">
        <f>138+195</f>
        <v>333</v>
      </c>
    </row>
    <row r="39" spans="1:22" x14ac:dyDescent="0.15">
      <c r="A39" s="24" t="s">
        <v>74</v>
      </c>
      <c r="B39" s="29"/>
      <c r="C39" s="29"/>
      <c r="D39" s="29"/>
      <c r="E39" s="48">
        <v>553.06100000000004</v>
      </c>
      <c r="F39" s="28">
        <v>549.17600000000004</v>
      </c>
      <c r="G39" s="29">
        <v>550.95600000000002</v>
      </c>
      <c r="H39" s="29">
        <v>569.20100000000002</v>
      </c>
      <c r="I39" s="48">
        <v>581.19299999999998</v>
      </c>
      <c r="J39" s="28">
        <v>530.73900000000003</v>
      </c>
      <c r="K39" s="29">
        <v>554.31700000000001</v>
      </c>
      <c r="L39" s="29">
        <v>574.06200000000001</v>
      </c>
      <c r="M39" s="48">
        <v>605.58299999999997</v>
      </c>
      <c r="N39" s="28">
        <v>870.16499999999996</v>
      </c>
      <c r="O39" s="29">
        <v>865.31</v>
      </c>
      <c r="P39" s="29">
        <v>907.36800000000005</v>
      </c>
      <c r="Q39" s="29">
        <v>901.851</v>
      </c>
      <c r="R39" s="28">
        <v>981</v>
      </c>
      <c r="S39" s="29">
        <v>1022</v>
      </c>
      <c r="T39" s="29">
        <v>1499</v>
      </c>
      <c r="U39" s="29">
        <v>1542</v>
      </c>
      <c r="V39" s="28">
        <v>1518</v>
      </c>
    </row>
    <row r="40" spans="1:22" x14ac:dyDescent="0.15">
      <c r="A40" s="24" t="s">
        <v>75</v>
      </c>
      <c r="B40" s="29"/>
      <c r="C40" s="29"/>
      <c r="D40" s="29"/>
      <c r="E40" s="48">
        <v>222.56299999999999</v>
      </c>
      <c r="F40" s="28">
        <v>219.64500000000001</v>
      </c>
      <c r="G40" s="29">
        <v>217.935</v>
      </c>
      <c r="H40" s="29">
        <v>224.745</v>
      </c>
      <c r="I40" s="48">
        <v>236.43600000000001</v>
      </c>
      <c r="J40" s="28">
        <v>235.691</v>
      </c>
      <c r="K40" s="29">
        <v>246.03800000000001</v>
      </c>
      <c r="L40" s="29">
        <v>225.84700000000001</v>
      </c>
      <c r="M40" s="48">
        <v>208.68899999999999</v>
      </c>
      <c r="N40" s="28">
        <v>485.678</v>
      </c>
      <c r="O40" s="29">
        <v>495.21899999999999</v>
      </c>
      <c r="P40" s="29">
        <v>512.74900000000002</v>
      </c>
      <c r="Q40" s="29">
        <v>500.95299999999997</v>
      </c>
      <c r="R40" s="28">
        <v>561</v>
      </c>
      <c r="S40" s="29">
        <v>579</v>
      </c>
      <c r="T40" s="29">
        <v>1110</v>
      </c>
      <c r="U40" s="29">
        <v>1136</v>
      </c>
      <c r="V40" s="28">
        <v>1111</v>
      </c>
    </row>
    <row r="41" spans="1:22" x14ac:dyDescent="0.15">
      <c r="E41" s="49"/>
      <c r="I41" s="49"/>
      <c r="M41" s="49"/>
      <c r="V41" s="27"/>
    </row>
    <row r="42" spans="1:22" x14ac:dyDescent="0.15">
      <c r="A42" s="24" t="s">
        <v>76</v>
      </c>
      <c r="E42" s="34">
        <f>E39-E35-E38</f>
        <v>224.233</v>
      </c>
      <c r="F42" s="35">
        <f t="shared" ref="F42:O42" si="54">F39-F35-F38</f>
        <v>243.09900000000005</v>
      </c>
      <c r="G42" s="34">
        <f t="shared" si="54"/>
        <v>237.39100000000002</v>
      </c>
      <c r="H42" s="34">
        <f t="shared" si="54"/>
        <v>246.95500000000001</v>
      </c>
      <c r="I42" s="34">
        <f t="shared" si="54"/>
        <v>250.60199999999998</v>
      </c>
      <c r="J42" s="35">
        <f t="shared" si="54"/>
        <v>207.41400000000004</v>
      </c>
      <c r="K42" s="34">
        <f t="shared" si="54"/>
        <v>218.999</v>
      </c>
      <c r="L42" s="34">
        <f t="shared" si="54"/>
        <v>215.11</v>
      </c>
      <c r="M42" s="34">
        <f t="shared" si="54"/>
        <v>217.05099999999996</v>
      </c>
      <c r="N42" s="35">
        <f t="shared" si="54"/>
        <v>220.71499999999997</v>
      </c>
      <c r="O42" s="34">
        <f t="shared" si="54"/>
        <v>216.42399999999992</v>
      </c>
      <c r="P42" s="34">
        <f>P39-P35-P38</f>
        <v>243.72900000000007</v>
      </c>
      <c r="Q42" s="34">
        <f>Q39-Q35-Q38</f>
        <v>200.15199999999996</v>
      </c>
      <c r="R42" s="35">
        <f t="shared" ref="R42:S42" si="55">R39-R35-R38</f>
        <v>288</v>
      </c>
      <c r="S42" s="34">
        <f t="shared" si="55"/>
        <v>293</v>
      </c>
      <c r="T42" s="34">
        <f>T39-T35-T38</f>
        <v>302</v>
      </c>
      <c r="U42" s="34">
        <f>U39-U35-U38</f>
        <v>298</v>
      </c>
      <c r="V42" s="35">
        <f t="shared" ref="V42" si="56">V39-V35-V38</f>
        <v>287</v>
      </c>
    </row>
    <row r="43" spans="1:22" x14ac:dyDescent="0.15">
      <c r="A43" s="24" t="s">
        <v>77</v>
      </c>
      <c r="E43" s="34">
        <f>E39-E40</f>
        <v>330.49800000000005</v>
      </c>
      <c r="F43" s="35">
        <f t="shared" ref="F43:P43" si="57">F39-F40</f>
        <v>329.53100000000006</v>
      </c>
      <c r="G43" s="34">
        <f t="shared" si="57"/>
        <v>333.02100000000002</v>
      </c>
      <c r="H43" s="34">
        <f>H39-H40</f>
        <v>344.45600000000002</v>
      </c>
      <c r="I43" s="34">
        <f>I39-I40</f>
        <v>344.75699999999995</v>
      </c>
      <c r="J43" s="35">
        <f t="shared" si="57"/>
        <v>295.048</v>
      </c>
      <c r="K43" s="34">
        <f t="shared" si="57"/>
        <v>308.279</v>
      </c>
      <c r="L43" s="34">
        <f t="shared" si="57"/>
        <v>348.21500000000003</v>
      </c>
      <c r="M43" s="34">
        <f t="shared" si="57"/>
        <v>396.89400000000001</v>
      </c>
      <c r="N43" s="35">
        <f t="shared" si="57"/>
        <v>384.48699999999997</v>
      </c>
      <c r="O43" s="34">
        <f t="shared" si="57"/>
        <v>370.09099999999995</v>
      </c>
      <c r="P43" s="34">
        <f t="shared" si="57"/>
        <v>394.61900000000003</v>
      </c>
      <c r="Q43" s="34">
        <f t="shared" ref="Q43:T43" si="58">Q39-Q40</f>
        <v>400.89800000000002</v>
      </c>
      <c r="R43" s="35">
        <f t="shared" si="58"/>
        <v>420</v>
      </c>
      <c r="S43" s="34">
        <f t="shared" si="58"/>
        <v>443</v>
      </c>
      <c r="T43" s="34">
        <f t="shared" si="58"/>
        <v>389</v>
      </c>
      <c r="U43" s="34">
        <f t="shared" ref="U43:V43" si="59">U39-U40</f>
        <v>406</v>
      </c>
      <c r="V43" s="35">
        <f t="shared" si="59"/>
        <v>407</v>
      </c>
    </row>
    <row r="44" spans="1:22" x14ac:dyDescent="0.15">
      <c r="E44" s="49"/>
      <c r="I44" s="49"/>
      <c r="M44" s="49"/>
      <c r="V44" s="27"/>
    </row>
    <row r="45" spans="1:22" s="11" customFormat="1" x14ac:dyDescent="0.15">
      <c r="A45" s="30" t="s">
        <v>78</v>
      </c>
      <c r="B45" s="33"/>
      <c r="C45" s="33"/>
      <c r="D45" s="33"/>
      <c r="E45" s="31">
        <f t="shared" ref="E45:P45" si="60">SUM(B21:E21)</f>
        <v>-54.062999999999988</v>
      </c>
      <c r="F45" s="32">
        <f t="shared" si="60"/>
        <v>-16.284999999999979</v>
      </c>
      <c r="G45" s="31">
        <f t="shared" si="60"/>
        <v>-17.241999999999972</v>
      </c>
      <c r="H45" s="31">
        <f t="shared" si="60"/>
        <v>-12.749999999999977</v>
      </c>
      <c r="I45" s="31">
        <f t="shared" si="60"/>
        <v>-29.900999999999961</v>
      </c>
      <c r="J45" s="32">
        <f t="shared" si="60"/>
        <v>-31.513999999999974</v>
      </c>
      <c r="K45" s="31">
        <f t="shared" si="60"/>
        <v>-12.533999999999999</v>
      </c>
      <c r="L45" s="31">
        <f t="shared" si="60"/>
        <v>15.667000000000012</v>
      </c>
      <c r="M45" s="31">
        <f t="shared" si="60"/>
        <v>81.782000000000011</v>
      </c>
      <c r="N45" s="32">
        <f t="shared" si="60"/>
        <v>95.17</v>
      </c>
      <c r="O45" s="31">
        <f t="shared" si="60"/>
        <v>86.880000000000024</v>
      </c>
      <c r="P45" s="31">
        <f t="shared" si="60"/>
        <v>80.972000000000023</v>
      </c>
      <c r="Q45" s="31">
        <f>SUM(N21:Q21)</f>
        <v>77.625</v>
      </c>
      <c r="R45" s="32">
        <f t="shared" ref="R45" si="61">SUM(O21:R21)</f>
        <v>94.644000000000005</v>
      </c>
      <c r="S45" s="31">
        <f t="shared" ref="S45" si="62">SUM(P21:S21)</f>
        <v>109.265</v>
      </c>
      <c r="T45" s="31">
        <f t="shared" ref="T45" si="63">SUM(Q21:T21)</f>
        <v>105.371</v>
      </c>
      <c r="U45" s="31">
        <f>SUM(R21:U21)</f>
        <v>95.276999999999958</v>
      </c>
      <c r="V45" s="32">
        <f t="shared" ref="V45" si="64">SUM(S21:V21)</f>
        <v>77.345999999999961</v>
      </c>
    </row>
    <row r="46" spans="1:22" x14ac:dyDescent="0.15">
      <c r="A46" s="24" t="s">
        <v>79</v>
      </c>
      <c r="E46" s="44"/>
      <c r="F46" s="45"/>
      <c r="G46" s="44"/>
      <c r="H46" s="44"/>
      <c r="I46" s="44"/>
      <c r="J46" s="45"/>
      <c r="K46" s="44"/>
      <c r="L46" s="44">
        <f t="shared" ref="L46:O46" si="65">L45/L43</f>
        <v>4.4992317964476003E-2</v>
      </c>
      <c r="M46" s="44">
        <f t="shared" si="65"/>
        <v>0.20605501720862499</v>
      </c>
      <c r="N46" s="45">
        <f t="shared" si="65"/>
        <v>0.24752462371939757</v>
      </c>
      <c r="O46" s="44">
        <f t="shared" si="65"/>
        <v>0.23475307424390227</v>
      </c>
      <c r="P46" s="44">
        <f>P45/P43</f>
        <v>0.20519032281770522</v>
      </c>
      <c r="Q46" s="44">
        <f>Q45/Q43</f>
        <v>0.19362780557648079</v>
      </c>
      <c r="R46" s="45">
        <f t="shared" ref="R46:S46" si="66">R45/R43</f>
        <v>0.22534285714285715</v>
      </c>
      <c r="S46" s="44">
        <f t="shared" si="66"/>
        <v>0.24664785553047405</v>
      </c>
      <c r="T46" s="44">
        <f>T45/T43</f>
        <v>0.27087660668380459</v>
      </c>
      <c r="U46" s="44">
        <f>U45/U43</f>
        <v>0.23467241379310336</v>
      </c>
      <c r="V46" s="45">
        <f t="shared" ref="V46" si="67">V45/V43</f>
        <v>0.19003931203931193</v>
      </c>
    </row>
    <row r="47" spans="1:22" x14ac:dyDescent="0.15">
      <c r="A47" s="24" t="s">
        <v>80</v>
      </c>
      <c r="E47" s="44"/>
      <c r="F47" s="45"/>
      <c r="G47" s="44"/>
      <c r="H47" s="44"/>
      <c r="I47" s="44"/>
      <c r="J47" s="45"/>
      <c r="K47" s="44"/>
      <c r="L47" s="44">
        <f t="shared" ref="L47:O47" si="68">L45/L39</f>
        <v>2.7291477227198477E-2</v>
      </c>
      <c r="M47" s="44">
        <f t="shared" si="68"/>
        <v>0.13504672357050976</v>
      </c>
      <c r="N47" s="45">
        <f t="shared" si="68"/>
        <v>0.10937006199973569</v>
      </c>
      <c r="O47" s="44">
        <f t="shared" si="68"/>
        <v>0.10040332366435153</v>
      </c>
      <c r="P47" s="44">
        <f>P45/P39</f>
        <v>8.9238324472540376E-2</v>
      </c>
      <c r="Q47" s="44">
        <f>Q45/Q39</f>
        <v>8.6072976578170896E-2</v>
      </c>
      <c r="R47" s="45">
        <f t="shared" ref="R47:S47" si="69">R45/R39</f>
        <v>9.6477064220183498E-2</v>
      </c>
      <c r="S47" s="44">
        <f t="shared" si="69"/>
        <v>0.10691291585127202</v>
      </c>
      <c r="T47" s="44">
        <f>T45/T39</f>
        <v>7.0294196130753828E-2</v>
      </c>
      <c r="U47" s="44">
        <f>U45/U39</f>
        <v>6.1787937743190635E-2</v>
      </c>
      <c r="V47" s="45">
        <f t="shared" ref="V47" si="70">V45/V39</f>
        <v>5.0952569169960452E-2</v>
      </c>
    </row>
    <row r="48" spans="1:22" x14ac:dyDescent="0.15">
      <c r="A48" s="24" t="s">
        <v>81</v>
      </c>
      <c r="E48" s="44"/>
      <c r="F48" s="45"/>
      <c r="G48" s="44"/>
      <c r="H48" s="44"/>
      <c r="I48" s="44"/>
      <c r="J48" s="45"/>
      <c r="K48" s="44"/>
      <c r="L48" s="44">
        <f>L45/(L43-L38)</f>
        <v>5.1316905721931649E-2</v>
      </c>
      <c r="M48" s="44">
        <f t="shared" ref="M48:O48" si="71">M45/(M43-M38)</f>
        <v>0.2308576074161687</v>
      </c>
      <c r="N48" s="45">
        <f t="shared" si="71"/>
        <v>0.27847108635032292</v>
      </c>
      <c r="O48" s="44">
        <f t="shared" si="71"/>
        <v>0.29545493190049493</v>
      </c>
      <c r="P48" s="44">
        <f>P45/(P43-P38)</f>
        <v>0.25267664616469609</v>
      </c>
      <c r="Q48" s="44">
        <f>Q45/(Q43-Q38)</f>
        <v>0.23606638141028566</v>
      </c>
      <c r="R48" s="45">
        <f t="shared" ref="R48:S48" si="72">R45/(R43-R38)</f>
        <v>0.27118624641833811</v>
      </c>
      <c r="S48" s="44">
        <f t="shared" si="72"/>
        <v>0.29293565683646111</v>
      </c>
      <c r="T48" s="44">
        <f>T45/(T43-T38)</f>
        <v>2.1504285714285714</v>
      </c>
      <c r="U48" s="44">
        <f>U45/(U43-U38)</f>
        <v>1.4011323529411759</v>
      </c>
      <c r="V48" s="45">
        <f t="shared" ref="V48" si="73">V45/(V43-V38)</f>
        <v>1.0452162162162157</v>
      </c>
    </row>
    <row r="49" spans="1:22" x14ac:dyDescent="0.15">
      <c r="A49" s="24" t="s">
        <v>82</v>
      </c>
      <c r="E49" s="44"/>
      <c r="F49" s="45"/>
      <c r="G49" s="44"/>
      <c r="H49" s="44"/>
      <c r="I49" s="44"/>
      <c r="J49" s="45"/>
      <c r="K49" s="44"/>
      <c r="L49" s="44">
        <f t="shared" ref="L49:O49" si="74">L45/L42</f>
        <v>7.283250430012557E-2</v>
      </c>
      <c r="M49" s="44">
        <f t="shared" si="74"/>
        <v>0.37678702240487272</v>
      </c>
      <c r="N49" s="45">
        <f t="shared" si="74"/>
        <v>0.43118954307591245</v>
      </c>
      <c r="O49" s="44">
        <f t="shared" si="74"/>
        <v>0.40143422171293414</v>
      </c>
      <c r="P49" s="44">
        <f>P45/P42</f>
        <v>0.33222144266788112</v>
      </c>
      <c r="Q49" s="44">
        <f>Q45/Q42</f>
        <v>0.38783024901075192</v>
      </c>
      <c r="R49" s="45">
        <f t="shared" ref="R49:S49" si="75">R45/R42</f>
        <v>0.328625</v>
      </c>
      <c r="S49" s="44">
        <f t="shared" si="75"/>
        <v>0.37291808873720139</v>
      </c>
      <c r="T49" s="44">
        <f>T45/T42</f>
        <v>0.34891059602649005</v>
      </c>
      <c r="U49" s="44">
        <f>U45/U42</f>
        <v>0.31972147651006699</v>
      </c>
      <c r="V49" s="45">
        <f t="shared" ref="V49" si="76">V45/V42</f>
        <v>0.26949825783972114</v>
      </c>
    </row>
    <row r="50" spans="1:22" x14ac:dyDescent="0.15">
      <c r="V50" s="27"/>
    </row>
    <row r="51" spans="1:22" x14ac:dyDescent="0.15">
      <c r="A51" s="3" t="s">
        <v>94</v>
      </c>
      <c r="F51" s="45">
        <f t="shared" ref="F51:Q53" si="77">F3/B3-1</f>
        <v>0.18503532221153507</v>
      </c>
      <c r="G51" s="44">
        <f t="shared" si="77"/>
        <v>0.22764120909777152</v>
      </c>
      <c r="H51" s="44">
        <f t="shared" si="77"/>
        <v>0.18307892777364132</v>
      </c>
      <c r="I51" s="44">
        <f t="shared" si="77"/>
        <v>0.17941501658458137</v>
      </c>
      <c r="J51" s="45">
        <f t="shared" si="77"/>
        <v>0.97486705849426269</v>
      </c>
      <c r="K51" s="44">
        <f t="shared" si="77"/>
        <v>1.0169763400614888</v>
      </c>
      <c r="L51" s="44">
        <f t="shared" si="77"/>
        <v>1.0404374164109829</v>
      </c>
      <c r="M51" s="44">
        <f t="shared" si="77"/>
        <v>0.1558505198568263</v>
      </c>
      <c r="N51" s="45">
        <f t="shared" si="77"/>
        <v>0.24666250956605551</v>
      </c>
      <c r="O51" s="44">
        <f t="shared" si="77"/>
        <v>0.21023261978925056</v>
      </c>
      <c r="P51" s="44">
        <f t="shared" si="77"/>
        <v>0.42565031873329207</v>
      </c>
      <c r="Q51" s="44">
        <f t="shared" si="77"/>
        <v>1.7748797257193414</v>
      </c>
      <c r="R51" s="45">
        <f t="shared" ref="R51:R52" si="78">R3/N3-1</f>
        <v>0.43235531506132974</v>
      </c>
      <c r="S51" s="44">
        <f t="shared" ref="S51:S52" si="79">S3/O3-1</f>
        <v>0.467592491183493</v>
      </c>
      <c r="T51" s="44">
        <f t="shared" ref="T51:T52" si="80">T3/P3-1</f>
        <v>0.27110622301152998</v>
      </c>
      <c r="U51" s="44">
        <f t="shared" ref="U51:V52" si="81">U3/Q3-1</f>
        <v>0.25980470306895187</v>
      </c>
      <c r="V51" s="45">
        <f t="shared" si="81"/>
        <v>0.237468253968254</v>
      </c>
    </row>
    <row r="52" spans="1:22" x14ac:dyDescent="0.15">
      <c r="A52" s="3" t="s">
        <v>95</v>
      </c>
      <c r="F52" s="45">
        <f t="shared" si="77"/>
        <v>0.59584295612009242</v>
      </c>
      <c r="G52" s="44">
        <f t="shared" si="77"/>
        <v>0.58108834397044018</v>
      </c>
      <c r="H52" s="44">
        <f t="shared" si="77"/>
        <v>0.5005413096600575</v>
      </c>
      <c r="I52" s="44">
        <f t="shared" si="77"/>
        <v>0.30730467922930349</v>
      </c>
      <c r="J52" s="45">
        <f t="shared" si="77"/>
        <v>-0.44538625870029636</v>
      </c>
      <c r="K52" s="44">
        <f t="shared" si="77"/>
        <v>-0.45951687947481357</v>
      </c>
      <c r="L52" s="44">
        <f t="shared" si="77"/>
        <v>-0.42330605429696366</v>
      </c>
      <c r="M52" s="44">
        <f t="shared" si="77"/>
        <v>0.33323075926405799</v>
      </c>
      <c r="N52" s="45">
        <f t="shared" si="77"/>
        <v>0.35043903247183561</v>
      </c>
      <c r="O52" s="44">
        <f t="shared" si="77"/>
        <v>0.55294811320754711</v>
      </c>
      <c r="P52" s="44">
        <f t="shared" si="77"/>
        <v>0.36524163568773238</v>
      </c>
      <c r="Q52" s="44">
        <f t="shared" si="77"/>
        <v>-0.40934656640629752</v>
      </c>
      <c r="R52" s="45">
        <f t="shared" si="78"/>
        <v>0.28814598987885298</v>
      </c>
      <c r="S52" s="44">
        <f t="shared" si="79"/>
        <v>0.18966259143949182</v>
      </c>
      <c r="T52" s="44">
        <f t="shared" si="80"/>
        <v>0.49238100225166237</v>
      </c>
      <c r="U52" s="44">
        <f t="shared" si="81"/>
        <v>0.65248241536752905</v>
      </c>
      <c r="V52" s="45">
        <f t="shared" si="81"/>
        <v>0.71747619047619038</v>
      </c>
    </row>
    <row r="53" spans="1:22" x14ac:dyDescent="0.15">
      <c r="A53" s="3" t="s">
        <v>96</v>
      </c>
      <c r="F53" s="45">
        <f t="shared" si="77"/>
        <v>1.3216531895777179</v>
      </c>
      <c r="G53" s="44">
        <f t="shared" si="77"/>
        <v>-0.22291296625222012</v>
      </c>
      <c r="H53" s="44">
        <f t="shared" si="77"/>
        <v>-0.19118942731277533</v>
      </c>
      <c r="I53" s="44">
        <f t="shared" si="77"/>
        <v>0.75949367088607578</v>
      </c>
      <c r="J53" s="45">
        <f t="shared" si="77"/>
        <v>-0.15441176470588236</v>
      </c>
      <c r="K53" s="44">
        <f t="shared" si="77"/>
        <v>-7.7714285714285625E-2</v>
      </c>
      <c r="L53" s="44">
        <f t="shared" si="77"/>
        <v>-0.35076252723311552</v>
      </c>
      <c r="M53" s="44">
        <f t="shared" si="77"/>
        <v>-1.2092871157619358</v>
      </c>
      <c r="N53" s="45">
        <f t="shared" si="77"/>
        <v>-0.84439359267734559</v>
      </c>
      <c r="O53" s="44">
        <f t="shared" si="77"/>
        <v>0.95043370508054514</v>
      </c>
      <c r="P53" s="44">
        <f t="shared" si="77"/>
        <v>1.0889261744966445</v>
      </c>
      <c r="Q53" s="44">
        <f t="shared" si="77"/>
        <v>-4.125</v>
      </c>
      <c r="R53" s="45"/>
      <c r="S53" s="44"/>
      <c r="T53" s="44"/>
      <c r="U53" s="44"/>
      <c r="V53" s="45"/>
    </row>
    <row r="54" spans="1:22" x14ac:dyDescent="0.15">
      <c r="V54" s="27"/>
    </row>
    <row r="55" spans="1:22" x14ac:dyDescent="0.15">
      <c r="A55" s="3" t="s">
        <v>98</v>
      </c>
      <c r="F55" s="45">
        <f t="shared" ref="F55:N55" si="82">F7/B7-1</f>
        <v>0.201084609108797</v>
      </c>
      <c r="G55" s="44">
        <f t="shared" si="82"/>
        <v>0.20311563810665079</v>
      </c>
      <c r="H55" s="44">
        <f t="shared" si="82"/>
        <v>0.2007255674025572</v>
      </c>
      <c r="I55" s="44">
        <f t="shared" si="82"/>
        <v>0.18797305165100231</v>
      </c>
      <c r="J55" s="45">
        <f t="shared" si="82"/>
        <v>0.18547968194350095</v>
      </c>
      <c r="K55" s="44">
        <f t="shared" si="82"/>
        <v>0.1716212074777812</v>
      </c>
      <c r="L55" s="44">
        <f t="shared" si="82"/>
        <v>0.16728076639646283</v>
      </c>
      <c r="M55" s="44">
        <f t="shared" si="82"/>
        <v>0.16796191276342509</v>
      </c>
      <c r="N55" s="45">
        <f t="shared" si="82"/>
        <v>0.16933499612390035</v>
      </c>
      <c r="O55" s="44">
        <f>O7/K7-1</f>
        <v>0.17152759612869461</v>
      </c>
      <c r="P55" s="44">
        <f>P7/L7-1</f>
        <v>0.17215909090909087</v>
      </c>
      <c r="Q55" s="44">
        <f>Q7/M7-1</f>
        <v>0.18232226351756409</v>
      </c>
      <c r="R55" s="45">
        <f t="shared" ref="R55:R56" si="83">R7/N7-1</f>
        <v>0.18179459833395795</v>
      </c>
      <c r="S55" s="44">
        <f>S7/O7-1</f>
        <v>0.19173876639687437</v>
      </c>
      <c r="T55" s="44">
        <f>T7/P7-1</f>
        <v>0.2064415360585985</v>
      </c>
      <c r="U55" s="44">
        <f>U7/Q7-1</f>
        <v>0.17501964661444469</v>
      </c>
      <c r="V55" s="45">
        <f t="shared" ref="V55:V56" si="84">V7/R7-1</f>
        <v>0.16458536585365846</v>
      </c>
    </row>
    <row r="56" spans="1:22" x14ac:dyDescent="0.15">
      <c r="A56" s="3" t="s">
        <v>85</v>
      </c>
      <c r="F56" s="45">
        <f t="shared" ref="F56:O56" si="85">F8/B8-1</f>
        <v>0.16400324170061009</v>
      </c>
      <c r="G56" s="44">
        <f t="shared" si="85"/>
        <v>0.1560332531196813</v>
      </c>
      <c r="H56" s="44">
        <f t="shared" si="85"/>
        <v>0.11002557928778312</v>
      </c>
      <c r="I56" s="44">
        <f t="shared" si="85"/>
        <v>5.5470992756727844E-2</v>
      </c>
      <c r="J56" s="45">
        <f t="shared" si="85"/>
        <v>-1.4115058622479193E-3</v>
      </c>
      <c r="K56" s="44">
        <f t="shared" si="85"/>
        <v>1.6953575362756101E-2</v>
      </c>
      <c r="L56" s="44">
        <f t="shared" si="85"/>
        <v>4.0804074411689539E-2</v>
      </c>
      <c r="M56" s="44">
        <f t="shared" si="85"/>
        <v>5.8499771296434577E-2</v>
      </c>
      <c r="N56" s="45">
        <f t="shared" si="85"/>
        <v>6.7202955009753929E-2</v>
      </c>
      <c r="O56" s="44">
        <f t="shared" si="85"/>
        <v>0.1112352997881485</v>
      </c>
      <c r="P56" s="44">
        <f>P8/L8-1</f>
        <v>0.20587724687023168</v>
      </c>
      <c r="Q56" s="44">
        <f>Q8/M8-1</f>
        <v>0.24253678071819951</v>
      </c>
      <c r="R56" s="45">
        <f t="shared" si="83"/>
        <v>0.17570367644922968</v>
      </c>
      <c r="S56" s="44">
        <f t="shared" ref="S56" si="86">S8/O8-1</f>
        <v>0.14723441664685821</v>
      </c>
      <c r="T56" s="44">
        <f>T8/P8-1</f>
        <v>9.1463614494918133E-2</v>
      </c>
      <c r="U56" s="44">
        <f>U8/Q8-1</f>
        <v>0.14797858656927554</v>
      </c>
      <c r="V56" s="45">
        <f t="shared" si="84"/>
        <v>0.16562536152100127</v>
      </c>
    </row>
    <row r="57" spans="1:22" x14ac:dyDescent="0.15">
      <c r="V57" s="27"/>
    </row>
    <row r="58" spans="1:22" s="8" customFormat="1" x14ac:dyDescent="0.15">
      <c r="A58" s="8" t="s">
        <v>103</v>
      </c>
      <c r="B58" s="29"/>
      <c r="C58" s="29"/>
      <c r="D58" s="29"/>
      <c r="E58" s="29"/>
      <c r="F58" s="28"/>
      <c r="G58" s="29"/>
      <c r="H58" s="29"/>
      <c r="I58" s="29"/>
      <c r="J58" s="28"/>
      <c r="K58" s="29"/>
      <c r="L58" s="29"/>
      <c r="M58" s="29"/>
      <c r="N58" s="28">
        <v>861</v>
      </c>
      <c r="O58" s="29">
        <v>902</v>
      </c>
      <c r="P58" s="29">
        <v>923</v>
      </c>
      <c r="Q58" s="29"/>
      <c r="R58" s="28">
        <v>1024</v>
      </c>
      <c r="S58" s="29">
        <v>1095</v>
      </c>
      <c r="T58" s="29">
        <v>1200</v>
      </c>
      <c r="U58" s="29">
        <v>1655.7159999999999</v>
      </c>
      <c r="V58" s="28">
        <v>1353.2909999999999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2020-06-24T12:29:31Z</dcterms:modified>
</cp:coreProperties>
</file>