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224"/>
  <workbookPr/>
  <mc:AlternateContent xmlns:mc="http://schemas.openxmlformats.org/markup-compatibility/2006">
    <mc:Choice Requires="x15">
      <x15ac:absPath xmlns:x15ac="http://schemas.microsoft.com/office/spreadsheetml/2010/11/ac" url="/Users/michaelsjoberg/Dropbox/- PROJECTS/- Investing/stocks/"/>
    </mc:Choice>
  </mc:AlternateContent>
  <bookViews>
    <workbookView xWindow="0" yWindow="460" windowWidth="18380" windowHeight="16540" tabRatio="500"/>
  </bookViews>
  <sheets>
    <sheet name="Main" sheetId="2" r:id="rId1"/>
    <sheet name="Reports" sheetId="1" r:id="rId2"/>
    <sheet name="Products" sheetId="3" r:id="rId3"/>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23" i="2" l="1"/>
  <c r="F25" i="2"/>
  <c r="F39" i="2"/>
  <c r="J55" i="2"/>
  <c r="J13" i="2"/>
  <c r="J12" i="2"/>
  <c r="J11" i="2"/>
  <c r="J10" i="2"/>
  <c r="F15" i="2"/>
  <c r="F4" i="2"/>
  <c r="I6" i="2"/>
  <c r="I5" i="2"/>
  <c r="I4" i="2"/>
  <c r="I3" i="2"/>
  <c r="I2" i="2"/>
  <c r="C5" i="2"/>
  <c r="C3" i="2"/>
  <c r="F17" i="2"/>
  <c r="F22" i="2"/>
  <c r="F24" i="2"/>
  <c r="F26" i="2"/>
  <c r="F30" i="2"/>
  <c r="G17" i="2"/>
  <c r="G22" i="2"/>
  <c r="G23" i="2"/>
  <c r="G24" i="2"/>
  <c r="G25" i="2"/>
  <c r="G26" i="2"/>
  <c r="G30" i="2"/>
  <c r="H17" i="2"/>
  <c r="H22" i="2"/>
  <c r="G39" i="2"/>
  <c r="H23" i="2"/>
  <c r="H24" i="2"/>
  <c r="H25" i="2"/>
  <c r="H26" i="2"/>
  <c r="H30" i="2"/>
  <c r="I17" i="2"/>
  <c r="I22" i="2"/>
  <c r="H39" i="2"/>
  <c r="I23" i="2"/>
  <c r="I24" i="2"/>
  <c r="I25" i="2"/>
  <c r="I26" i="2"/>
  <c r="I30" i="2"/>
  <c r="J17" i="2"/>
  <c r="J22" i="2"/>
  <c r="I39" i="2"/>
  <c r="J23" i="2"/>
  <c r="J24" i="2"/>
  <c r="J25" i="2"/>
  <c r="J26" i="2"/>
  <c r="J30" i="2"/>
  <c r="K17" i="2"/>
  <c r="K22" i="2"/>
  <c r="J39" i="2"/>
  <c r="K23" i="2"/>
  <c r="K24" i="2"/>
  <c r="K25" i="2"/>
  <c r="K26" i="2"/>
  <c r="K30" i="2"/>
  <c r="L17" i="2"/>
  <c r="L22" i="2"/>
  <c r="K39" i="2"/>
  <c r="L23" i="2"/>
  <c r="L24" i="2"/>
  <c r="L25" i="2"/>
  <c r="L26" i="2"/>
  <c r="L30" i="2"/>
  <c r="M17" i="2"/>
  <c r="M22" i="2"/>
  <c r="L39" i="2"/>
  <c r="M23" i="2"/>
  <c r="M24" i="2"/>
  <c r="M25" i="2"/>
  <c r="M26" i="2"/>
  <c r="M30" i="2"/>
  <c r="N17" i="2"/>
  <c r="N22" i="2"/>
  <c r="M39" i="2"/>
  <c r="N23" i="2"/>
  <c r="N24" i="2"/>
  <c r="N25" i="2"/>
  <c r="N26" i="2"/>
  <c r="N30" i="2"/>
  <c r="O17" i="2"/>
  <c r="O22" i="2"/>
  <c r="N39" i="2"/>
  <c r="O23" i="2"/>
  <c r="O24" i="2"/>
  <c r="O25" i="2"/>
  <c r="O26" i="2"/>
  <c r="O30" i="2"/>
  <c r="P17" i="2"/>
  <c r="P22" i="2"/>
  <c r="O39" i="2"/>
  <c r="P23" i="2"/>
  <c r="P24" i="2"/>
  <c r="P25" i="2"/>
  <c r="P26" i="2"/>
  <c r="P30" i="2"/>
  <c r="Q17" i="2"/>
  <c r="Q22" i="2"/>
  <c r="P39" i="2"/>
  <c r="Q23" i="2"/>
  <c r="Q24" i="2"/>
  <c r="Q25" i="2"/>
  <c r="Q26" i="2"/>
  <c r="R26" i="2"/>
  <c r="S26" i="2"/>
  <c r="T26" i="2"/>
  <c r="U26" i="2"/>
  <c r="V26" i="2"/>
  <c r="W26" i="2"/>
  <c r="X26" i="2"/>
  <c r="Y26" i="2"/>
  <c r="Z26" i="2"/>
  <c r="AA26" i="2"/>
  <c r="AB26" i="2"/>
  <c r="AC26" i="2"/>
  <c r="AD26" i="2"/>
  <c r="AE26" i="2"/>
  <c r="AF26" i="2"/>
  <c r="AG26" i="2"/>
  <c r="AH26" i="2"/>
  <c r="AI26" i="2"/>
  <c r="AJ26" i="2"/>
  <c r="AK26" i="2"/>
  <c r="AL26" i="2"/>
  <c r="AM26" i="2"/>
  <c r="AN26" i="2"/>
  <c r="AO26" i="2"/>
  <c r="AP26" i="2"/>
  <c r="AQ26" i="2"/>
  <c r="AR26" i="2"/>
  <c r="AS26" i="2"/>
  <c r="AT26" i="2"/>
  <c r="AU26" i="2"/>
  <c r="AV26" i="2"/>
  <c r="AW26" i="2"/>
  <c r="AX26" i="2"/>
  <c r="AY26" i="2"/>
  <c r="AZ26" i="2"/>
  <c r="BA26" i="2"/>
  <c r="BB26" i="2"/>
  <c r="BC26" i="2"/>
  <c r="BD26" i="2"/>
  <c r="BE26" i="2"/>
  <c r="BF26" i="2"/>
  <c r="BG26" i="2"/>
  <c r="BH26" i="2"/>
  <c r="BI26" i="2"/>
  <c r="BJ26" i="2"/>
  <c r="BK26" i="2"/>
  <c r="BL26" i="2"/>
  <c r="BM26" i="2"/>
  <c r="BN26" i="2"/>
  <c r="BO26" i="2"/>
  <c r="BP26" i="2"/>
  <c r="BQ26" i="2"/>
  <c r="BR26" i="2"/>
  <c r="BS26" i="2"/>
  <c r="BT26" i="2"/>
  <c r="BU26" i="2"/>
  <c r="BV26" i="2"/>
  <c r="BW26" i="2"/>
  <c r="BX26" i="2"/>
  <c r="BY26" i="2"/>
  <c r="BZ26" i="2"/>
  <c r="CA26" i="2"/>
  <c r="CB26" i="2"/>
  <c r="CC26" i="2"/>
  <c r="CD26" i="2"/>
  <c r="CE26" i="2"/>
  <c r="CF26" i="2"/>
  <c r="CG26" i="2"/>
  <c r="CH26" i="2"/>
  <c r="CI26" i="2"/>
  <c r="CJ26" i="2"/>
  <c r="CK26" i="2"/>
  <c r="CL26" i="2"/>
  <c r="CM26" i="2"/>
  <c r="CN26" i="2"/>
  <c r="CO26" i="2"/>
  <c r="CP26" i="2"/>
  <c r="CQ26" i="2"/>
  <c r="CR26" i="2"/>
  <c r="CS26" i="2"/>
  <c r="CT26" i="2"/>
  <c r="CU26" i="2"/>
  <c r="CV26" i="2"/>
  <c r="CW26" i="2"/>
  <c r="CX26" i="2"/>
  <c r="CY26" i="2"/>
  <c r="CZ26" i="2"/>
  <c r="DA26" i="2"/>
  <c r="DB26" i="2"/>
  <c r="DC26" i="2"/>
  <c r="DD26" i="2"/>
  <c r="DE26" i="2"/>
  <c r="DF26" i="2"/>
  <c r="DG26" i="2"/>
  <c r="DH26" i="2"/>
  <c r="DI26" i="2"/>
  <c r="DJ26" i="2"/>
  <c r="DK26" i="2"/>
  <c r="DL26" i="2"/>
  <c r="DM26" i="2"/>
  <c r="DN26" i="2"/>
  <c r="DO26" i="2"/>
  <c r="DP26" i="2"/>
  <c r="DQ26" i="2"/>
  <c r="DR26" i="2"/>
  <c r="F5" i="2"/>
  <c r="E61" i="2"/>
  <c r="E60" i="2"/>
  <c r="D60" i="2"/>
  <c r="J58" i="2"/>
  <c r="J57" i="2"/>
  <c r="J56" i="2"/>
  <c r="E39" i="2"/>
  <c r="E47" i="2"/>
  <c r="E53" i="2"/>
  <c r="E48" i="2"/>
  <c r="E52" i="2"/>
  <c r="E51" i="2"/>
  <c r="E50" i="2"/>
  <c r="E45" i="2"/>
  <c r="E44" i="2"/>
  <c r="E43" i="2"/>
  <c r="E41" i="2"/>
  <c r="E40" i="2"/>
  <c r="F34" i="2"/>
  <c r="E34" i="2"/>
  <c r="E27" i="2"/>
  <c r="E24" i="2"/>
  <c r="E21" i="2"/>
  <c r="E22" i="2"/>
  <c r="E17" i="2"/>
  <c r="D17" i="2"/>
  <c r="E15" i="2"/>
  <c r="E28" i="2"/>
  <c r="E25" i="2"/>
  <c r="E23" i="2"/>
  <c r="E20" i="2"/>
  <c r="E19" i="2"/>
  <c r="E18" i="2"/>
  <c r="E16" i="2"/>
  <c r="E13" i="2"/>
  <c r="E12" i="2"/>
  <c r="E11" i="2"/>
  <c r="E10" i="2"/>
  <c r="N64" i="1"/>
  <c r="O64" i="1"/>
  <c r="P64" i="1"/>
  <c r="Q64" i="1"/>
  <c r="Q57" i="1"/>
  <c r="Q8" i="1"/>
  <c r="Q61" i="1"/>
  <c r="Q38" i="1"/>
  <c r="Q36" i="1"/>
  <c r="Q33" i="1"/>
  <c r="Q43" i="1"/>
  <c r="Q40" i="1"/>
  <c r="Q47" i="1"/>
  <c r="Q41" i="1"/>
  <c r="Q46" i="1"/>
  <c r="Q45" i="1"/>
  <c r="Q44" i="1"/>
  <c r="Q32" i="1"/>
  <c r="Q20" i="1"/>
  <c r="Q19" i="1"/>
  <c r="Q17" i="1"/>
  <c r="Q16" i="1"/>
  <c r="Q14" i="1"/>
  <c r="Q15" i="1"/>
  <c r="Q13" i="1"/>
  <c r="Q10" i="1"/>
  <c r="Q3" i="1"/>
  <c r="Q55" i="1"/>
  <c r="C4" i="2"/>
  <c r="D30" i="2"/>
  <c r="E26" i="2"/>
  <c r="F10" i="2"/>
  <c r="F11" i="2"/>
  <c r="F12" i="2"/>
  <c r="F13" i="2"/>
  <c r="E30" i="2"/>
  <c r="F18" i="2"/>
  <c r="F19" i="2"/>
  <c r="F20" i="2"/>
  <c r="F21" i="2"/>
  <c r="G10" i="2"/>
  <c r="G11" i="2"/>
  <c r="G12" i="2"/>
  <c r="G13" i="2"/>
  <c r="G15" i="2"/>
  <c r="G18" i="2"/>
  <c r="G19" i="2"/>
  <c r="G20" i="2"/>
  <c r="G21" i="2"/>
  <c r="H10" i="2"/>
  <c r="H11" i="2"/>
  <c r="H12" i="2"/>
  <c r="H13" i="2"/>
  <c r="H15" i="2"/>
  <c r="H18" i="2"/>
  <c r="H19" i="2"/>
  <c r="H20" i="2"/>
  <c r="H21" i="2"/>
  <c r="I10" i="2"/>
  <c r="I11" i="2"/>
  <c r="I12" i="2"/>
  <c r="I13" i="2"/>
  <c r="I15" i="2"/>
  <c r="I18" i="2"/>
  <c r="I19" i="2"/>
  <c r="I20" i="2"/>
  <c r="I21" i="2"/>
  <c r="J15" i="2"/>
  <c r="J18" i="2"/>
  <c r="J19" i="2"/>
  <c r="J20" i="2"/>
  <c r="J21" i="2"/>
  <c r="K15" i="2"/>
  <c r="K18" i="2"/>
  <c r="K19" i="2"/>
  <c r="K20" i="2"/>
  <c r="K21" i="2"/>
  <c r="L15" i="2"/>
  <c r="L18" i="2"/>
  <c r="L19" i="2"/>
  <c r="L20" i="2"/>
  <c r="L21" i="2"/>
  <c r="M15" i="2"/>
  <c r="M18" i="2"/>
  <c r="M19" i="2"/>
  <c r="M20" i="2"/>
  <c r="M21" i="2"/>
  <c r="N15" i="2"/>
  <c r="N18" i="2"/>
  <c r="N19" i="2"/>
  <c r="N20" i="2"/>
  <c r="N21" i="2"/>
  <c r="O15" i="2"/>
  <c r="O18" i="2"/>
  <c r="O19" i="2"/>
  <c r="O20" i="2"/>
  <c r="O21" i="2"/>
  <c r="P15" i="2"/>
  <c r="P18" i="2"/>
  <c r="P19" i="2"/>
  <c r="P20" i="2"/>
  <c r="P21" i="2"/>
  <c r="Q15" i="2"/>
  <c r="Q18" i="2"/>
  <c r="Q19" i="2"/>
  <c r="Q20" i="2"/>
  <c r="Q21" i="2"/>
  <c r="F6" i="2"/>
  <c r="F7" i="2"/>
  <c r="F16" i="2"/>
  <c r="I58" i="2"/>
  <c r="H58" i="2"/>
  <c r="G58" i="2"/>
  <c r="F58" i="2"/>
  <c r="E58" i="2"/>
  <c r="I57" i="2"/>
  <c r="H57" i="2"/>
  <c r="G57" i="2"/>
  <c r="F57" i="2"/>
  <c r="E57" i="2"/>
  <c r="I56" i="2"/>
  <c r="H56" i="2"/>
  <c r="G56" i="2"/>
  <c r="F56" i="2"/>
  <c r="E56" i="2"/>
  <c r="I55" i="2"/>
  <c r="H55" i="2"/>
  <c r="G55" i="2"/>
  <c r="F55" i="2"/>
  <c r="E55" i="2"/>
  <c r="C58" i="2"/>
  <c r="C57" i="2"/>
  <c r="C56" i="2"/>
  <c r="C55" i="2"/>
  <c r="D58" i="2"/>
  <c r="D57" i="2"/>
  <c r="D56" i="2"/>
  <c r="D55" i="2"/>
  <c r="D22" i="2"/>
  <c r="D24" i="2"/>
  <c r="D26" i="2"/>
  <c r="D53" i="2"/>
  <c r="D52" i="2"/>
  <c r="D51" i="2"/>
  <c r="D50" i="2"/>
  <c r="D48" i="2"/>
  <c r="D47" i="2"/>
  <c r="D39" i="2"/>
  <c r="D45" i="2"/>
  <c r="D44" i="2"/>
  <c r="D43" i="2"/>
  <c r="D41" i="2"/>
  <c r="D40" i="2"/>
  <c r="C39" i="2"/>
  <c r="C41" i="2"/>
  <c r="C40" i="2"/>
  <c r="B39" i="2"/>
  <c r="B41" i="2"/>
  <c r="B40" i="2"/>
  <c r="D28" i="2"/>
  <c r="D25" i="2"/>
  <c r="D23" i="2"/>
  <c r="D20" i="2"/>
  <c r="D19" i="2"/>
  <c r="D18" i="2"/>
  <c r="D16" i="2"/>
  <c r="D13" i="2"/>
  <c r="D12" i="2"/>
  <c r="D11" i="2"/>
  <c r="D10" i="2"/>
  <c r="C28" i="2"/>
  <c r="C25" i="2"/>
  <c r="C23" i="2"/>
  <c r="C20" i="2"/>
  <c r="C19" i="2"/>
  <c r="C18" i="2"/>
  <c r="C16" i="2"/>
  <c r="C13" i="2"/>
  <c r="C12" i="2"/>
  <c r="C11" i="2"/>
  <c r="C10" i="2"/>
  <c r="B17" i="2"/>
  <c r="B28" i="2"/>
  <c r="B25" i="2"/>
  <c r="B23" i="2"/>
  <c r="B20" i="2"/>
  <c r="B19" i="2"/>
  <c r="B18" i="2"/>
  <c r="B16" i="2"/>
  <c r="B13" i="2"/>
  <c r="B12" i="2"/>
  <c r="B11" i="2"/>
  <c r="B10" i="2"/>
  <c r="Q30" i="1"/>
  <c r="Q29" i="1"/>
  <c r="Q28" i="1"/>
  <c r="Q27" i="1"/>
  <c r="Q25" i="1"/>
  <c r="Q24" i="1"/>
  <c r="Q23" i="1"/>
  <c r="Q52" i="1"/>
  <c r="Q51" i="1"/>
  <c r="Q50" i="1"/>
  <c r="Q49" i="1"/>
  <c r="M55" i="1"/>
  <c r="L55" i="1"/>
  <c r="K55" i="1"/>
  <c r="J55" i="1"/>
  <c r="I61" i="1"/>
  <c r="H61" i="1"/>
  <c r="G61" i="1"/>
  <c r="F61" i="1"/>
  <c r="M61" i="1"/>
  <c r="M19" i="1"/>
  <c r="M20" i="1"/>
  <c r="M17" i="1"/>
  <c r="M16" i="1"/>
  <c r="M14" i="1"/>
  <c r="M15" i="1"/>
  <c r="M13" i="1"/>
  <c r="M10" i="1"/>
  <c r="M8" i="1"/>
  <c r="M3" i="1"/>
  <c r="N38" i="1"/>
  <c r="N36" i="1"/>
  <c r="N34" i="1"/>
  <c r="N33" i="1"/>
  <c r="N16" i="1"/>
  <c r="N13" i="1"/>
  <c r="J61" i="1"/>
  <c r="N61" i="1"/>
  <c r="N55" i="1"/>
  <c r="N52" i="1"/>
  <c r="N51" i="1"/>
  <c r="N50" i="1"/>
  <c r="N49" i="1"/>
  <c r="N8" i="1"/>
  <c r="N10" i="1"/>
  <c r="N14" i="1"/>
  <c r="N15" i="1"/>
  <c r="N17" i="1"/>
  <c r="N19" i="1"/>
  <c r="N43" i="1"/>
  <c r="N40" i="1"/>
  <c r="N47" i="1"/>
  <c r="N41" i="1"/>
  <c r="N46" i="1"/>
  <c r="N45" i="1"/>
  <c r="N44" i="1"/>
  <c r="N32" i="1"/>
  <c r="N30" i="1"/>
  <c r="N29" i="1"/>
  <c r="N28" i="1"/>
  <c r="N27" i="1"/>
  <c r="N25" i="1"/>
  <c r="N24" i="1"/>
  <c r="N23" i="1"/>
  <c r="N20" i="1"/>
  <c r="O38" i="1"/>
  <c r="O36" i="1"/>
  <c r="O34" i="1"/>
  <c r="O33" i="1"/>
  <c r="P20" i="1"/>
  <c r="O20" i="1"/>
  <c r="O16" i="1"/>
  <c r="O13" i="1"/>
  <c r="K61" i="1"/>
  <c r="O61" i="1"/>
  <c r="O55" i="1"/>
  <c r="O52" i="1"/>
  <c r="O51" i="1"/>
  <c r="O50" i="1"/>
  <c r="O49" i="1"/>
  <c r="O8" i="1"/>
  <c r="O10" i="1"/>
  <c r="O14" i="1"/>
  <c r="O15" i="1"/>
  <c r="O17" i="1"/>
  <c r="O19" i="1"/>
  <c r="O43" i="1"/>
  <c r="O40" i="1"/>
  <c r="O47" i="1"/>
  <c r="O41" i="1"/>
  <c r="O46" i="1"/>
  <c r="O45" i="1"/>
  <c r="O44" i="1"/>
  <c r="O32" i="1"/>
  <c r="O30" i="1"/>
  <c r="O29" i="1"/>
  <c r="O28" i="1"/>
  <c r="O27" i="1"/>
  <c r="O25" i="1"/>
  <c r="O24" i="1"/>
  <c r="O23" i="1"/>
  <c r="M38" i="1"/>
  <c r="M36" i="1"/>
  <c r="M34" i="1"/>
  <c r="M33" i="1"/>
  <c r="M52" i="1"/>
  <c r="M51" i="1"/>
  <c r="M50" i="1"/>
  <c r="M49" i="1"/>
  <c r="M43" i="1"/>
  <c r="M40" i="1"/>
  <c r="M47" i="1"/>
  <c r="M41" i="1"/>
  <c r="M46" i="1"/>
  <c r="M45" i="1"/>
  <c r="M44" i="1"/>
  <c r="M32" i="1"/>
  <c r="P43" i="1"/>
  <c r="P46" i="1"/>
  <c r="P47" i="1"/>
  <c r="P45" i="1"/>
  <c r="P44" i="1"/>
  <c r="P41" i="1"/>
  <c r="P40" i="1"/>
  <c r="P38" i="1"/>
  <c r="P36" i="1"/>
  <c r="P33" i="1"/>
  <c r="L16" i="1"/>
  <c r="L13" i="1"/>
  <c r="P16" i="1"/>
  <c r="P13" i="1"/>
  <c r="F52" i="1"/>
  <c r="F50" i="1"/>
  <c r="F49" i="1"/>
  <c r="G52" i="1"/>
  <c r="G50" i="1"/>
  <c r="G49" i="1"/>
  <c r="H52" i="1"/>
  <c r="H50" i="1"/>
  <c r="H49" i="1"/>
  <c r="I52" i="1"/>
  <c r="I51" i="1"/>
  <c r="I50" i="1"/>
  <c r="I49" i="1"/>
  <c r="J52" i="1"/>
  <c r="J51" i="1"/>
  <c r="J50" i="1"/>
  <c r="J49" i="1"/>
  <c r="K52" i="1"/>
  <c r="K51" i="1"/>
  <c r="K50" i="1"/>
  <c r="K49" i="1"/>
  <c r="L52" i="1"/>
  <c r="L51" i="1"/>
  <c r="L50" i="1"/>
  <c r="L49" i="1"/>
  <c r="P52" i="1"/>
  <c r="P51" i="1"/>
  <c r="P50" i="1"/>
  <c r="P49" i="1"/>
  <c r="P32" i="1"/>
  <c r="P30" i="1"/>
  <c r="P29" i="1"/>
  <c r="P28" i="1"/>
  <c r="P8" i="1"/>
  <c r="P27" i="1"/>
  <c r="P10" i="1"/>
  <c r="P14" i="1"/>
  <c r="P15" i="1"/>
  <c r="P17" i="1"/>
  <c r="P25" i="1"/>
  <c r="P24" i="1"/>
  <c r="P23" i="1"/>
  <c r="P19" i="1"/>
  <c r="L10" i="1"/>
  <c r="L14" i="1"/>
  <c r="L15" i="1"/>
  <c r="L17" i="1"/>
  <c r="L25" i="1"/>
  <c r="E32" i="1"/>
  <c r="E33" i="1"/>
  <c r="P61" i="1"/>
  <c r="L61" i="1"/>
  <c r="L8" i="1"/>
  <c r="P55" i="1"/>
  <c r="J16" i="1"/>
  <c r="K16" i="1"/>
  <c r="D15" i="2"/>
  <c r="J13" i="1"/>
  <c r="K13" i="1"/>
  <c r="G7" i="2"/>
  <c r="C6" i="2"/>
  <c r="C7" i="2"/>
  <c r="F28" i="2"/>
  <c r="G28" i="2"/>
  <c r="H28" i="2"/>
  <c r="I28" i="2"/>
  <c r="J28" i="2"/>
  <c r="K28" i="2"/>
  <c r="L28" i="2"/>
  <c r="M28" i="2"/>
  <c r="N28" i="2"/>
  <c r="O28" i="2"/>
  <c r="P28" i="2"/>
  <c r="Q28" i="2"/>
  <c r="Q30" i="2"/>
  <c r="Q27" i="2"/>
  <c r="P27" i="2"/>
  <c r="O27" i="2"/>
  <c r="N27" i="2"/>
  <c r="M27" i="2"/>
  <c r="L27" i="2"/>
  <c r="K27" i="2"/>
  <c r="J27" i="2"/>
  <c r="I27" i="2"/>
  <c r="Q16" i="2"/>
  <c r="P16" i="2"/>
  <c r="O16" i="2"/>
  <c r="N16" i="2"/>
  <c r="M16" i="2"/>
  <c r="L16" i="2"/>
  <c r="K16" i="2"/>
  <c r="J16" i="2"/>
  <c r="I16" i="2"/>
  <c r="H27" i="2"/>
  <c r="G27" i="2"/>
  <c r="F27" i="2"/>
  <c r="H16" i="2"/>
  <c r="G16" i="2"/>
  <c r="L33" i="1"/>
  <c r="L34" i="1"/>
  <c r="L32" i="1"/>
  <c r="I3" i="1"/>
  <c r="C15" i="2"/>
  <c r="B3" i="1"/>
  <c r="C3" i="1"/>
  <c r="E3" i="1"/>
  <c r="B15" i="2"/>
  <c r="I13" i="1"/>
  <c r="M30" i="1"/>
  <c r="M29" i="1"/>
  <c r="M28" i="1"/>
  <c r="F33" i="1"/>
  <c r="B16" i="1"/>
  <c r="B13" i="1"/>
  <c r="G33" i="1"/>
  <c r="C16" i="1"/>
  <c r="C13" i="1"/>
  <c r="H33" i="1"/>
  <c r="D16" i="1"/>
  <c r="D13" i="1"/>
  <c r="E16" i="1"/>
  <c r="E13" i="1"/>
  <c r="I16" i="1"/>
  <c r="F8" i="1"/>
  <c r="J33" i="1"/>
  <c r="F16" i="1"/>
  <c r="F13" i="1"/>
  <c r="J8" i="1"/>
  <c r="K33" i="1"/>
  <c r="G16" i="1"/>
  <c r="G13" i="1"/>
  <c r="I34" i="1"/>
  <c r="I33" i="1"/>
  <c r="H16" i="1"/>
  <c r="H13" i="1"/>
  <c r="B8" i="1"/>
  <c r="K8" i="1"/>
  <c r="I8" i="1"/>
  <c r="H8" i="1"/>
  <c r="G8" i="1"/>
  <c r="E8" i="1"/>
  <c r="D8" i="1"/>
  <c r="C8" i="1"/>
  <c r="E10" i="1"/>
  <c r="E14" i="1"/>
  <c r="E15" i="1"/>
  <c r="E17" i="1"/>
  <c r="E19" i="1"/>
  <c r="L19" i="1"/>
  <c r="I10" i="1"/>
  <c r="I14" i="1"/>
  <c r="I15" i="1"/>
  <c r="I17" i="1"/>
  <c r="I19" i="1"/>
  <c r="K10" i="1"/>
  <c r="K14" i="1"/>
  <c r="K15" i="1"/>
  <c r="K17" i="1"/>
  <c r="K19" i="1"/>
  <c r="J10" i="1"/>
  <c r="J14" i="1"/>
  <c r="J15" i="1"/>
  <c r="J17" i="1"/>
  <c r="J19" i="1"/>
  <c r="B10" i="1"/>
  <c r="B14" i="1"/>
  <c r="B15" i="1"/>
  <c r="B17" i="1"/>
  <c r="B19" i="1"/>
  <c r="F10" i="1"/>
  <c r="F14" i="1"/>
  <c r="F15" i="1"/>
  <c r="F17" i="1"/>
  <c r="F19" i="1"/>
  <c r="C10" i="1"/>
  <c r="C14" i="1"/>
  <c r="C15" i="1"/>
  <c r="C17" i="1"/>
  <c r="C19" i="1"/>
  <c r="D10" i="1"/>
  <c r="D14" i="1"/>
  <c r="D15" i="1"/>
  <c r="D17" i="1"/>
  <c r="D19" i="1"/>
  <c r="H10" i="1"/>
  <c r="H14" i="1"/>
  <c r="H15" i="1"/>
  <c r="H17" i="1"/>
  <c r="H19" i="1"/>
  <c r="G10" i="1"/>
  <c r="G14" i="1"/>
  <c r="G15" i="1"/>
  <c r="G17" i="1"/>
  <c r="G19" i="1"/>
  <c r="E35" i="2"/>
  <c r="F35" i="2"/>
  <c r="G35" i="2"/>
  <c r="H35" i="2"/>
  <c r="I35" i="2"/>
  <c r="J35" i="2"/>
  <c r="K35" i="2"/>
  <c r="L35" i="2"/>
  <c r="M35" i="2"/>
  <c r="N35" i="2"/>
  <c r="O35" i="2"/>
  <c r="P35" i="2"/>
  <c r="Q35" i="2"/>
  <c r="E36" i="2"/>
  <c r="F36" i="2"/>
  <c r="G36" i="2"/>
  <c r="H36" i="2"/>
  <c r="I36" i="2"/>
  <c r="J36" i="2"/>
  <c r="K36" i="2"/>
  <c r="L36" i="2"/>
  <c r="M36" i="2"/>
  <c r="N36" i="2"/>
  <c r="O36" i="2"/>
  <c r="P36" i="2"/>
  <c r="Q36" i="2"/>
  <c r="E37" i="2"/>
  <c r="F37" i="2"/>
  <c r="G37" i="2"/>
  <c r="H37" i="2"/>
  <c r="I37" i="2"/>
  <c r="J37" i="2"/>
  <c r="K37" i="2"/>
  <c r="L37" i="2"/>
  <c r="M37" i="2"/>
  <c r="N37" i="2"/>
  <c r="O37" i="2"/>
  <c r="P37" i="2"/>
  <c r="Q37" i="2"/>
  <c r="D35" i="2"/>
  <c r="D36" i="2"/>
  <c r="D37" i="2"/>
  <c r="C36" i="2"/>
  <c r="C37" i="2"/>
  <c r="C35" i="2"/>
  <c r="J30" i="1"/>
  <c r="I28" i="1"/>
  <c r="J28" i="1"/>
  <c r="G30" i="1"/>
  <c r="H30" i="1"/>
  <c r="I30" i="1"/>
  <c r="K30" i="1"/>
  <c r="L30" i="1"/>
  <c r="G29" i="1"/>
  <c r="H29" i="1"/>
  <c r="I29" i="1"/>
  <c r="J29" i="1"/>
  <c r="K29" i="1"/>
  <c r="L29" i="1"/>
  <c r="F30" i="1"/>
  <c r="F29" i="1"/>
  <c r="M27" i="1"/>
  <c r="K28" i="1"/>
  <c r="L28" i="1"/>
  <c r="G28" i="1"/>
  <c r="H28" i="1"/>
  <c r="F28" i="1"/>
  <c r="F27" i="1"/>
  <c r="I32" i="1"/>
  <c r="D34" i="2"/>
  <c r="D21" i="2"/>
  <c r="D27" i="2"/>
  <c r="M25" i="1"/>
  <c r="M24" i="1"/>
  <c r="M23" i="1"/>
  <c r="G25" i="1"/>
  <c r="G27" i="1"/>
  <c r="C17" i="2"/>
  <c r="C30" i="2"/>
  <c r="F25" i="1"/>
  <c r="F24" i="1"/>
  <c r="F23" i="1"/>
  <c r="B25" i="1"/>
  <c r="B24" i="1"/>
  <c r="B23" i="1"/>
  <c r="C21" i="2"/>
  <c r="C22" i="2"/>
  <c r="C24" i="2"/>
  <c r="C32" i="2"/>
  <c r="D32" i="2"/>
  <c r="E32" i="2"/>
  <c r="F32" i="2"/>
  <c r="G32" i="2"/>
  <c r="H32" i="2"/>
  <c r="I32" i="2"/>
  <c r="J32" i="2"/>
  <c r="K32" i="2"/>
  <c r="L32" i="2"/>
  <c r="M32" i="2"/>
  <c r="N32" i="2"/>
  <c r="O32" i="2"/>
  <c r="P32" i="2"/>
  <c r="Q32" i="2"/>
  <c r="E31" i="2"/>
  <c r="Q39" i="2"/>
  <c r="Q31" i="2"/>
  <c r="P31" i="2"/>
  <c r="O31" i="2"/>
  <c r="N31" i="2"/>
  <c r="M31" i="2"/>
  <c r="L31" i="2"/>
  <c r="K31" i="2"/>
  <c r="J31" i="2"/>
  <c r="I31" i="2"/>
  <c r="H31" i="2"/>
  <c r="G31" i="2"/>
  <c r="F31" i="2"/>
  <c r="Q34" i="2"/>
  <c r="P34" i="2"/>
  <c r="O34" i="2"/>
  <c r="N34" i="2"/>
  <c r="M34" i="2"/>
  <c r="L34" i="2"/>
  <c r="K34" i="2"/>
  <c r="J34" i="2"/>
  <c r="I34" i="2"/>
  <c r="H34" i="2"/>
  <c r="G34" i="2"/>
  <c r="D31" i="2"/>
  <c r="B30" i="2"/>
  <c r="B24" i="2"/>
  <c r="B32" i="2"/>
  <c r="B21" i="2"/>
  <c r="B22" i="2"/>
  <c r="B31" i="2"/>
  <c r="C34" i="2"/>
  <c r="B26" i="2"/>
  <c r="B27" i="2"/>
  <c r="C31" i="2"/>
  <c r="C26" i="2"/>
  <c r="C27" i="2"/>
  <c r="H27" i="1"/>
  <c r="I27" i="1"/>
  <c r="B20" i="1"/>
  <c r="C25" i="1"/>
  <c r="C24" i="1"/>
  <c r="C23" i="1"/>
  <c r="C20" i="1"/>
  <c r="D25" i="1"/>
  <c r="D24" i="1"/>
  <c r="D23" i="1"/>
  <c r="D20" i="1"/>
  <c r="E25" i="1"/>
  <c r="E24" i="1"/>
  <c r="E23" i="1"/>
  <c r="E20" i="1"/>
  <c r="E9" i="2"/>
  <c r="F9" i="2"/>
  <c r="G9" i="2"/>
  <c r="H9" i="2"/>
  <c r="I9" i="2"/>
  <c r="J9" i="2"/>
  <c r="K9" i="2"/>
  <c r="L9" i="2"/>
  <c r="M9" i="2"/>
  <c r="N9" i="2"/>
  <c r="O9" i="2"/>
  <c r="P9" i="2"/>
  <c r="Q9" i="2"/>
  <c r="F32" i="1"/>
  <c r="H25" i="1"/>
  <c r="L27" i="1"/>
  <c r="F20" i="1"/>
  <c r="G32" i="1"/>
  <c r="H32" i="1"/>
  <c r="J32" i="1"/>
  <c r="K32" i="1"/>
  <c r="K27" i="1"/>
  <c r="J27" i="1"/>
  <c r="I25" i="1"/>
  <c r="I24" i="1"/>
  <c r="I23" i="1"/>
  <c r="I20" i="1"/>
  <c r="J25" i="1"/>
  <c r="J24" i="1"/>
  <c r="J23" i="1"/>
  <c r="J20" i="1"/>
  <c r="K25" i="1"/>
  <c r="K24" i="1"/>
  <c r="K23" i="1"/>
  <c r="K20" i="1"/>
  <c r="G24" i="1"/>
  <c r="G23" i="1"/>
  <c r="G20" i="1"/>
  <c r="H23" i="1"/>
  <c r="H24" i="1"/>
  <c r="H20" i="1"/>
  <c r="L24" i="1"/>
  <c r="L23" i="1"/>
  <c r="L20" i="1"/>
</calcChain>
</file>

<file path=xl/sharedStrings.xml><?xml version="1.0" encoding="utf-8"?>
<sst xmlns="http://schemas.openxmlformats.org/spreadsheetml/2006/main" count="195" uniqueCount="133">
  <si>
    <t>Q117</t>
  </si>
  <si>
    <t>Q217</t>
  </si>
  <si>
    <t>Q317</t>
  </si>
  <si>
    <t>Q417</t>
  </si>
  <si>
    <t>Revenue</t>
  </si>
  <si>
    <t>COGS</t>
  </si>
  <si>
    <t>Gross Profit</t>
  </si>
  <si>
    <t>R&amp;D</t>
  </si>
  <si>
    <t>S&amp;M</t>
  </si>
  <si>
    <t>G&amp;A</t>
  </si>
  <si>
    <t>Operating Expenses</t>
  </si>
  <si>
    <t>Operating Income</t>
  </si>
  <si>
    <t>Interest Income</t>
  </si>
  <si>
    <t>Pretax Income</t>
  </si>
  <si>
    <t>Taxes</t>
  </si>
  <si>
    <t>Net Income</t>
  </si>
  <si>
    <t>EPS</t>
  </si>
  <si>
    <t>Shares</t>
  </si>
  <si>
    <t>Revenue y/y</t>
  </si>
  <si>
    <t>Gross Margin</t>
  </si>
  <si>
    <t>Operating Margin</t>
  </si>
  <si>
    <t>Tax Rate</t>
  </si>
  <si>
    <t>Q116</t>
  </si>
  <si>
    <t>Q216</t>
  </si>
  <si>
    <t>Q316</t>
  </si>
  <si>
    <t>Q416</t>
  </si>
  <si>
    <t>Net Cash</t>
  </si>
  <si>
    <t>Cash</t>
  </si>
  <si>
    <t>Debt</t>
  </si>
  <si>
    <t>Maturity</t>
  </si>
  <si>
    <t>ROIC</t>
  </si>
  <si>
    <t>Discount</t>
  </si>
  <si>
    <t>NPV</t>
  </si>
  <si>
    <t>Value</t>
  </si>
  <si>
    <t>Q118</t>
  </si>
  <si>
    <t>Q218</t>
  </si>
  <si>
    <t>Q318</t>
  </si>
  <si>
    <t>Q418</t>
  </si>
  <si>
    <t>Q115</t>
  </si>
  <si>
    <t>Q215</t>
  </si>
  <si>
    <t>Q315</t>
  </si>
  <si>
    <t>Q415</t>
  </si>
  <si>
    <t>R&amp;D y/y</t>
  </si>
  <si>
    <t>S&amp;M y/y</t>
  </si>
  <si>
    <t>G&amp;A y/y</t>
  </si>
  <si>
    <t>30/9/2017</t>
  </si>
  <si>
    <t>Core OTA</t>
  </si>
  <si>
    <t>HomeAway</t>
  </si>
  <si>
    <t>Egencia</t>
  </si>
  <si>
    <t>30/9/2016</t>
  </si>
  <si>
    <t>31/12/2016</t>
  </si>
  <si>
    <t>30/6/2017</t>
  </si>
  <si>
    <t>30/6/2016</t>
  </si>
  <si>
    <t>31/3/2017</t>
  </si>
  <si>
    <t>31/3/2016</t>
  </si>
  <si>
    <t>31/12/2015</t>
  </si>
  <si>
    <t>30/9/2015</t>
  </si>
  <si>
    <t>30/6/2015</t>
  </si>
  <si>
    <t>31/3/2015</t>
  </si>
  <si>
    <t>Investor Relations</t>
  </si>
  <si>
    <t>CEO</t>
  </si>
  <si>
    <t>EDGAR</t>
  </si>
  <si>
    <t>Intangibles</t>
  </si>
  <si>
    <t>Total assets</t>
  </si>
  <si>
    <t>Total liabilities</t>
  </si>
  <si>
    <t>TWC</t>
  </si>
  <si>
    <t>Equity</t>
  </si>
  <si>
    <t>ROE</t>
  </si>
  <si>
    <t>ROA</t>
  </si>
  <si>
    <t>ROTB</t>
  </si>
  <si>
    <t>ROTWC</t>
  </si>
  <si>
    <t>Core OTA y/y</t>
  </si>
  <si>
    <t>HomeAway y/y</t>
  </si>
  <si>
    <t>Egencia y/y</t>
  </si>
  <si>
    <t>Trivago y/y</t>
  </si>
  <si>
    <t>Trivago</t>
  </si>
  <si>
    <t>Expedia Group Inc (EXPE)</t>
  </si>
  <si>
    <t>Mark Okerstrom</t>
  </si>
  <si>
    <t>Owner</t>
  </si>
  <si>
    <t>Barry Diller</t>
  </si>
  <si>
    <t>BedandBreakfast.com</t>
  </si>
  <si>
    <t>CarRentals.com</t>
  </si>
  <si>
    <t>CheapTickets</t>
  </si>
  <si>
    <t>Classic Vacations</t>
  </si>
  <si>
    <t>Ebookers</t>
  </si>
  <si>
    <t>Expedia.com</t>
  </si>
  <si>
    <t>Expedia Affiliate Network</t>
  </si>
  <si>
    <t>Expedia Local Expert</t>
  </si>
  <si>
    <t>Expedia CruiseShipCenters</t>
  </si>
  <si>
    <t>Expedia Global Partner Solutions</t>
  </si>
  <si>
    <t>Hotels.com</t>
  </si>
  <si>
    <t>Hotwire Group</t>
  </si>
  <si>
    <t>Orbitz</t>
  </si>
  <si>
    <t>Travelocity</t>
  </si>
  <si>
    <t>Venere.com</t>
  </si>
  <si>
    <t>Wotif.com</t>
  </si>
  <si>
    <t>ALICE</t>
  </si>
  <si>
    <t>Cruise vacations</t>
  </si>
  <si>
    <t>Vacation rental marketplace</t>
  </si>
  <si>
    <t>Travel booking website</t>
  </si>
  <si>
    <t>Hotel booking website</t>
  </si>
  <si>
    <t>Online travel services</t>
  </si>
  <si>
    <t>Discounted online travel services</t>
  </si>
  <si>
    <t>Price</t>
  </si>
  <si>
    <t>Expected return on invested capital (innovation grade)</t>
  </si>
  <si>
    <t>Market Cap</t>
  </si>
  <si>
    <t>Inflation + risk premium (opportunity cost)</t>
  </si>
  <si>
    <t>NPV on net income (terminal value)</t>
  </si>
  <si>
    <t>EV</t>
  </si>
  <si>
    <t>per share</t>
  </si>
  <si>
    <t>NI 12M</t>
  </si>
  <si>
    <t>Gross bookings</t>
  </si>
  <si>
    <t>30/9/2018</t>
  </si>
  <si>
    <t>Gross bookings y/y</t>
  </si>
  <si>
    <t>Merchant</t>
  </si>
  <si>
    <t>Agency</t>
  </si>
  <si>
    <t>Advertising</t>
  </si>
  <si>
    <t>31/12/2017</t>
  </si>
  <si>
    <t>30/6/2018</t>
  </si>
  <si>
    <t>31/3/2018</t>
  </si>
  <si>
    <t>31/12/2018</t>
  </si>
  <si>
    <t>23/3/2019</t>
  </si>
  <si>
    <t>Room nights</t>
  </si>
  <si>
    <t>Room nights y/y</t>
  </si>
  <si>
    <t>Earnings</t>
  </si>
  <si>
    <t>Growth</t>
  </si>
  <si>
    <t>GM</t>
  </si>
  <si>
    <t>OM</t>
  </si>
  <si>
    <t>Our Core OTA segment provides a full range of travel and advertising services to our worldwide customers through a variety of brands including: Expedia.com and Hotels.com in the United States and localized Expedia and Hotels.com websites throughout the world, Orbitz, CheapTickets, ebookers, Expedia Partner Solutions, Hotwire.com, Travelocity, Wotif Group, CarRentals.com, Classic Vacations and SilverRail Technologies, Inc.</t>
  </si>
  <si>
    <t>trivago</t>
  </si>
  <si>
    <t>Our trivago segment generates advertising revenue primarily from sending referrals to online travel companies and travel service providers from its hotel metasearch websites.</t>
  </si>
  <si>
    <t>Our HomeAway segment operates an online marketplace for the alternative accommodations industry.</t>
  </si>
  <si>
    <t>Our Egencia segment provides managed travel services to corporate customers worldwide.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</si>
</sst>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_ ;[Red]\-#,##0\ "/>
    <numFmt numFmtId="165" formatCode="#,##0.0"/>
  </numFmts>
  <fonts count="9" x14ac:knownFonts="1">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0"/>
      <color theme="1"/>
      <name val="Arial"/>
    </font>
    <font>
      <i/>
      <sz val="10"/>
      <color theme="1"/>
      <name val="Arial"/>
    </font>
    <font>
      <b/>
      <sz val="10"/>
      <color theme="1"/>
      <name val="Arial"/>
    </font>
    <font>
      <u/>
      <sz val="10"/>
      <color theme="10"/>
      <name val="Arial"/>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auto="1"/>
      </left>
      <right/>
      <top/>
      <bottom/>
      <diagonal/>
    </border>
  </borders>
  <cellStyleXfs count="5">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cellStyleXfs>
  <cellXfs count="81">
    <xf numFmtId="0" fontId="0" fillId="0" borderId="0" xfId="0"/>
    <xf numFmtId="0" fontId="5" fillId="0" borderId="0" xfId="0" applyFont="1"/>
    <xf numFmtId="4" fontId="5" fillId="0" borderId="0" xfId="0" applyNumberFormat="1" applyFont="1" applyBorder="1"/>
    <xf numFmtId="0" fontId="5" fillId="0" borderId="0" xfId="0" applyFont="1" applyBorder="1"/>
    <xf numFmtId="10" fontId="5" fillId="0" borderId="0" xfId="0" applyNumberFormat="1" applyFont="1"/>
    <xf numFmtId="3" fontId="5" fillId="0" borderId="0" xfId="0" applyNumberFormat="1" applyFont="1" applyBorder="1"/>
    <xf numFmtId="0" fontId="6" fillId="0" borderId="0" xfId="0" applyFont="1"/>
    <xf numFmtId="3" fontId="5" fillId="2" borderId="0" xfId="0" applyNumberFormat="1" applyFont="1" applyFill="1" applyBorder="1"/>
    <xf numFmtId="164" fontId="5" fillId="2" borderId="0" xfId="0" applyNumberFormat="1" applyFont="1" applyFill="1"/>
    <xf numFmtId="0" fontId="7" fillId="0" borderId="0" xfId="0" applyFont="1" applyBorder="1"/>
    <xf numFmtId="164" fontId="7" fillId="2" borderId="0" xfId="0" applyNumberFormat="1" applyFont="1" applyFill="1"/>
    <xf numFmtId="4" fontId="5" fillId="2" borderId="0" xfId="0" applyNumberFormat="1" applyFont="1" applyFill="1" applyBorder="1"/>
    <xf numFmtId="0" fontId="6" fillId="0" borderId="0" xfId="0" applyFont="1" applyBorder="1"/>
    <xf numFmtId="4" fontId="5" fillId="2" borderId="0" xfId="0" applyNumberFormat="1" applyFont="1" applyFill="1"/>
    <xf numFmtId="9" fontId="5" fillId="0" borderId="0" xfId="0" applyNumberFormat="1" applyFont="1"/>
    <xf numFmtId="0" fontId="8" fillId="0" borderId="0" xfId="4" applyFont="1"/>
    <xf numFmtId="0" fontId="7" fillId="0" borderId="0" xfId="0" applyFont="1"/>
    <xf numFmtId="3" fontId="5" fillId="0" borderId="0" xfId="0" applyNumberFormat="1" applyFont="1"/>
    <xf numFmtId="3" fontId="7" fillId="2" borderId="0" xfId="0" applyNumberFormat="1" applyFont="1" applyFill="1" applyBorder="1"/>
    <xf numFmtId="3" fontId="7" fillId="0" borderId="0" xfId="0" applyNumberFormat="1" applyFont="1" applyBorder="1"/>
    <xf numFmtId="2" fontId="5" fillId="2" borderId="0" xfId="0" applyNumberFormat="1" applyFont="1" applyFill="1" applyBorder="1"/>
    <xf numFmtId="2" fontId="5" fillId="0" borderId="0" xfId="0" applyNumberFormat="1" applyFont="1" applyBorder="1"/>
    <xf numFmtId="9" fontId="5" fillId="0" borderId="0" xfId="0" applyNumberFormat="1" applyFont="1" applyBorder="1"/>
    <xf numFmtId="9" fontId="5" fillId="0" borderId="0" xfId="1" applyFont="1" applyBorder="1"/>
    <xf numFmtId="9" fontId="7" fillId="0" borderId="0" xfId="1" applyFont="1" applyBorder="1"/>
    <xf numFmtId="0" fontId="5" fillId="0" borderId="0" xfId="0" applyFont="1" applyAlignment="1">
      <alignment horizontal="right"/>
    </xf>
    <xf numFmtId="0" fontId="5" fillId="0" borderId="1" xfId="0" applyFont="1" applyBorder="1" applyAlignment="1">
      <alignment horizontal="right"/>
    </xf>
    <xf numFmtId="3" fontId="5" fillId="0" borderId="1" xfId="0" applyNumberFormat="1" applyFont="1" applyBorder="1" applyAlignment="1">
      <alignment horizontal="right"/>
    </xf>
    <xf numFmtId="3" fontId="5" fillId="0" borderId="0" xfId="0" applyNumberFormat="1" applyFont="1" applyAlignment="1">
      <alignment horizontal="right"/>
    </xf>
    <xf numFmtId="3" fontId="5" fillId="0" borderId="0" xfId="0" applyNumberFormat="1" applyFont="1" applyFill="1" applyAlignment="1">
      <alignment horizontal="right"/>
    </xf>
    <xf numFmtId="0" fontId="5" fillId="0" borderId="1" xfId="0" applyFont="1" applyBorder="1"/>
    <xf numFmtId="0" fontId="5" fillId="0" borderId="0" xfId="0" applyFont="1" applyFill="1" applyAlignment="1">
      <alignment horizontal="right"/>
    </xf>
    <xf numFmtId="3" fontId="5" fillId="0" borderId="0" xfId="0" applyNumberFormat="1" applyFont="1" applyFill="1" applyBorder="1" applyAlignment="1">
      <alignment horizontal="right"/>
    </xf>
    <xf numFmtId="3" fontId="5" fillId="0" borderId="0" xfId="0" applyNumberFormat="1" applyFont="1" applyBorder="1" applyAlignment="1">
      <alignment horizontal="right"/>
    </xf>
    <xf numFmtId="0" fontId="5" fillId="0" borderId="0" xfId="0" applyFont="1" applyBorder="1" applyAlignment="1">
      <alignment horizontal="right"/>
    </xf>
    <xf numFmtId="0" fontId="5" fillId="0" borderId="0" xfId="0" applyFont="1" applyFill="1" applyBorder="1" applyAlignment="1">
      <alignment horizontal="right"/>
    </xf>
    <xf numFmtId="3" fontId="7" fillId="2" borderId="0" xfId="0" applyNumberFormat="1" applyFont="1" applyFill="1" applyBorder="1" applyAlignment="1">
      <alignment horizontal="right"/>
    </xf>
    <xf numFmtId="3" fontId="7" fillId="2" borderId="1" xfId="0" applyNumberFormat="1" applyFont="1" applyFill="1" applyBorder="1" applyAlignment="1">
      <alignment horizontal="right"/>
    </xf>
    <xf numFmtId="0" fontId="7" fillId="0" borderId="1" xfId="0" applyFont="1" applyBorder="1"/>
    <xf numFmtId="3" fontId="5" fillId="2" borderId="0" xfId="0" applyNumberFormat="1" applyFont="1" applyFill="1" applyBorder="1" applyAlignment="1">
      <alignment horizontal="right"/>
    </xf>
    <xf numFmtId="3" fontId="5" fillId="2" borderId="1" xfId="0" applyNumberFormat="1" applyFont="1" applyFill="1" applyBorder="1" applyAlignment="1">
      <alignment horizontal="right"/>
    </xf>
    <xf numFmtId="3" fontId="5" fillId="2" borderId="0" xfId="0" applyNumberFormat="1" applyFont="1" applyFill="1" applyAlignment="1">
      <alignment horizontal="right"/>
    </xf>
    <xf numFmtId="3" fontId="7" fillId="0" borderId="0" xfId="0" applyNumberFormat="1" applyFont="1" applyBorder="1" applyAlignment="1">
      <alignment horizontal="right"/>
    </xf>
    <xf numFmtId="3" fontId="7" fillId="2" borderId="0" xfId="0" applyNumberFormat="1" applyFont="1" applyFill="1" applyAlignment="1">
      <alignment horizontal="right"/>
    </xf>
    <xf numFmtId="2" fontId="5" fillId="0" borderId="0" xfId="0" applyNumberFormat="1" applyFont="1" applyBorder="1" applyAlignment="1">
      <alignment horizontal="right"/>
    </xf>
    <xf numFmtId="2" fontId="5" fillId="2" borderId="0" xfId="0" applyNumberFormat="1" applyFont="1" applyFill="1" applyBorder="1" applyAlignment="1">
      <alignment horizontal="right"/>
    </xf>
    <xf numFmtId="2" fontId="5" fillId="2" borderId="1" xfId="0" applyNumberFormat="1" applyFont="1" applyFill="1" applyBorder="1" applyAlignment="1">
      <alignment horizontal="right"/>
    </xf>
    <xf numFmtId="2" fontId="5" fillId="2" borderId="0" xfId="0" applyNumberFormat="1" applyFont="1" applyFill="1" applyAlignment="1">
      <alignment horizontal="right"/>
    </xf>
    <xf numFmtId="9" fontId="5" fillId="0" borderId="0" xfId="0" applyNumberFormat="1" applyFont="1" applyBorder="1" applyAlignment="1">
      <alignment horizontal="right"/>
    </xf>
    <xf numFmtId="9" fontId="5" fillId="0" borderId="1" xfId="0" applyNumberFormat="1" applyFont="1" applyBorder="1" applyAlignment="1">
      <alignment horizontal="right"/>
    </xf>
    <xf numFmtId="9" fontId="5" fillId="0" borderId="0" xfId="0" applyNumberFormat="1" applyFont="1" applyAlignment="1">
      <alignment horizontal="right"/>
    </xf>
    <xf numFmtId="9" fontId="5" fillId="0" borderId="0" xfId="0" applyNumberFormat="1" applyFont="1" applyFill="1" applyBorder="1" applyAlignment="1">
      <alignment horizontal="right"/>
    </xf>
    <xf numFmtId="9" fontId="5" fillId="0" borderId="0" xfId="1" applyFont="1" applyBorder="1" applyAlignment="1">
      <alignment horizontal="right"/>
    </xf>
    <xf numFmtId="9" fontId="5" fillId="0" borderId="1" xfId="1" applyFont="1" applyBorder="1" applyAlignment="1">
      <alignment horizontal="right"/>
    </xf>
    <xf numFmtId="9" fontId="5" fillId="0" borderId="0" xfId="1" applyFont="1" applyAlignment="1">
      <alignment horizontal="right"/>
    </xf>
    <xf numFmtId="9" fontId="5" fillId="0" borderId="0" xfId="1" applyFont="1" applyFill="1" applyBorder="1" applyAlignment="1">
      <alignment horizontal="right"/>
    </xf>
    <xf numFmtId="9" fontId="7" fillId="0" borderId="0" xfId="1" applyNumberFormat="1" applyFont="1" applyBorder="1" applyAlignment="1">
      <alignment horizontal="right"/>
    </xf>
    <xf numFmtId="9" fontId="7" fillId="0" borderId="1" xfId="1" applyNumberFormat="1" applyFont="1" applyBorder="1" applyAlignment="1">
      <alignment horizontal="right"/>
    </xf>
    <xf numFmtId="9" fontId="7" fillId="0" borderId="0" xfId="1" applyNumberFormat="1" applyFont="1" applyFill="1" applyBorder="1" applyAlignment="1">
      <alignment horizontal="right"/>
    </xf>
    <xf numFmtId="9" fontId="5" fillId="0" borderId="0" xfId="1" applyNumberFormat="1" applyFont="1" applyBorder="1" applyAlignment="1">
      <alignment horizontal="right"/>
    </xf>
    <xf numFmtId="9" fontId="5" fillId="0" borderId="1" xfId="1" applyNumberFormat="1" applyFont="1" applyBorder="1" applyAlignment="1">
      <alignment horizontal="right"/>
    </xf>
    <xf numFmtId="9" fontId="5" fillId="0" borderId="0" xfId="1" applyNumberFormat="1" applyFont="1" applyFill="1" applyBorder="1" applyAlignment="1">
      <alignment horizontal="right"/>
    </xf>
    <xf numFmtId="3" fontId="5" fillId="0" borderId="1" xfId="0" applyNumberFormat="1" applyFont="1" applyBorder="1"/>
    <xf numFmtId="0" fontId="7" fillId="0" borderId="0" xfId="0" applyFont="1" applyAlignment="1">
      <alignment horizontal="right"/>
    </xf>
    <xf numFmtId="0" fontId="7" fillId="0" borderId="1" xfId="0" applyFont="1" applyBorder="1" applyAlignment="1">
      <alignment horizontal="right"/>
    </xf>
    <xf numFmtId="9" fontId="5" fillId="0" borderId="0" xfId="0" applyNumberFormat="1" applyFont="1" applyFill="1" applyAlignment="1">
      <alignment horizontal="right"/>
    </xf>
    <xf numFmtId="9" fontId="5" fillId="0" borderId="1" xfId="0" applyNumberFormat="1" applyFont="1" applyBorder="1"/>
    <xf numFmtId="164" fontId="5" fillId="0" borderId="0" xfId="0" applyNumberFormat="1" applyFont="1"/>
    <xf numFmtId="164" fontId="5" fillId="0" borderId="0" xfId="0" applyNumberFormat="1" applyFont="1" applyAlignment="1">
      <alignment horizontal="right"/>
    </xf>
    <xf numFmtId="164" fontId="5" fillId="0" borderId="1" xfId="0" applyNumberFormat="1" applyFont="1" applyBorder="1" applyAlignment="1">
      <alignment horizontal="right"/>
    </xf>
    <xf numFmtId="164" fontId="5" fillId="0" borderId="0" xfId="0" applyNumberFormat="1" applyFont="1" applyFill="1" applyAlignment="1">
      <alignment horizontal="right"/>
    </xf>
    <xf numFmtId="164" fontId="5" fillId="0" borderId="1" xfId="0" applyNumberFormat="1" applyFont="1" applyBorder="1"/>
    <xf numFmtId="3" fontId="7" fillId="0" borderId="0" xfId="0" applyNumberFormat="1" applyFont="1"/>
    <xf numFmtId="3" fontId="7" fillId="0" borderId="1" xfId="0" applyNumberFormat="1" applyFont="1" applyBorder="1" applyAlignment="1">
      <alignment horizontal="right"/>
    </xf>
    <xf numFmtId="3" fontId="7" fillId="0" borderId="0" xfId="0" applyNumberFormat="1" applyFont="1" applyAlignment="1">
      <alignment horizontal="right"/>
    </xf>
    <xf numFmtId="3" fontId="5" fillId="2" borderId="0" xfId="0" applyNumberFormat="1" applyFont="1" applyFill="1"/>
    <xf numFmtId="165" fontId="5" fillId="0" borderId="0" xfId="0" applyNumberFormat="1" applyFont="1"/>
    <xf numFmtId="165" fontId="5" fillId="0" borderId="0" xfId="0" applyNumberFormat="1" applyFont="1" applyAlignment="1">
      <alignment horizontal="right"/>
    </xf>
    <xf numFmtId="165" fontId="5" fillId="0" borderId="1" xfId="0" applyNumberFormat="1" applyFont="1" applyBorder="1" applyAlignment="1">
      <alignment horizontal="right"/>
    </xf>
    <xf numFmtId="165" fontId="5" fillId="0" borderId="0" xfId="0" applyNumberFormat="1" applyFont="1" applyFill="1" applyAlignment="1">
      <alignment horizontal="right"/>
    </xf>
    <xf numFmtId="165" fontId="5" fillId="0" borderId="1" xfId="0" applyNumberFormat="1" applyFont="1" applyBorder="1"/>
  </cellXfs>
  <cellStyles count="5">
    <cellStyle name="Followed Hyperlink" xfId="3" builtinId="9" hidden="1"/>
    <cellStyle name="Hyperlink" xfId="2" builtinId="8" hidden="1"/>
    <cellStyle name="Hyperlink" xfId="4" builtinId="8"/>
    <cellStyle name="Normal" xfId="0" builtinId="0"/>
    <cellStyle name="Percent" xfId="1"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5</xdr:col>
      <xdr:colOff>114300</xdr:colOff>
      <xdr:row>8</xdr:row>
      <xdr:rowOff>12700</xdr:rowOff>
    </xdr:from>
    <xdr:to>
      <xdr:col>5</xdr:col>
      <xdr:colOff>114300</xdr:colOff>
      <xdr:row>62</xdr:row>
      <xdr:rowOff>12700</xdr:rowOff>
    </xdr:to>
    <xdr:cxnSp macro="">
      <xdr:nvCxnSpPr>
        <xdr:cNvPr id="4" name="Straight Connector 3"/>
        <xdr:cNvCxnSpPr/>
      </xdr:nvCxnSpPr>
      <xdr:spPr>
        <a:xfrm>
          <a:off x="4800600" y="1333500"/>
          <a:ext cx="0" cy="89154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17</xdr:col>
      <xdr:colOff>180622</xdr:colOff>
      <xdr:row>1</xdr:row>
      <xdr:rowOff>5644</xdr:rowOff>
    </xdr:from>
    <xdr:to>
      <xdr:col>17</xdr:col>
      <xdr:colOff>180622</xdr:colOff>
      <xdr:row>65</xdr:row>
      <xdr:rowOff>0</xdr:rowOff>
    </xdr:to>
    <xdr:cxnSp macro="">
      <xdr:nvCxnSpPr>
        <xdr:cNvPr id="4" name="Straight Connector 3"/>
        <xdr:cNvCxnSpPr/>
      </xdr:nvCxnSpPr>
      <xdr:spPr>
        <a:xfrm>
          <a:off x="14722122" y="170744"/>
          <a:ext cx="0" cy="1056075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en.wikipedia.org/wiki/Barry_Diller" TargetMode="External"/><Relationship Id="rId2" Type="http://schemas.openxmlformats.org/officeDocument/2006/relationships/hyperlink" Target="https://ir.expediagroup.com/"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sec.gov/cgi-bin/browse-edgar?action=getcompany&amp;CIK=0001324424&amp;owner=exclude&amp;count=40&amp;hidefilings=0"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R61"/>
  <sheetViews>
    <sheetView tabSelected="1" workbookViewId="0">
      <pane xSplit="1" ySplit="9" topLeftCell="B10" activePane="bottomRight" state="frozen"/>
      <selection pane="topRight" activeCell="B1" sqref="B1"/>
      <selection pane="bottomLeft" activeCell="A11" sqref="A11"/>
      <selection pane="bottomRight" activeCell="D14" sqref="D14"/>
    </sheetView>
  </sheetViews>
  <sheetFormatPr baseColWidth="10" defaultRowHeight="13" x14ac:dyDescent="0.15"/>
  <cols>
    <col min="1" max="1" width="18.1640625" style="1" bestFit="1" customWidth="1"/>
    <col min="2" max="16384" width="10.83203125" style="1"/>
  </cols>
  <sheetData>
    <row r="1" spans="1:22" x14ac:dyDescent="0.15">
      <c r="A1" s="15" t="s">
        <v>59</v>
      </c>
      <c r="B1" s="16" t="s">
        <v>76</v>
      </c>
    </row>
    <row r="2" spans="1:22" x14ac:dyDescent="0.15">
      <c r="B2" s="1" t="s">
        <v>103</v>
      </c>
      <c r="C2" s="2">
        <v>121.64</v>
      </c>
      <c r="D2" s="1" t="s">
        <v>121</v>
      </c>
      <c r="E2" s="3" t="s">
        <v>29</v>
      </c>
      <c r="F2" s="4">
        <v>-0.01</v>
      </c>
      <c r="H2" s="1" t="s">
        <v>4</v>
      </c>
      <c r="I2" s="17">
        <f>E15</f>
        <v>11223</v>
      </c>
    </row>
    <row r="3" spans="1:22" x14ac:dyDescent="0.15">
      <c r="A3" s="16" t="s">
        <v>60</v>
      </c>
      <c r="B3" s="1" t="s">
        <v>17</v>
      </c>
      <c r="C3" s="5">
        <f>Reports!Q21</f>
        <v>151.358</v>
      </c>
      <c r="D3" s="1" t="s">
        <v>37</v>
      </c>
      <c r="E3" s="3" t="s">
        <v>30</v>
      </c>
      <c r="F3" s="4">
        <v>0.02</v>
      </c>
      <c r="G3" s="6" t="s">
        <v>104</v>
      </c>
      <c r="H3" s="1" t="s">
        <v>124</v>
      </c>
      <c r="I3" s="17">
        <f>E26</f>
        <v>398</v>
      </c>
    </row>
    <row r="4" spans="1:22" x14ac:dyDescent="0.15">
      <c r="A4" s="1" t="s">
        <v>77</v>
      </c>
      <c r="B4" s="1" t="s">
        <v>105</v>
      </c>
      <c r="C4" s="7">
        <f>C2*C3</f>
        <v>18411.187120000002</v>
      </c>
      <c r="E4" s="3" t="s">
        <v>31</v>
      </c>
      <c r="F4" s="4">
        <f>2%+5%</f>
        <v>7.0000000000000007E-2</v>
      </c>
      <c r="G4" s="6" t="s">
        <v>106</v>
      </c>
      <c r="H4" s="1" t="s">
        <v>125</v>
      </c>
      <c r="I4" s="14">
        <f>E34</f>
        <v>0.11560636182902595</v>
      </c>
    </row>
    <row r="5" spans="1:22" x14ac:dyDescent="0.15">
      <c r="B5" s="1" t="s">
        <v>26</v>
      </c>
      <c r="C5" s="5">
        <f>Reports!Q32</f>
        <v>-209</v>
      </c>
      <c r="D5" s="1" t="s">
        <v>37</v>
      </c>
      <c r="E5" s="3" t="s">
        <v>32</v>
      </c>
      <c r="F5" s="8">
        <f>NPV(F4,F26:DR26)</f>
        <v>31484.978893873071</v>
      </c>
      <c r="G5" s="6" t="s">
        <v>107</v>
      </c>
      <c r="H5" s="1" t="s">
        <v>126</v>
      </c>
      <c r="I5" s="14">
        <f>E30</f>
        <v>0.82491312483293233</v>
      </c>
    </row>
    <row r="6" spans="1:22" x14ac:dyDescent="0.15">
      <c r="A6" s="16" t="s">
        <v>78</v>
      </c>
      <c r="B6" s="1" t="s">
        <v>108</v>
      </c>
      <c r="C6" s="7">
        <f>C4-C5</f>
        <v>18620.187120000002</v>
      </c>
      <c r="E6" s="9" t="s">
        <v>33</v>
      </c>
      <c r="F6" s="10">
        <f>F5+C5</f>
        <v>31275.978893873071</v>
      </c>
      <c r="H6" s="1" t="s">
        <v>127</v>
      </c>
      <c r="I6" s="14">
        <f>E31</f>
        <v>6.3619353114140603E-2</v>
      </c>
    </row>
    <row r="7" spans="1:22" x14ac:dyDescent="0.15">
      <c r="A7" s="15" t="s">
        <v>79</v>
      </c>
      <c r="B7" s="6" t="s">
        <v>109</v>
      </c>
      <c r="C7" s="11">
        <f>C6/C3</f>
        <v>123.02083219915698</v>
      </c>
      <c r="E7" s="12" t="s">
        <v>109</v>
      </c>
      <c r="F7" s="13">
        <f>F6/C3</f>
        <v>206.63578333403632</v>
      </c>
      <c r="G7" s="14">
        <f>F7/C2-1</f>
        <v>0.69874862984245567</v>
      </c>
    </row>
    <row r="9" spans="1:22" x14ac:dyDescent="0.15">
      <c r="B9" s="1">
        <v>2015</v>
      </c>
      <c r="C9" s="1">
        <v>2016</v>
      </c>
      <c r="D9" s="1">
        <v>2017</v>
      </c>
      <c r="E9" s="1">
        <f>D9+1</f>
        <v>2018</v>
      </c>
      <c r="F9" s="1">
        <f t="shared" ref="F9:Q9" si="0">E9+1</f>
        <v>2019</v>
      </c>
      <c r="G9" s="1">
        <f t="shared" si="0"/>
        <v>2020</v>
      </c>
      <c r="H9" s="1">
        <f t="shared" si="0"/>
        <v>2021</v>
      </c>
      <c r="I9" s="1">
        <f t="shared" si="0"/>
        <v>2022</v>
      </c>
      <c r="J9" s="1">
        <f t="shared" si="0"/>
        <v>2023</v>
      </c>
      <c r="K9" s="1">
        <f t="shared" si="0"/>
        <v>2024</v>
      </c>
      <c r="L9" s="1">
        <f t="shared" si="0"/>
        <v>2025</v>
      </c>
      <c r="M9" s="1">
        <f t="shared" si="0"/>
        <v>2026</v>
      </c>
      <c r="N9" s="1">
        <f t="shared" si="0"/>
        <v>2027</v>
      </c>
      <c r="O9" s="1">
        <f t="shared" si="0"/>
        <v>2028</v>
      </c>
      <c r="P9" s="1">
        <f t="shared" si="0"/>
        <v>2029</v>
      </c>
      <c r="Q9" s="1">
        <f t="shared" si="0"/>
        <v>2030</v>
      </c>
    </row>
    <row r="10" spans="1:22" s="17" customFormat="1" x14ac:dyDescent="0.15">
      <c r="A10" s="17" t="s">
        <v>46</v>
      </c>
      <c r="B10" s="5">
        <f>SUM(Reports!B3:E3)</f>
        <v>5875</v>
      </c>
      <c r="C10" s="5">
        <f>SUM(Reports!F3:I3)</f>
        <v>7016</v>
      </c>
      <c r="D10" s="17">
        <f>SUM(Reports!J3:M3)</f>
        <v>7797</v>
      </c>
      <c r="E10" s="17">
        <f>SUM(Reports!N3:Q3)</f>
        <v>8690</v>
      </c>
      <c r="F10" s="17">
        <f>E10*1.1</f>
        <v>9559</v>
      </c>
      <c r="G10" s="17">
        <f t="shared" ref="G10:J10" si="1">F10*1.1</f>
        <v>10514.900000000001</v>
      </c>
      <c r="H10" s="17">
        <f t="shared" si="1"/>
        <v>11566.390000000003</v>
      </c>
      <c r="I10" s="17">
        <f t="shared" si="1"/>
        <v>12723.029000000004</v>
      </c>
      <c r="J10" s="17">
        <f t="shared" si="1"/>
        <v>13995.331900000006</v>
      </c>
    </row>
    <row r="11" spans="1:22" s="17" customFormat="1" x14ac:dyDescent="0.15">
      <c r="A11" s="17" t="s">
        <v>75</v>
      </c>
      <c r="B11" s="5">
        <f>SUM(Reports!B4:E4)</f>
        <v>376</v>
      </c>
      <c r="C11" s="5">
        <f>SUM(Reports!F4:I4)</f>
        <v>605</v>
      </c>
      <c r="D11" s="17">
        <f>SUM(Reports!J4:M4)</f>
        <v>835</v>
      </c>
      <c r="E11" s="17">
        <f>SUM(Reports!N4:Q4)</f>
        <v>761</v>
      </c>
      <c r="F11" s="17">
        <f>E11*1.05</f>
        <v>799.05000000000007</v>
      </c>
      <c r="G11" s="17">
        <f t="shared" ref="G11:J11" si="2">F11*1.05</f>
        <v>839.00250000000005</v>
      </c>
      <c r="H11" s="17">
        <f t="shared" si="2"/>
        <v>880.95262500000013</v>
      </c>
      <c r="I11" s="17">
        <f t="shared" si="2"/>
        <v>925.00025625000012</v>
      </c>
      <c r="J11" s="17">
        <f t="shared" si="2"/>
        <v>971.25026906250014</v>
      </c>
    </row>
    <row r="12" spans="1:22" s="17" customFormat="1" x14ac:dyDescent="0.15">
      <c r="A12" s="17" t="s">
        <v>47</v>
      </c>
      <c r="B12" s="5">
        <f>SUM(Reports!B5:E5)</f>
        <v>20</v>
      </c>
      <c r="C12" s="5">
        <f>SUM(Reports!F5:I5)</f>
        <v>690</v>
      </c>
      <c r="D12" s="17">
        <f>SUM(Reports!J5:M5)</f>
        <v>907</v>
      </c>
      <c r="E12" s="17">
        <f>SUM(Reports!N5:Q5)</f>
        <v>1171</v>
      </c>
      <c r="F12" s="17">
        <f>E12*1.3</f>
        <v>1522.3</v>
      </c>
      <c r="G12" s="17">
        <f t="shared" ref="G12:J12" si="3">F12*1.3</f>
        <v>1978.99</v>
      </c>
      <c r="H12" s="17">
        <f t="shared" si="3"/>
        <v>2572.6869999999999</v>
      </c>
      <c r="I12" s="17">
        <f t="shared" si="3"/>
        <v>3344.4931000000001</v>
      </c>
      <c r="J12" s="17">
        <f t="shared" si="3"/>
        <v>4347.8410300000005</v>
      </c>
    </row>
    <row r="13" spans="1:22" s="17" customFormat="1" x14ac:dyDescent="0.15">
      <c r="A13" s="17" t="s">
        <v>48</v>
      </c>
      <c r="B13" s="5">
        <f>SUM(Reports!B6:E6)</f>
        <v>401</v>
      </c>
      <c r="C13" s="5">
        <f>SUM(Reports!F6:I6)</f>
        <v>463</v>
      </c>
      <c r="D13" s="17">
        <f>SUM(Reports!J6:M6)</f>
        <v>521</v>
      </c>
      <c r="E13" s="17">
        <f>SUM(Reports!N6:Q6)</f>
        <v>601</v>
      </c>
      <c r="F13" s="17">
        <f>E13*1.1</f>
        <v>661.1</v>
      </c>
      <c r="G13" s="17">
        <f t="shared" ref="G13:J13" si="4">F13*1.1</f>
        <v>727.21</v>
      </c>
      <c r="H13" s="17">
        <f t="shared" si="4"/>
        <v>799.93100000000015</v>
      </c>
      <c r="I13" s="17">
        <f t="shared" si="4"/>
        <v>879.92410000000029</v>
      </c>
      <c r="J13" s="17">
        <f t="shared" si="4"/>
        <v>967.91651000000036</v>
      </c>
    </row>
    <row r="15" spans="1:22" x14ac:dyDescent="0.15">
      <c r="A15" s="16" t="s">
        <v>4</v>
      </c>
      <c r="B15" s="18">
        <f>SUM(B10:B13)</f>
        <v>6672</v>
      </c>
      <c r="C15" s="18">
        <f>SUM(C10:C13)</f>
        <v>8774</v>
      </c>
      <c r="D15" s="18">
        <f>SUM(D10:D13)</f>
        <v>10060</v>
      </c>
      <c r="E15" s="18">
        <f>SUM(E10:E13)</f>
        <v>11223</v>
      </c>
      <c r="F15" s="19">
        <f>SUM(F10:F13)</f>
        <v>12541.449999999999</v>
      </c>
      <c r="G15" s="19">
        <f t="shared" ref="F15:I15" si="5">SUM(G10:G13)</f>
        <v>14060.102500000001</v>
      </c>
      <c r="H15" s="19">
        <f t="shared" si="5"/>
        <v>15819.960625000003</v>
      </c>
      <c r="I15" s="19">
        <f t="shared" si="5"/>
        <v>17872.446456250003</v>
      </c>
      <c r="J15" s="19">
        <f t="shared" ref="J15:Q15" si="6">I15*1.05</f>
        <v>18766.068779062505</v>
      </c>
      <c r="K15" s="19">
        <f t="shared" si="6"/>
        <v>19704.372218015633</v>
      </c>
      <c r="L15" s="19">
        <f t="shared" si="6"/>
        <v>20689.590828916414</v>
      </c>
      <c r="M15" s="19">
        <f t="shared" si="6"/>
        <v>21724.070370362235</v>
      </c>
      <c r="N15" s="19">
        <f t="shared" si="6"/>
        <v>22810.273888880347</v>
      </c>
      <c r="O15" s="19">
        <f t="shared" si="6"/>
        <v>23950.787583324367</v>
      </c>
      <c r="P15" s="19">
        <f t="shared" si="6"/>
        <v>25148.326962490588</v>
      </c>
      <c r="Q15" s="19">
        <f t="shared" si="6"/>
        <v>26405.743310615118</v>
      </c>
      <c r="R15" s="19"/>
      <c r="S15" s="19"/>
      <c r="T15" s="19"/>
      <c r="U15" s="19"/>
      <c r="V15" s="19"/>
    </row>
    <row r="16" spans="1:22" x14ac:dyDescent="0.15">
      <c r="A16" s="1" t="s">
        <v>5</v>
      </c>
      <c r="B16" s="5">
        <f>SUM(Reports!B9:E9)</f>
        <v>1309.559</v>
      </c>
      <c r="C16" s="5">
        <f>SUM(Reports!F9:I9)</f>
        <v>1596.6979999999999</v>
      </c>
      <c r="D16" s="17">
        <f>SUM(Reports!J9:M9)</f>
        <v>1756.972</v>
      </c>
      <c r="E16" s="17">
        <f>SUM(Reports!N9:Q9)</f>
        <v>1965</v>
      </c>
      <c r="F16" s="5">
        <f>F15-F17</f>
        <v>2195.8432905640202</v>
      </c>
      <c r="G16" s="5">
        <f t="shared" ref="G16:H16" si="7">G15-G17</f>
        <v>2461.7394112536767</v>
      </c>
      <c r="H16" s="5">
        <f t="shared" si="7"/>
        <v>2769.8674710973009</v>
      </c>
      <c r="I16" s="5">
        <f t="shared" ref="I16" si="8">I15-I17</f>
        <v>3129.2308016155457</v>
      </c>
      <c r="J16" s="5">
        <f t="shared" ref="J16" si="9">J15-J17</f>
        <v>3285.6923416963236</v>
      </c>
      <c r="K16" s="5">
        <f t="shared" ref="K16" si="10">K15-K17</f>
        <v>3449.9769587811388</v>
      </c>
      <c r="L16" s="5">
        <f t="shared" ref="L16" si="11">L15-L17</f>
        <v>3622.4758067201947</v>
      </c>
      <c r="M16" s="5">
        <f t="shared" ref="M16" si="12">M15-M17</f>
        <v>3803.5995970562035</v>
      </c>
      <c r="N16" s="5">
        <f t="shared" ref="N16" si="13">N15-N17</f>
        <v>3993.7795769090153</v>
      </c>
      <c r="O16" s="5">
        <f t="shared" ref="O16" si="14">O15-O17</f>
        <v>4193.468555754469</v>
      </c>
      <c r="P16" s="5">
        <f t="shared" ref="P16" si="15">P15-P17</f>
        <v>4403.1419835421912</v>
      </c>
      <c r="Q16" s="5">
        <f t="shared" ref="Q16" si="16">Q15-Q17</f>
        <v>4623.2990827193025</v>
      </c>
      <c r="R16" s="5"/>
      <c r="S16" s="5"/>
      <c r="T16" s="5"/>
      <c r="U16" s="5"/>
      <c r="V16" s="5"/>
    </row>
    <row r="17" spans="1:122" x14ac:dyDescent="0.15">
      <c r="A17" s="1" t="s">
        <v>6</v>
      </c>
      <c r="B17" s="7">
        <f>B15-B16</f>
        <v>5362.4409999999998</v>
      </c>
      <c r="C17" s="7">
        <f>C15-C16</f>
        <v>7177.3019999999997</v>
      </c>
      <c r="D17" s="7">
        <f>D15-D16</f>
        <v>8303.0280000000002</v>
      </c>
      <c r="E17" s="7">
        <f>E15-E16</f>
        <v>9258</v>
      </c>
      <c r="F17" s="5">
        <f t="shared" ref="E17:Q17" si="17">F15*E30</f>
        <v>10345.606709435979</v>
      </c>
      <c r="G17" s="5">
        <f t="shared" si="17"/>
        <v>11598.363088746324</v>
      </c>
      <c r="H17" s="5">
        <f t="shared" si="17"/>
        <v>13050.093153902702</v>
      </c>
      <c r="I17" s="5">
        <f t="shared" si="17"/>
        <v>14743.215654634458</v>
      </c>
      <c r="J17" s="5">
        <f t="shared" si="17"/>
        <v>15480.376437366182</v>
      </c>
      <c r="K17" s="5">
        <f t="shared" si="17"/>
        <v>16254.395259234494</v>
      </c>
      <c r="L17" s="5">
        <f t="shared" si="17"/>
        <v>17067.11502219622</v>
      </c>
      <c r="M17" s="5">
        <f t="shared" si="17"/>
        <v>17920.470773306031</v>
      </c>
      <c r="N17" s="5">
        <f t="shared" si="17"/>
        <v>18816.494311971332</v>
      </c>
      <c r="O17" s="5">
        <f t="shared" si="17"/>
        <v>19757.319027569898</v>
      </c>
      <c r="P17" s="5">
        <f t="shared" si="17"/>
        <v>20745.184978948397</v>
      </c>
      <c r="Q17" s="5">
        <f t="shared" si="17"/>
        <v>21782.444227895816</v>
      </c>
      <c r="R17" s="5"/>
      <c r="S17" s="5"/>
      <c r="T17" s="5"/>
      <c r="U17" s="5"/>
      <c r="V17" s="5"/>
    </row>
    <row r="18" spans="1:122" x14ac:dyDescent="0.15">
      <c r="A18" s="1" t="s">
        <v>7</v>
      </c>
      <c r="B18" s="5">
        <f>SUM(Reports!B11:E11)</f>
        <v>830.24399999999991</v>
      </c>
      <c r="C18" s="5">
        <f>SUM(Reports!F11:I11)</f>
        <v>1235.019</v>
      </c>
      <c r="D18" s="17">
        <f>SUM(Reports!J11:M11)</f>
        <v>1386.7259999999999</v>
      </c>
      <c r="E18" s="17">
        <f>SUM(Reports!N11:Q11)</f>
        <v>1617</v>
      </c>
      <c r="F18" s="5">
        <f>E18*1.2</f>
        <v>1940.3999999999999</v>
      </c>
      <c r="G18" s="5">
        <f t="shared" ref="G18:I18" si="18">F18*1.2</f>
        <v>2328.4799999999996</v>
      </c>
      <c r="H18" s="5">
        <f t="shared" si="18"/>
        <v>2794.1759999999995</v>
      </c>
      <c r="I18" s="5">
        <f t="shared" si="18"/>
        <v>3353.0111999999995</v>
      </c>
      <c r="J18" s="5">
        <f t="shared" ref="J18:Q18" si="19">I18*1.02</f>
        <v>3420.0714239999993</v>
      </c>
      <c r="K18" s="5">
        <f t="shared" si="19"/>
        <v>3488.4728524799993</v>
      </c>
      <c r="L18" s="5">
        <f t="shared" si="19"/>
        <v>3558.2423095295994</v>
      </c>
      <c r="M18" s="5">
        <f t="shared" si="19"/>
        <v>3629.4071557201914</v>
      </c>
      <c r="N18" s="5">
        <f t="shared" si="19"/>
        <v>3701.9952988345954</v>
      </c>
      <c r="O18" s="5">
        <f t="shared" si="19"/>
        <v>3776.0352048112873</v>
      </c>
      <c r="P18" s="5">
        <f t="shared" si="19"/>
        <v>3851.5559089075132</v>
      </c>
      <c r="Q18" s="5">
        <f t="shared" si="19"/>
        <v>3928.5870270856635</v>
      </c>
      <c r="R18" s="5"/>
      <c r="S18" s="5"/>
      <c r="T18" s="5"/>
      <c r="U18" s="5"/>
      <c r="V18" s="5"/>
    </row>
    <row r="19" spans="1:122" x14ac:dyDescent="0.15">
      <c r="A19" s="1" t="s">
        <v>8</v>
      </c>
      <c r="B19" s="5">
        <f>SUM(Reports!B12:E12)</f>
        <v>3381.0859999999998</v>
      </c>
      <c r="C19" s="5">
        <f>SUM(Reports!F12:I12)</f>
        <v>4367.4170000000004</v>
      </c>
      <c r="D19" s="17">
        <f>SUM(Reports!J12:M12)</f>
        <v>5298.125</v>
      </c>
      <c r="E19" s="17">
        <f>SUM(Reports!N12:Q12)</f>
        <v>5767</v>
      </c>
      <c r="F19" s="5">
        <f>E19*1.1</f>
        <v>6343.7000000000007</v>
      </c>
      <c r="G19" s="5">
        <f t="shared" ref="G19:I19" si="20">F19*1.1</f>
        <v>6978.0700000000015</v>
      </c>
      <c r="H19" s="5">
        <f t="shared" si="20"/>
        <v>7675.8770000000022</v>
      </c>
      <c r="I19" s="5">
        <f t="shared" si="20"/>
        <v>8443.4647000000023</v>
      </c>
      <c r="J19" s="5">
        <f t="shared" ref="J19:Q19" si="21">I19*1.05</f>
        <v>8865.6379350000025</v>
      </c>
      <c r="K19" s="5">
        <f t="shared" si="21"/>
        <v>9308.9198317500031</v>
      </c>
      <c r="L19" s="5">
        <f t="shared" si="21"/>
        <v>9774.3658233375045</v>
      </c>
      <c r="M19" s="5">
        <f t="shared" si="21"/>
        <v>10263.08411450438</v>
      </c>
      <c r="N19" s="5">
        <f t="shared" si="21"/>
        <v>10776.238320229599</v>
      </c>
      <c r="O19" s="5">
        <f t="shared" si="21"/>
        <v>11315.050236241079</v>
      </c>
      <c r="P19" s="5">
        <f t="shared" si="21"/>
        <v>11880.802748053133</v>
      </c>
      <c r="Q19" s="5">
        <f t="shared" si="21"/>
        <v>12474.84288545579</v>
      </c>
      <c r="R19" s="5"/>
      <c r="S19" s="5"/>
      <c r="T19" s="5"/>
      <c r="U19" s="5"/>
      <c r="V19" s="5"/>
    </row>
    <row r="20" spans="1:122" x14ac:dyDescent="0.15">
      <c r="A20" s="1" t="s">
        <v>9</v>
      </c>
      <c r="B20" s="5">
        <f>SUM(Reports!B13:E13)</f>
        <v>737.86199999999997</v>
      </c>
      <c r="C20" s="5">
        <f>SUM(Reports!F13:I13)</f>
        <v>1112.7280000000001</v>
      </c>
      <c r="D20" s="17">
        <f>SUM(Reports!J13:M13)</f>
        <v>993.76300000000015</v>
      </c>
      <c r="E20" s="17">
        <f>SUM(Reports!N13:Q13)</f>
        <v>1160</v>
      </c>
      <c r="F20" s="5">
        <f>E20*1.1</f>
        <v>1276</v>
      </c>
      <c r="G20" s="5">
        <f t="shared" ref="G20:I20" si="22">F20*1.1</f>
        <v>1403.6000000000001</v>
      </c>
      <c r="H20" s="5">
        <f t="shared" si="22"/>
        <v>1543.9600000000003</v>
      </c>
      <c r="I20" s="5">
        <f t="shared" si="22"/>
        <v>1698.3560000000004</v>
      </c>
      <c r="J20" s="5">
        <f t="shared" ref="J20:Q20" si="23">I20*0.98</f>
        <v>1664.3888800000004</v>
      </c>
      <c r="K20" s="5">
        <f t="shared" si="23"/>
        <v>1631.1011024000004</v>
      </c>
      <c r="L20" s="5">
        <f t="shared" si="23"/>
        <v>1598.4790803520004</v>
      </c>
      <c r="M20" s="5">
        <f t="shared" si="23"/>
        <v>1566.5094987449604</v>
      </c>
      <c r="N20" s="5">
        <f t="shared" si="23"/>
        <v>1535.1793087700612</v>
      </c>
      <c r="O20" s="5">
        <f t="shared" si="23"/>
        <v>1504.4757225946601</v>
      </c>
      <c r="P20" s="5">
        <f t="shared" si="23"/>
        <v>1474.3862081427669</v>
      </c>
      <c r="Q20" s="5">
        <f t="shared" si="23"/>
        <v>1444.8984839799116</v>
      </c>
      <c r="R20" s="5"/>
      <c r="S20" s="5"/>
      <c r="T20" s="5"/>
      <c r="U20" s="5"/>
      <c r="V20" s="5"/>
    </row>
    <row r="21" spans="1:122" x14ac:dyDescent="0.15">
      <c r="A21" s="1" t="s">
        <v>10</v>
      </c>
      <c r="B21" s="7">
        <f>SUM(B18:B20)</f>
        <v>4949.192</v>
      </c>
      <c r="C21" s="7">
        <f>SUM(C18:C20)</f>
        <v>6715.1640000000007</v>
      </c>
      <c r="D21" s="7">
        <f>SUM(D18:D20)</f>
        <v>7678.6139999999996</v>
      </c>
      <c r="E21" s="7">
        <f>SUM(E18:E20)</f>
        <v>8544</v>
      </c>
      <c r="F21" s="5">
        <f t="shared" ref="F21:H21" si="24">SUM(F18:F20)</f>
        <v>9560.1</v>
      </c>
      <c r="G21" s="5">
        <f t="shared" si="24"/>
        <v>10710.150000000001</v>
      </c>
      <c r="H21" s="5">
        <f t="shared" si="24"/>
        <v>12014.013000000003</v>
      </c>
      <c r="I21" s="5">
        <f t="shared" ref="I21:Q21" si="25">SUM(I18:I20)</f>
        <v>13494.831900000001</v>
      </c>
      <c r="J21" s="5">
        <f t="shared" si="25"/>
        <v>13950.098239000003</v>
      </c>
      <c r="K21" s="5">
        <f t="shared" si="25"/>
        <v>14428.493786630002</v>
      </c>
      <c r="L21" s="5">
        <f t="shared" si="25"/>
        <v>14931.087213219105</v>
      </c>
      <c r="M21" s="5">
        <f t="shared" si="25"/>
        <v>15459.000768969532</v>
      </c>
      <c r="N21" s="5">
        <f t="shared" si="25"/>
        <v>16013.412927834255</v>
      </c>
      <c r="O21" s="5">
        <f t="shared" si="25"/>
        <v>16595.561163647028</v>
      </c>
      <c r="P21" s="5">
        <f t="shared" si="25"/>
        <v>17206.744865103414</v>
      </c>
      <c r="Q21" s="5">
        <f t="shared" si="25"/>
        <v>17848.328396521367</v>
      </c>
      <c r="R21" s="5"/>
      <c r="S21" s="5"/>
      <c r="T21" s="5"/>
      <c r="U21" s="5"/>
      <c r="V21" s="5"/>
    </row>
    <row r="22" spans="1:122" x14ac:dyDescent="0.15">
      <c r="A22" s="1" t="s">
        <v>11</v>
      </c>
      <c r="B22" s="7">
        <f>B17-B21</f>
        <v>413.2489999999998</v>
      </c>
      <c r="C22" s="7">
        <f>C17-C21</f>
        <v>462.13799999999901</v>
      </c>
      <c r="D22" s="7">
        <f>D17-D21</f>
        <v>624.41400000000067</v>
      </c>
      <c r="E22" s="7">
        <f>E17-E21</f>
        <v>714</v>
      </c>
      <c r="F22" s="5">
        <f t="shared" ref="F22:H22" si="26">F17-F21</f>
        <v>785.50670943597834</v>
      </c>
      <c r="G22" s="5">
        <f t="shared" si="26"/>
        <v>888.21308874632268</v>
      </c>
      <c r="H22" s="5">
        <f t="shared" si="26"/>
        <v>1036.0801539026997</v>
      </c>
      <c r="I22" s="5">
        <f t="shared" ref="I22:Q22" si="27">I17-I21</f>
        <v>1248.3837546344566</v>
      </c>
      <c r="J22" s="5">
        <f t="shared" si="27"/>
        <v>1530.2781983661789</v>
      </c>
      <c r="K22" s="5">
        <f t="shared" si="27"/>
        <v>1825.9014726044916</v>
      </c>
      <c r="L22" s="5">
        <f t="shared" si="27"/>
        <v>2136.0278089771145</v>
      </c>
      <c r="M22" s="5">
        <f t="shared" si="27"/>
        <v>2461.4700043364992</v>
      </c>
      <c r="N22" s="5">
        <f t="shared" si="27"/>
        <v>2803.0813841370764</v>
      </c>
      <c r="O22" s="5">
        <f t="shared" si="27"/>
        <v>3161.7578639228705</v>
      </c>
      <c r="P22" s="5">
        <f t="shared" si="27"/>
        <v>3538.440113844983</v>
      </c>
      <c r="Q22" s="5">
        <f t="shared" si="27"/>
        <v>3934.115831374449</v>
      </c>
      <c r="R22" s="5"/>
      <c r="S22" s="5"/>
      <c r="T22" s="5"/>
      <c r="U22" s="5"/>
      <c r="V22" s="5"/>
    </row>
    <row r="23" spans="1:122" x14ac:dyDescent="0.15">
      <c r="A23" s="1" t="s">
        <v>12</v>
      </c>
      <c r="B23" s="5">
        <f>SUM(Reports!B16:E16)</f>
        <v>512.38199999999995</v>
      </c>
      <c r="C23" s="5">
        <f>SUM(Reports!F16:I16)</f>
        <v>-185.102</v>
      </c>
      <c r="D23" s="17">
        <f>SUM(Reports!J16:M16)</f>
        <v>-208.077</v>
      </c>
      <c r="E23" s="17">
        <f>SUM(Reports!N16:Q16)</f>
        <v>-229</v>
      </c>
      <c r="F23" s="5">
        <f>E39*$F$3</f>
        <v>-4.18</v>
      </c>
      <c r="G23" s="5">
        <f t="shared" ref="G23:Q23" si="28">F39*$F$3</f>
        <v>8.321227350975656</v>
      </c>
      <c r="H23" s="5">
        <f t="shared" si="28"/>
        <v>22.66577640853243</v>
      </c>
      <c r="I23" s="5">
        <f t="shared" si="28"/>
        <v>39.605711293512144</v>
      </c>
      <c r="J23" s="5">
        <f t="shared" si="28"/>
        <v>60.213542748359643</v>
      </c>
      <c r="K23" s="5">
        <f t="shared" si="28"/>
        <v>85.661410606192263</v>
      </c>
      <c r="L23" s="5">
        <f t="shared" si="28"/>
        <v>116.24641673756319</v>
      </c>
      <c r="M23" s="5">
        <f t="shared" si="28"/>
        <v>152.28280434899804</v>
      </c>
      <c r="N23" s="5">
        <f t="shared" si="28"/>
        <v>194.102849287966</v>
      </c>
      <c r="O23" s="5">
        <f t="shared" si="28"/>
        <v>242.05779702276669</v>
      </c>
      <c r="P23" s="5">
        <f t="shared" si="28"/>
        <v>296.51884759789692</v>
      </c>
      <c r="Q23" s="5">
        <f t="shared" si="28"/>
        <v>357.87819098098299</v>
      </c>
      <c r="R23" s="5"/>
      <c r="S23" s="5"/>
      <c r="T23" s="5"/>
      <c r="U23" s="5"/>
      <c r="V23" s="5"/>
    </row>
    <row r="24" spans="1:122" x14ac:dyDescent="0.15">
      <c r="A24" s="1" t="s">
        <v>13</v>
      </c>
      <c r="B24" s="7">
        <f>SUM(Reports!B17:E17)</f>
        <v>925.63099999999952</v>
      </c>
      <c r="C24" s="7">
        <f>C22+C23</f>
        <v>277.03599999999904</v>
      </c>
      <c r="D24" s="7">
        <f>D22+D23</f>
        <v>416.33700000000067</v>
      </c>
      <c r="E24" s="7">
        <f>E22+E23</f>
        <v>485</v>
      </c>
      <c r="F24" s="5">
        <f t="shared" ref="F24:H24" si="29">F22+F23</f>
        <v>781.32670943597839</v>
      </c>
      <c r="G24" s="5">
        <f t="shared" si="29"/>
        <v>896.5343160972983</v>
      </c>
      <c r="H24" s="5">
        <f t="shared" si="29"/>
        <v>1058.7459303112321</v>
      </c>
      <c r="I24" s="5">
        <f t="shared" ref="I24:Q24" si="30">I22+I23</f>
        <v>1287.9894659279687</v>
      </c>
      <c r="J24" s="5">
        <f t="shared" si="30"/>
        <v>1590.4917411145386</v>
      </c>
      <c r="K24" s="5">
        <f t="shared" si="30"/>
        <v>1911.5628832106838</v>
      </c>
      <c r="L24" s="5">
        <f t="shared" si="30"/>
        <v>2252.2742257146779</v>
      </c>
      <c r="M24" s="5">
        <f t="shared" si="30"/>
        <v>2613.7528086854973</v>
      </c>
      <c r="N24" s="5">
        <f t="shared" si="30"/>
        <v>2997.1842334250423</v>
      </c>
      <c r="O24" s="5">
        <f t="shared" si="30"/>
        <v>3403.8156609456373</v>
      </c>
      <c r="P24" s="5">
        <f t="shared" si="30"/>
        <v>3834.9589614428801</v>
      </c>
      <c r="Q24" s="5">
        <f t="shared" si="30"/>
        <v>4291.9940223554322</v>
      </c>
      <c r="R24" s="5"/>
      <c r="S24" s="5"/>
      <c r="T24" s="5"/>
      <c r="U24" s="5"/>
      <c r="V24" s="5"/>
    </row>
    <row r="25" spans="1:122" x14ac:dyDescent="0.15">
      <c r="A25" s="1" t="s">
        <v>14</v>
      </c>
      <c r="B25" s="5">
        <f>SUM(Reports!B18:E18)</f>
        <v>203.21400000000003</v>
      </c>
      <c r="C25" s="5">
        <f>SUM(Reports!F18:I18)</f>
        <v>15.315000000000005</v>
      </c>
      <c r="D25" s="17">
        <f>SUM(Reports!J18:M18)</f>
        <v>45.326999999999998</v>
      </c>
      <c r="E25" s="17">
        <f>SUM(Reports!N18:Q18)</f>
        <v>87</v>
      </c>
      <c r="F25" s="5">
        <f>F24*0.2</f>
        <v>156.26534188719569</v>
      </c>
      <c r="G25" s="5">
        <f t="shared" ref="G25:Q25" si="31">G24*0.2</f>
        <v>179.30686321945967</v>
      </c>
      <c r="H25" s="5">
        <f t="shared" si="31"/>
        <v>211.74918606224642</v>
      </c>
      <c r="I25" s="5">
        <f t="shared" si="31"/>
        <v>257.59789318559376</v>
      </c>
      <c r="J25" s="5">
        <f t="shared" si="31"/>
        <v>318.09834822290776</v>
      </c>
      <c r="K25" s="5">
        <f t="shared" si="31"/>
        <v>382.31257664213678</v>
      </c>
      <c r="L25" s="5">
        <f t="shared" si="31"/>
        <v>450.4548451429356</v>
      </c>
      <c r="M25" s="5">
        <f t="shared" si="31"/>
        <v>522.75056173709947</v>
      </c>
      <c r="N25" s="5">
        <f t="shared" si="31"/>
        <v>599.4368466850085</v>
      </c>
      <c r="O25" s="5">
        <f t="shared" si="31"/>
        <v>680.76313218912753</v>
      </c>
      <c r="P25" s="5">
        <f t="shared" si="31"/>
        <v>766.99179228857611</v>
      </c>
      <c r="Q25" s="5">
        <f t="shared" si="31"/>
        <v>858.39880447108646</v>
      </c>
      <c r="R25" s="5"/>
      <c r="S25" s="5"/>
      <c r="T25" s="5"/>
      <c r="U25" s="5"/>
      <c r="V25" s="5"/>
    </row>
    <row r="26" spans="1:122" s="16" customFormat="1" x14ac:dyDescent="0.15">
      <c r="A26" s="16" t="s">
        <v>15</v>
      </c>
      <c r="B26" s="18">
        <f>B24-B25</f>
        <v>722.41699999999946</v>
      </c>
      <c r="C26" s="18">
        <f>C24-C25</f>
        <v>261.72099999999904</v>
      </c>
      <c r="D26" s="18">
        <f>D24-D25</f>
        <v>371.01000000000067</v>
      </c>
      <c r="E26" s="18">
        <f t="shared" ref="E26" si="32">E24-E25</f>
        <v>398</v>
      </c>
      <c r="F26" s="18">
        <f t="shared" ref="F26:H26" si="33">F24-F25</f>
        <v>625.06136754878275</v>
      </c>
      <c r="G26" s="18">
        <f t="shared" si="33"/>
        <v>717.22745287783869</v>
      </c>
      <c r="H26" s="18">
        <f t="shared" si="33"/>
        <v>846.99674424898569</v>
      </c>
      <c r="I26" s="18">
        <f t="shared" ref="I26:Q26" si="34">I24-I25</f>
        <v>1030.391572742375</v>
      </c>
      <c r="J26" s="18">
        <f t="shared" si="34"/>
        <v>1272.3933928916308</v>
      </c>
      <c r="K26" s="18">
        <f t="shared" si="34"/>
        <v>1529.2503065685471</v>
      </c>
      <c r="L26" s="18">
        <f t="shared" si="34"/>
        <v>1801.8193805717424</v>
      </c>
      <c r="M26" s="18">
        <f t="shared" si="34"/>
        <v>2091.0022469483979</v>
      </c>
      <c r="N26" s="18">
        <f t="shared" si="34"/>
        <v>2397.747386740034</v>
      </c>
      <c r="O26" s="18">
        <f t="shared" si="34"/>
        <v>2723.0525287565097</v>
      </c>
      <c r="P26" s="18">
        <f t="shared" si="34"/>
        <v>3067.967169154304</v>
      </c>
      <c r="Q26" s="18">
        <f t="shared" si="34"/>
        <v>3433.5952178843459</v>
      </c>
      <c r="R26" s="18">
        <f t="shared" ref="R26:V26" si="35">Q26*($F$2+1)</f>
        <v>3399.2592657055025</v>
      </c>
      <c r="S26" s="18">
        <f t="shared" si="35"/>
        <v>3365.2666730484475</v>
      </c>
      <c r="T26" s="18">
        <f t="shared" si="35"/>
        <v>3331.6140063179628</v>
      </c>
      <c r="U26" s="18">
        <f t="shared" si="35"/>
        <v>3298.297866254783</v>
      </c>
      <c r="V26" s="18">
        <f t="shared" si="35"/>
        <v>3265.3148875922352</v>
      </c>
      <c r="W26" s="18">
        <f>V26*($F$2+1)</f>
        <v>3232.6617387163128</v>
      </c>
      <c r="X26" s="18">
        <f t="shared" ref="X26:CI26" si="36">W26*($F$2+1)</f>
        <v>3200.3351213291498</v>
      </c>
      <c r="Y26" s="18">
        <f t="shared" si="36"/>
        <v>3168.3317701158585</v>
      </c>
      <c r="Z26" s="18">
        <f t="shared" si="36"/>
        <v>3136.6484524146999</v>
      </c>
      <c r="AA26" s="18">
        <f t="shared" si="36"/>
        <v>3105.281967890553</v>
      </c>
      <c r="AB26" s="18">
        <f t="shared" si="36"/>
        <v>3074.2291482116475</v>
      </c>
      <c r="AC26" s="18">
        <f t="shared" si="36"/>
        <v>3043.4868567295312</v>
      </c>
      <c r="AD26" s="18">
        <f t="shared" si="36"/>
        <v>3013.0519881622358</v>
      </c>
      <c r="AE26" s="18">
        <f t="shared" si="36"/>
        <v>2982.9214682806132</v>
      </c>
      <c r="AF26" s="18">
        <f t="shared" si="36"/>
        <v>2953.092253597807</v>
      </c>
      <c r="AG26" s="18">
        <f t="shared" si="36"/>
        <v>2923.5613310618292</v>
      </c>
      <c r="AH26" s="18">
        <f t="shared" si="36"/>
        <v>2894.325717751211</v>
      </c>
      <c r="AI26" s="18">
        <f t="shared" si="36"/>
        <v>2865.3824605736986</v>
      </c>
      <c r="AJ26" s="18">
        <f t="shared" si="36"/>
        <v>2836.7286359679615</v>
      </c>
      <c r="AK26" s="18">
        <f t="shared" si="36"/>
        <v>2808.3613496082817</v>
      </c>
      <c r="AL26" s="18">
        <f t="shared" si="36"/>
        <v>2780.2777361121989</v>
      </c>
      <c r="AM26" s="18">
        <f t="shared" si="36"/>
        <v>2752.4749587510769</v>
      </c>
      <c r="AN26" s="18">
        <f t="shared" si="36"/>
        <v>2724.9502091635659</v>
      </c>
      <c r="AO26" s="18">
        <f t="shared" si="36"/>
        <v>2697.7007070719301</v>
      </c>
      <c r="AP26" s="18">
        <f t="shared" si="36"/>
        <v>2670.7237000012105</v>
      </c>
      <c r="AQ26" s="18">
        <f t="shared" si="36"/>
        <v>2644.0164630011982</v>
      </c>
      <c r="AR26" s="18">
        <f t="shared" si="36"/>
        <v>2617.5762983711861</v>
      </c>
      <c r="AS26" s="18">
        <f t="shared" si="36"/>
        <v>2591.4005353874741</v>
      </c>
      <c r="AT26" s="18">
        <f t="shared" si="36"/>
        <v>2565.4865300335991</v>
      </c>
      <c r="AU26" s="18">
        <f t="shared" si="36"/>
        <v>2539.8316647332631</v>
      </c>
      <c r="AV26" s="18">
        <f t="shared" si="36"/>
        <v>2514.4333480859304</v>
      </c>
      <c r="AW26" s="18">
        <f t="shared" si="36"/>
        <v>2489.2890146050713</v>
      </c>
      <c r="AX26" s="18">
        <f t="shared" si="36"/>
        <v>2464.3961244590205</v>
      </c>
      <c r="AY26" s="18">
        <f t="shared" si="36"/>
        <v>2439.7521632144303</v>
      </c>
      <c r="AZ26" s="18">
        <f t="shared" si="36"/>
        <v>2415.3546415822861</v>
      </c>
      <c r="BA26" s="18">
        <f t="shared" si="36"/>
        <v>2391.2010951664633</v>
      </c>
      <c r="BB26" s="18">
        <f t="shared" si="36"/>
        <v>2367.2890842147985</v>
      </c>
      <c r="BC26" s="18">
        <f t="shared" si="36"/>
        <v>2343.6161933726507</v>
      </c>
      <c r="BD26" s="18">
        <f t="shared" si="36"/>
        <v>2320.1800314389243</v>
      </c>
      <c r="BE26" s="18">
        <f t="shared" si="36"/>
        <v>2296.9782311245349</v>
      </c>
      <c r="BF26" s="18">
        <f t="shared" si="36"/>
        <v>2274.0084488132893</v>
      </c>
      <c r="BG26" s="18">
        <f t="shared" si="36"/>
        <v>2251.2683643251562</v>
      </c>
      <c r="BH26" s="18">
        <f t="shared" si="36"/>
        <v>2228.7556806819048</v>
      </c>
      <c r="BI26" s="18">
        <f t="shared" si="36"/>
        <v>2206.4681238750859</v>
      </c>
      <c r="BJ26" s="18">
        <f t="shared" si="36"/>
        <v>2184.4034426363351</v>
      </c>
      <c r="BK26" s="18">
        <f t="shared" si="36"/>
        <v>2162.5594082099715</v>
      </c>
      <c r="BL26" s="18">
        <f t="shared" si="36"/>
        <v>2140.9338141278718</v>
      </c>
      <c r="BM26" s="18">
        <f t="shared" si="36"/>
        <v>2119.5244759865932</v>
      </c>
      <c r="BN26" s="18">
        <f t="shared" si="36"/>
        <v>2098.3292312267272</v>
      </c>
      <c r="BO26" s="18">
        <f t="shared" si="36"/>
        <v>2077.34593891446</v>
      </c>
      <c r="BP26" s="18">
        <f t="shared" si="36"/>
        <v>2056.5724795253154</v>
      </c>
      <c r="BQ26" s="18">
        <f t="shared" si="36"/>
        <v>2036.0067547300623</v>
      </c>
      <c r="BR26" s="18">
        <f t="shared" si="36"/>
        <v>2015.6466871827618</v>
      </c>
      <c r="BS26" s="18">
        <f t="shared" si="36"/>
        <v>1995.4902203109341</v>
      </c>
      <c r="BT26" s="18">
        <f t="shared" si="36"/>
        <v>1975.5353181078247</v>
      </c>
      <c r="BU26" s="18">
        <f t="shared" si="36"/>
        <v>1955.7799649267463</v>
      </c>
      <c r="BV26" s="18">
        <f t="shared" si="36"/>
        <v>1936.2221652774788</v>
      </c>
      <c r="BW26" s="18">
        <f t="shared" si="36"/>
        <v>1916.8599436247039</v>
      </c>
      <c r="BX26" s="18">
        <f t="shared" si="36"/>
        <v>1897.6913441884569</v>
      </c>
      <c r="BY26" s="18">
        <f t="shared" si="36"/>
        <v>1878.7144307465724</v>
      </c>
      <c r="BZ26" s="18">
        <f t="shared" si="36"/>
        <v>1859.9272864391066</v>
      </c>
      <c r="CA26" s="18">
        <f t="shared" si="36"/>
        <v>1841.3280135747154</v>
      </c>
      <c r="CB26" s="18">
        <f t="shared" si="36"/>
        <v>1822.9147334389684</v>
      </c>
      <c r="CC26" s="18">
        <f t="shared" si="36"/>
        <v>1804.6855861045788</v>
      </c>
      <c r="CD26" s="18">
        <f t="shared" si="36"/>
        <v>1786.638730243533</v>
      </c>
      <c r="CE26" s="18">
        <f t="shared" si="36"/>
        <v>1768.7723429410976</v>
      </c>
      <c r="CF26" s="18">
        <f t="shared" si="36"/>
        <v>1751.0846195116867</v>
      </c>
      <c r="CG26" s="18">
        <f t="shared" si="36"/>
        <v>1733.5737733165697</v>
      </c>
      <c r="CH26" s="18">
        <f t="shared" si="36"/>
        <v>1716.2380355834041</v>
      </c>
      <c r="CI26" s="18">
        <f t="shared" si="36"/>
        <v>1699.07565522757</v>
      </c>
      <c r="CJ26" s="18">
        <f t="shared" ref="CJ26:DR26" si="37">CI26*($F$2+1)</f>
        <v>1682.0848986752942</v>
      </c>
      <c r="CK26" s="18">
        <f t="shared" si="37"/>
        <v>1665.2640496885413</v>
      </c>
      <c r="CL26" s="18">
        <f t="shared" si="37"/>
        <v>1648.6114091916559</v>
      </c>
      <c r="CM26" s="18">
        <f t="shared" si="37"/>
        <v>1632.1252950997393</v>
      </c>
      <c r="CN26" s="18">
        <f t="shared" si="37"/>
        <v>1615.8040421487419</v>
      </c>
      <c r="CO26" s="18">
        <f t="shared" si="37"/>
        <v>1599.6460017272545</v>
      </c>
      <c r="CP26" s="18">
        <f t="shared" si="37"/>
        <v>1583.649541709982</v>
      </c>
      <c r="CQ26" s="18">
        <f t="shared" si="37"/>
        <v>1567.8130462928823</v>
      </c>
      <c r="CR26" s="18">
        <f t="shared" si="37"/>
        <v>1552.1349158299533</v>
      </c>
      <c r="CS26" s="18">
        <f t="shared" si="37"/>
        <v>1536.6135666716539</v>
      </c>
      <c r="CT26" s="18">
        <f t="shared" si="37"/>
        <v>1521.2474310049374</v>
      </c>
      <c r="CU26" s="18">
        <f t="shared" si="37"/>
        <v>1506.034956694888</v>
      </c>
      <c r="CV26" s="18">
        <f t="shared" si="37"/>
        <v>1490.9746071279392</v>
      </c>
      <c r="CW26" s="18">
        <f t="shared" si="37"/>
        <v>1476.0648610566598</v>
      </c>
      <c r="CX26" s="18">
        <f t="shared" si="37"/>
        <v>1461.3042124460931</v>
      </c>
      <c r="CY26" s="18">
        <f t="shared" si="37"/>
        <v>1446.6911703216322</v>
      </c>
      <c r="CZ26" s="18">
        <f t="shared" si="37"/>
        <v>1432.2242586184159</v>
      </c>
      <c r="DA26" s="18">
        <f t="shared" si="37"/>
        <v>1417.9020160322318</v>
      </c>
      <c r="DB26" s="18">
        <f t="shared" si="37"/>
        <v>1403.7229958719095</v>
      </c>
      <c r="DC26" s="18">
        <f t="shared" si="37"/>
        <v>1389.6857659131904</v>
      </c>
      <c r="DD26" s="18">
        <f t="shared" si="37"/>
        <v>1375.7889082540585</v>
      </c>
      <c r="DE26" s="18">
        <f t="shared" si="37"/>
        <v>1362.031019171518</v>
      </c>
      <c r="DF26" s="18">
        <f t="shared" si="37"/>
        <v>1348.4107089798028</v>
      </c>
      <c r="DG26" s="18">
        <f t="shared" si="37"/>
        <v>1334.9266018900048</v>
      </c>
      <c r="DH26" s="18">
        <f t="shared" si="37"/>
        <v>1321.5773358711047</v>
      </c>
      <c r="DI26" s="18">
        <f t="shared" si="37"/>
        <v>1308.3615625123937</v>
      </c>
      <c r="DJ26" s="18">
        <f t="shared" si="37"/>
        <v>1295.2779468872698</v>
      </c>
      <c r="DK26" s="18">
        <f t="shared" si="37"/>
        <v>1282.3251674183971</v>
      </c>
      <c r="DL26" s="18">
        <f t="shared" si="37"/>
        <v>1269.5019157442132</v>
      </c>
      <c r="DM26" s="18">
        <f t="shared" si="37"/>
        <v>1256.806896586771</v>
      </c>
      <c r="DN26" s="18">
        <f t="shared" si="37"/>
        <v>1244.2388276209033</v>
      </c>
      <c r="DO26" s="18">
        <f t="shared" si="37"/>
        <v>1231.7964393446944</v>
      </c>
      <c r="DP26" s="18">
        <f t="shared" si="37"/>
        <v>1219.4784749512473</v>
      </c>
      <c r="DQ26" s="18">
        <f t="shared" si="37"/>
        <v>1207.2836902017348</v>
      </c>
      <c r="DR26" s="18">
        <f t="shared" si="37"/>
        <v>1195.2108532997174</v>
      </c>
    </row>
    <row r="27" spans="1:122" x14ac:dyDescent="0.15">
      <c r="A27" s="1" t="s">
        <v>16</v>
      </c>
      <c r="B27" s="20">
        <f>B26/B28</f>
        <v>5.3860267803888791</v>
      </c>
      <c r="C27" s="20">
        <f>C26/C28</f>
        <v>1.6877494824951089</v>
      </c>
      <c r="D27" s="20">
        <f>D26/D28</f>
        <v>2.3786656750484099</v>
      </c>
      <c r="E27" s="20">
        <f>E26/E28</f>
        <v>2.6295273457630253</v>
      </c>
      <c r="F27" s="21">
        <f t="shared" ref="F27:H27" si="38">F26/F28</f>
        <v>4.1296883385667273</v>
      </c>
      <c r="G27" s="21">
        <f t="shared" si="38"/>
        <v>4.7386160815935643</v>
      </c>
      <c r="H27" s="21">
        <f t="shared" si="38"/>
        <v>5.5959826652637172</v>
      </c>
      <c r="I27" s="21">
        <f t="shared" ref="I27:Q27" si="39">I26/I28</f>
        <v>6.8076452697734844</v>
      </c>
      <c r="J27" s="21">
        <f t="shared" si="39"/>
        <v>8.4065156310973368</v>
      </c>
      <c r="K27" s="21">
        <f t="shared" si="39"/>
        <v>10.103531406126846</v>
      </c>
      <c r="L27" s="21">
        <f t="shared" si="39"/>
        <v>11.904355108892442</v>
      </c>
      <c r="M27" s="21">
        <f t="shared" si="39"/>
        <v>13.814943689454127</v>
      </c>
      <c r="N27" s="21">
        <f t="shared" si="39"/>
        <v>15.841563622273245</v>
      </c>
      <c r="O27" s="21">
        <f t="shared" si="39"/>
        <v>17.990806754558793</v>
      </c>
      <c r="P27" s="21">
        <f t="shared" si="39"/>
        <v>20.269606952749797</v>
      </c>
      <c r="Q27" s="21">
        <f t="shared" si="39"/>
        <v>22.685257587206131</v>
      </c>
      <c r="R27" s="21"/>
      <c r="S27" s="21"/>
      <c r="T27" s="21"/>
      <c r="U27" s="21"/>
      <c r="V27" s="21"/>
    </row>
    <row r="28" spans="1:122" x14ac:dyDescent="0.15">
      <c r="A28" s="1" t="s">
        <v>17</v>
      </c>
      <c r="B28" s="5">
        <f>Reports!E21</f>
        <v>134.12799999999999</v>
      </c>
      <c r="C28" s="5">
        <f>Reports!I21</f>
        <v>155.071</v>
      </c>
      <c r="D28" s="5">
        <f>Reports!M21</f>
        <v>155.97399999999999</v>
      </c>
      <c r="E28" s="5">
        <f>Reports!Q21</f>
        <v>151.358</v>
      </c>
      <c r="F28" s="5">
        <f t="shared" ref="F28" si="40">E28</f>
        <v>151.358</v>
      </c>
      <c r="G28" s="5">
        <f t="shared" ref="G28" si="41">F28</f>
        <v>151.358</v>
      </c>
      <c r="H28" s="5">
        <f t="shared" ref="H28" si="42">G28</f>
        <v>151.358</v>
      </c>
      <c r="I28" s="5">
        <f t="shared" ref="I28" si="43">H28</f>
        <v>151.358</v>
      </c>
      <c r="J28" s="5">
        <f t="shared" ref="J28" si="44">I28</f>
        <v>151.358</v>
      </c>
      <c r="K28" s="5">
        <f t="shared" ref="K28" si="45">J28</f>
        <v>151.358</v>
      </c>
      <c r="L28" s="5">
        <f t="shared" ref="L28" si="46">K28</f>
        <v>151.358</v>
      </c>
      <c r="M28" s="5">
        <f t="shared" ref="M28" si="47">L28</f>
        <v>151.358</v>
      </c>
      <c r="N28" s="5">
        <f t="shared" ref="N28" si="48">M28</f>
        <v>151.358</v>
      </c>
      <c r="O28" s="5">
        <f t="shared" ref="O28" si="49">N28</f>
        <v>151.358</v>
      </c>
      <c r="P28" s="5">
        <f t="shared" ref="P28" si="50">O28</f>
        <v>151.358</v>
      </c>
      <c r="Q28" s="5">
        <f t="shared" ref="Q28" si="51">P28</f>
        <v>151.358</v>
      </c>
      <c r="R28" s="5"/>
      <c r="S28" s="5"/>
      <c r="T28" s="5"/>
      <c r="U28" s="5"/>
      <c r="V28" s="5"/>
    </row>
    <row r="29" spans="1:122" x14ac:dyDescent="0.15">
      <c r="B29" s="5"/>
      <c r="C29" s="5"/>
      <c r="D29" s="5"/>
      <c r="E29" s="5"/>
      <c r="F29" s="5"/>
      <c r="G29" s="5"/>
      <c r="H29" s="5"/>
      <c r="I29" s="5"/>
      <c r="J29" s="5"/>
      <c r="K29" s="5"/>
      <c r="L29" s="5"/>
      <c r="M29" s="5"/>
      <c r="N29" s="5"/>
      <c r="O29" s="5"/>
      <c r="P29" s="5"/>
      <c r="Q29" s="5"/>
      <c r="R29" s="5"/>
      <c r="S29" s="5"/>
      <c r="T29" s="5"/>
      <c r="U29" s="5"/>
      <c r="V29" s="5"/>
    </row>
    <row r="30" spans="1:122" x14ac:dyDescent="0.15">
      <c r="A30" s="1" t="s">
        <v>19</v>
      </c>
      <c r="B30" s="22">
        <f t="shared" ref="B30:Q30" si="52">IFERROR(B17/B15,0)</f>
        <v>0.80372317146282968</v>
      </c>
      <c r="C30" s="22">
        <f t="shared" si="52"/>
        <v>0.81801937542739911</v>
      </c>
      <c r="D30" s="22">
        <f t="shared" si="52"/>
        <v>0.82535069582504972</v>
      </c>
      <c r="E30" s="22">
        <f t="shared" si="52"/>
        <v>0.82491312483293233</v>
      </c>
      <c r="F30" s="22">
        <f t="shared" si="52"/>
        <v>0.82491312483293233</v>
      </c>
      <c r="G30" s="22">
        <f t="shared" si="52"/>
        <v>0.82491312483293233</v>
      </c>
      <c r="H30" s="22">
        <f t="shared" si="52"/>
        <v>0.82491312483293233</v>
      </c>
      <c r="I30" s="22">
        <f t="shared" si="52"/>
        <v>0.82491312483293233</v>
      </c>
      <c r="J30" s="22">
        <f t="shared" si="52"/>
        <v>0.82491312483293233</v>
      </c>
      <c r="K30" s="22">
        <f t="shared" si="52"/>
        <v>0.82491312483293233</v>
      </c>
      <c r="L30" s="22">
        <f t="shared" si="52"/>
        <v>0.82491312483293244</v>
      </c>
      <c r="M30" s="22">
        <f t="shared" si="52"/>
        <v>0.82491312483293244</v>
      </c>
      <c r="N30" s="22">
        <f t="shared" si="52"/>
        <v>0.82491312483293233</v>
      </c>
      <c r="O30" s="22">
        <f t="shared" si="52"/>
        <v>0.82491312483293233</v>
      </c>
      <c r="P30" s="22">
        <f t="shared" si="52"/>
        <v>0.82491312483293233</v>
      </c>
      <c r="Q30" s="22">
        <f t="shared" si="52"/>
        <v>0.82491312483293233</v>
      </c>
      <c r="R30" s="22"/>
      <c r="S30" s="22"/>
      <c r="T30" s="22"/>
      <c r="U30" s="22"/>
      <c r="V30" s="22"/>
    </row>
    <row r="31" spans="1:122" x14ac:dyDescent="0.15">
      <c r="A31" s="1" t="s">
        <v>20</v>
      </c>
      <c r="B31" s="23">
        <f t="shared" ref="B31:Q31" si="53">IFERROR(B22/B15,0)</f>
        <v>6.1937799760191814E-2</v>
      </c>
      <c r="C31" s="23">
        <f t="shared" si="53"/>
        <v>5.2671301572828698E-2</v>
      </c>
      <c r="D31" s="23">
        <f t="shared" si="53"/>
        <v>6.2068986083499075E-2</v>
      </c>
      <c r="E31" s="23">
        <f t="shared" si="53"/>
        <v>6.3619353114140603E-2</v>
      </c>
      <c r="F31" s="23">
        <f t="shared" si="53"/>
        <v>6.2632846236757189E-2</v>
      </c>
      <c r="G31" s="23">
        <f t="shared" si="53"/>
        <v>6.3172589868837919E-2</v>
      </c>
      <c r="H31" s="23">
        <f t="shared" si="53"/>
        <v>6.5491955287511949E-2</v>
      </c>
      <c r="I31" s="23">
        <f t="shared" si="53"/>
        <v>6.9849629019193185E-2</v>
      </c>
      <c r="J31" s="23">
        <f t="shared" si="53"/>
        <v>8.1544953094999095E-2</v>
      </c>
      <c r="K31" s="23">
        <f t="shared" si="53"/>
        <v>9.2664787916210634E-2</v>
      </c>
      <c r="L31" s="23">
        <f t="shared" si="53"/>
        <v>0.10324166517550148</v>
      </c>
      <c r="M31" s="23">
        <f t="shared" si="53"/>
        <v>0.11330611447910974</v>
      </c>
      <c r="N31" s="23">
        <f t="shared" si="53"/>
        <v>0.12288679205660634</v>
      </c>
      <c r="O31" s="23">
        <f t="shared" si="53"/>
        <v>0.1320106010260903</v>
      </c>
      <c r="P31" s="23">
        <f t="shared" si="53"/>
        <v>0.14070280377389169</v>
      </c>
      <c r="Q31" s="23">
        <f t="shared" si="53"/>
        <v>0.14898712697070463</v>
      </c>
      <c r="R31" s="23"/>
      <c r="S31" s="23"/>
      <c r="T31" s="23"/>
      <c r="U31" s="23"/>
      <c r="V31" s="23"/>
    </row>
    <row r="32" spans="1:122" x14ac:dyDescent="0.15">
      <c r="A32" s="1" t="s">
        <v>21</v>
      </c>
      <c r="B32" s="23">
        <f t="shared" ref="B32:Q32" si="54">IFERROR(B25/B24,0)</f>
        <v>0.21954104821467749</v>
      </c>
      <c r="C32" s="23">
        <f t="shared" si="54"/>
        <v>5.5281624048860285E-2</v>
      </c>
      <c r="D32" s="23">
        <f t="shared" si="54"/>
        <v>0.10887093868668873</v>
      </c>
      <c r="E32" s="23">
        <f t="shared" si="54"/>
        <v>0.17938144329896907</v>
      </c>
      <c r="F32" s="23">
        <f t="shared" si="54"/>
        <v>0.2</v>
      </c>
      <c r="G32" s="23">
        <f t="shared" si="54"/>
        <v>0.2</v>
      </c>
      <c r="H32" s="23">
        <f t="shared" si="54"/>
        <v>0.2</v>
      </c>
      <c r="I32" s="23">
        <f t="shared" si="54"/>
        <v>0.2</v>
      </c>
      <c r="J32" s="23">
        <f t="shared" si="54"/>
        <v>0.2</v>
      </c>
      <c r="K32" s="23">
        <f t="shared" si="54"/>
        <v>0.2</v>
      </c>
      <c r="L32" s="23">
        <f t="shared" si="54"/>
        <v>0.2</v>
      </c>
      <c r="M32" s="23">
        <f t="shared" si="54"/>
        <v>0.2</v>
      </c>
      <c r="N32" s="23">
        <f t="shared" si="54"/>
        <v>0.2</v>
      </c>
      <c r="O32" s="23">
        <f t="shared" si="54"/>
        <v>0.2</v>
      </c>
      <c r="P32" s="23">
        <f t="shared" si="54"/>
        <v>0.2</v>
      </c>
      <c r="Q32" s="23">
        <f t="shared" si="54"/>
        <v>0.2</v>
      </c>
      <c r="R32" s="23"/>
      <c r="S32" s="23"/>
      <c r="T32" s="23"/>
      <c r="U32" s="23"/>
      <c r="V32" s="23"/>
    </row>
    <row r="33" spans="1:22" x14ac:dyDescent="0.15">
      <c r="B33" s="3"/>
      <c r="C33" s="3"/>
      <c r="D33" s="3"/>
      <c r="E33" s="3"/>
      <c r="F33" s="3"/>
      <c r="G33" s="3"/>
      <c r="H33" s="3"/>
      <c r="I33" s="3"/>
      <c r="J33" s="3"/>
      <c r="K33" s="3"/>
      <c r="L33" s="3"/>
      <c r="M33" s="3"/>
      <c r="N33" s="3"/>
      <c r="O33" s="3"/>
      <c r="P33" s="3"/>
      <c r="Q33" s="3"/>
      <c r="R33" s="3"/>
      <c r="S33" s="3"/>
      <c r="T33" s="3"/>
      <c r="U33" s="3"/>
      <c r="V33" s="3"/>
    </row>
    <row r="34" spans="1:22" x14ac:dyDescent="0.15">
      <c r="A34" s="16" t="s">
        <v>18</v>
      </c>
      <c r="B34" s="9"/>
      <c r="C34" s="24">
        <f t="shared" ref="C34:Q34" si="55">C15/B15-1</f>
        <v>0.31504796163069537</v>
      </c>
      <c r="D34" s="24">
        <f t="shared" si="55"/>
        <v>0.14656940961932974</v>
      </c>
      <c r="E34" s="24">
        <f>E15/D15-1</f>
        <v>0.11560636182902595</v>
      </c>
      <c r="F34" s="24">
        <f>F15/E15-1</f>
        <v>0.1174775015592977</v>
      </c>
      <c r="G34" s="24">
        <f t="shared" si="55"/>
        <v>0.1210906633602975</v>
      </c>
      <c r="H34" s="24">
        <f t="shared" si="55"/>
        <v>0.12516680621638443</v>
      </c>
      <c r="I34" s="24">
        <f t="shared" si="55"/>
        <v>0.12974026167969677</v>
      </c>
      <c r="J34" s="24">
        <f t="shared" si="55"/>
        <v>5.0000000000000044E-2</v>
      </c>
      <c r="K34" s="24">
        <f t="shared" si="55"/>
        <v>5.0000000000000044E-2</v>
      </c>
      <c r="L34" s="24">
        <f t="shared" si="55"/>
        <v>5.0000000000000044E-2</v>
      </c>
      <c r="M34" s="24">
        <f t="shared" si="55"/>
        <v>5.0000000000000044E-2</v>
      </c>
      <c r="N34" s="24">
        <f t="shared" si="55"/>
        <v>5.0000000000000044E-2</v>
      </c>
      <c r="O34" s="24">
        <f t="shared" si="55"/>
        <v>5.0000000000000044E-2</v>
      </c>
      <c r="P34" s="24">
        <f t="shared" si="55"/>
        <v>5.0000000000000044E-2</v>
      </c>
      <c r="Q34" s="24">
        <f t="shared" si="55"/>
        <v>5.0000000000000044E-2</v>
      </c>
      <c r="R34" s="24"/>
      <c r="S34" s="24"/>
      <c r="T34" s="24"/>
      <c r="U34" s="24"/>
      <c r="V34" s="24"/>
    </row>
    <row r="35" spans="1:22" x14ac:dyDescent="0.15">
      <c r="A35" s="1" t="s">
        <v>42</v>
      </c>
      <c r="B35" s="9"/>
      <c r="C35" s="23">
        <f t="shared" ref="C35:Q35" si="56">C18/B18-1</f>
        <v>0.48753739864425416</v>
      </c>
      <c r="D35" s="23">
        <f t="shared" si="56"/>
        <v>0.1228377863012633</v>
      </c>
      <c r="E35" s="23">
        <f t="shared" si="56"/>
        <v>0.16605587549378908</v>
      </c>
      <c r="F35" s="23">
        <f t="shared" si="56"/>
        <v>0.19999999999999996</v>
      </c>
      <c r="G35" s="23">
        <f t="shared" si="56"/>
        <v>0.19999999999999996</v>
      </c>
      <c r="H35" s="23">
        <f t="shared" si="56"/>
        <v>0.19999999999999996</v>
      </c>
      <c r="I35" s="23">
        <f t="shared" si="56"/>
        <v>0.19999999999999996</v>
      </c>
      <c r="J35" s="23">
        <f t="shared" si="56"/>
        <v>2.0000000000000018E-2</v>
      </c>
      <c r="K35" s="23">
        <f t="shared" si="56"/>
        <v>2.0000000000000018E-2</v>
      </c>
      <c r="L35" s="23">
        <f t="shared" si="56"/>
        <v>2.0000000000000018E-2</v>
      </c>
      <c r="M35" s="23">
        <f t="shared" si="56"/>
        <v>2.0000000000000018E-2</v>
      </c>
      <c r="N35" s="23">
        <f t="shared" si="56"/>
        <v>2.0000000000000018E-2</v>
      </c>
      <c r="O35" s="23">
        <f t="shared" si="56"/>
        <v>2.0000000000000018E-2</v>
      </c>
      <c r="P35" s="23">
        <f t="shared" si="56"/>
        <v>2.0000000000000018E-2</v>
      </c>
      <c r="Q35" s="23">
        <f t="shared" si="56"/>
        <v>2.0000000000000018E-2</v>
      </c>
      <c r="R35" s="23"/>
      <c r="S35" s="23"/>
      <c r="T35" s="23"/>
      <c r="U35" s="23"/>
      <c r="V35" s="23"/>
    </row>
    <row r="36" spans="1:22" x14ac:dyDescent="0.15">
      <c r="A36" s="1" t="s">
        <v>43</v>
      </c>
      <c r="B36" s="9"/>
      <c r="C36" s="23">
        <f t="shared" ref="C36:Q36" si="57">C19/B19-1</f>
        <v>0.29172017511533288</v>
      </c>
      <c r="D36" s="23">
        <f t="shared" si="57"/>
        <v>0.21310261877901726</v>
      </c>
      <c r="E36" s="23">
        <f t="shared" si="57"/>
        <v>8.8498289489206128E-2</v>
      </c>
      <c r="F36" s="23">
        <f t="shared" si="57"/>
        <v>0.10000000000000009</v>
      </c>
      <c r="G36" s="23">
        <f t="shared" si="57"/>
        <v>0.10000000000000009</v>
      </c>
      <c r="H36" s="23">
        <f t="shared" si="57"/>
        <v>0.10000000000000009</v>
      </c>
      <c r="I36" s="23">
        <f t="shared" si="57"/>
        <v>9.9999999999999867E-2</v>
      </c>
      <c r="J36" s="23">
        <f t="shared" si="57"/>
        <v>5.0000000000000044E-2</v>
      </c>
      <c r="K36" s="23">
        <f t="shared" si="57"/>
        <v>5.0000000000000044E-2</v>
      </c>
      <c r="L36" s="23">
        <f t="shared" si="57"/>
        <v>5.0000000000000044E-2</v>
      </c>
      <c r="M36" s="23">
        <f t="shared" si="57"/>
        <v>5.0000000000000044E-2</v>
      </c>
      <c r="N36" s="23">
        <f t="shared" si="57"/>
        <v>5.0000000000000044E-2</v>
      </c>
      <c r="O36" s="23">
        <f t="shared" si="57"/>
        <v>5.0000000000000044E-2</v>
      </c>
      <c r="P36" s="23">
        <f t="shared" si="57"/>
        <v>5.0000000000000044E-2</v>
      </c>
      <c r="Q36" s="23">
        <f t="shared" si="57"/>
        <v>5.0000000000000044E-2</v>
      </c>
      <c r="R36" s="23"/>
      <c r="S36" s="23"/>
      <c r="T36" s="23"/>
      <c r="U36" s="23"/>
      <c r="V36" s="23"/>
    </row>
    <row r="37" spans="1:22" x14ac:dyDescent="0.15">
      <c r="A37" s="1" t="s">
        <v>44</v>
      </c>
      <c r="B37" s="9"/>
      <c r="C37" s="23">
        <f t="shared" ref="C37:Q37" si="58">C20/B20-1</f>
        <v>0.5080435094909348</v>
      </c>
      <c r="D37" s="23">
        <f t="shared" si="58"/>
        <v>-0.10691292031835264</v>
      </c>
      <c r="E37" s="23">
        <f t="shared" si="58"/>
        <v>0.16728032740200605</v>
      </c>
      <c r="F37" s="23">
        <f t="shared" si="58"/>
        <v>0.10000000000000009</v>
      </c>
      <c r="G37" s="23">
        <f t="shared" si="58"/>
        <v>0.10000000000000009</v>
      </c>
      <c r="H37" s="23">
        <f t="shared" si="58"/>
        <v>0.10000000000000009</v>
      </c>
      <c r="I37" s="23">
        <f t="shared" si="58"/>
        <v>0.10000000000000009</v>
      </c>
      <c r="J37" s="23">
        <f t="shared" si="58"/>
        <v>-2.0000000000000018E-2</v>
      </c>
      <c r="K37" s="23">
        <f t="shared" si="58"/>
        <v>-2.0000000000000018E-2</v>
      </c>
      <c r="L37" s="23">
        <f t="shared" si="58"/>
        <v>-2.0000000000000018E-2</v>
      </c>
      <c r="M37" s="23">
        <f t="shared" si="58"/>
        <v>-2.0000000000000018E-2</v>
      </c>
      <c r="N37" s="23">
        <f t="shared" si="58"/>
        <v>-2.0000000000000018E-2</v>
      </c>
      <c r="O37" s="23">
        <f t="shared" si="58"/>
        <v>-1.9999999999999907E-2</v>
      </c>
      <c r="P37" s="23">
        <f t="shared" si="58"/>
        <v>-1.9999999999999907E-2</v>
      </c>
      <c r="Q37" s="23">
        <f t="shared" si="58"/>
        <v>-2.0000000000000018E-2</v>
      </c>
      <c r="R37" s="23"/>
      <c r="S37" s="23"/>
      <c r="T37" s="23"/>
      <c r="U37" s="23"/>
      <c r="V37" s="23"/>
    </row>
    <row r="38" spans="1:22" x14ac:dyDescent="0.15">
      <c r="B38" s="3"/>
      <c r="C38" s="3"/>
      <c r="D38" s="3"/>
      <c r="E38" s="3"/>
      <c r="F38" s="3"/>
      <c r="G38" s="3"/>
      <c r="H38" s="3"/>
      <c r="I38" s="3"/>
      <c r="J38" s="3"/>
      <c r="K38" s="3"/>
      <c r="L38" s="3"/>
      <c r="M38" s="3"/>
      <c r="N38" s="3"/>
      <c r="O38" s="3"/>
      <c r="P38" s="3"/>
      <c r="Q38" s="3"/>
      <c r="R38" s="3"/>
      <c r="S38" s="3"/>
      <c r="T38" s="3"/>
      <c r="U38" s="3"/>
      <c r="V38" s="3"/>
    </row>
    <row r="39" spans="1:22" x14ac:dyDescent="0.15">
      <c r="A39" s="16" t="s">
        <v>26</v>
      </c>
      <c r="B39" s="18">
        <f>B40-B41</f>
        <v>-818.97599999999966</v>
      </c>
      <c r="C39" s="18">
        <f>C40-C41</f>
        <v>-751.42099999999982</v>
      </c>
      <c r="D39" s="18">
        <f>D40-D41</f>
        <v>-20</v>
      </c>
      <c r="E39" s="18">
        <f>E40-E41</f>
        <v>-209</v>
      </c>
      <c r="F39" s="19">
        <f>E39+F26</f>
        <v>416.06136754878275</v>
      </c>
      <c r="G39" s="19">
        <f t="shared" ref="F39:Q39" si="59">F39+G26</f>
        <v>1133.2888204266214</v>
      </c>
      <c r="H39" s="19">
        <f t="shared" si="59"/>
        <v>1980.285564675607</v>
      </c>
      <c r="I39" s="19">
        <f t="shared" si="59"/>
        <v>3010.6771374179821</v>
      </c>
      <c r="J39" s="19">
        <f t="shared" si="59"/>
        <v>4283.0705303096129</v>
      </c>
      <c r="K39" s="19">
        <f t="shared" si="59"/>
        <v>5812.3208368781598</v>
      </c>
      <c r="L39" s="19">
        <f t="shared" si="59"/>
        <v>7614.1402174499017</v>
      </c>
      <c r="M39" s="19">
        <f t="shared" si="59"/>
        <v>9705.1424643982991</v>
      </c>
      <c r="N39" s="19">
        <f t="shared" si="59"/>
        <v>12102.889851138334</v>
      </c>
      <c r="O39" s="19">
        <f t="shared" si="59"/>
        <v>14825.942379894845</v>
      </c>
      <c r="P39" s="19">
        <f t="shared" si="59"/>
        <v>17893.909549049149</v>
      </c>
      <c r="Q39" s="19">
        <f t="shared" si="59"/>
        <v>21327.504766933496</v>
      </c>
      <c r="R39" s="19"/>
      <c r="S39" s="19"/>
      <c r="T39" s="19"/>
      <c r="U39" s="19"/>
      <c r="V39" s="19"/>
    </row>
    <row r="40" spans="1:22" x14ac:dyDescent="0.15">
      <c r="A40" s="1" t="s">
        <v>27</v>
      </c>
      <c r="B40" s="17">
        <f>Reports!E33</f>
        <v>2364.1640000000002</v>
      </c>
      <c r="C40" s="17">
        <f>Reports!I33</f>
        <v>2407.915</v>
      </c>
      <c r="D40" s="17">
        <f>Reports!M33</f>
        <v>4229</v>
      </c>
      <c r="E40" s="17">
        <f>Reports!Q33</f>
        <v>3508</v>
      </c>
    </row>
    <row r="41" spans="1:22" x14ac:dyDescent="0.15">
      <c r="A41" s="1" t="s">
        <v>28</v>
      </c>
      <c r="B41" s="17">
        <f>Reports!E34</f>
        <v>3183.14</v>
      </c>
      <c r="C41" s="17">
        <f>Reports!I34</f>
        <v>3159.3359999999998</v>
      </c>
      <c r="D41" s="17">
        <f>Reports!M34</f>
        <v>4249</v>
      </c>
      <c r="E41" s="17">
        <f>Reports!Q34</f>
        <v>3717</v>
      </c>
    </row>
    <row r="42" spans="1:22" x14ac:dyDescent="0.15">
      <c r="B42" s="3"/>
      <c r="C42" s="3"/>
      <c r="D42" s="3"/>
      <c r="E42" s="3"/>
      <c r="F42" s="3"/>
      <c r="G42" s="3"/>
      <c r="H42" s="3"/>
      <c r="I42" s="3"/>
      <c r="J42" s="3"/>
      <c r="K42" s="3"/>
      <c r="L42" s="3"/>
      <c r="M42" s="3"/>
      <c r="N42" s="3"/>
      <c r="O42" s="3"/>
      <c r="P42" s="3"/>
      <c r="Q42" s="3"/>
      <c r="R42" s="3"/>
      <c r="S42" s="3"/>
      <c r="T42" s="3"/>
      <c r="U42" s="3"/>
      <c r="V42" s="3"/>
    </row>
    <row r="43" spans="1:22" x14ac:dyDescent="0.15">
      <c r="A43" s="1" t="s">
        <v>62</v>
      </c>
      <c r="D43" s="17">
        <f>Reports!M36</f>
        <v>10538</v>
      </c>
      <c r="E43" s="17">
        <f>Reports!Q36</f>
        <v>10112</v>
      </c>
    </row>
    <row r="44" spans="1:22" x14ac:dyDescent="0.15">
      <c r="A44" s="1" t="s">
        <v>63</v>
      </c>
      <c r="D44" s="17">
        <f>Reports!M37</f>
        <v>18516</v>
      </c>
      <c r="E44" s="17">
        <f>Reports!Q37</f>
        <v>18033</v>
      </c>
    </row>
    <row r="45" spans="1:22" x14ac:dyDescent="0.15">
      <c r="A45" s="1" t="s">
        <v>64</v>
      </c>
      <c r="D45" s="17">
        <f>Reports!M38</f>
        <v>12387</v>
      </c>
      <c r="E45" s="17">
        <f>Reports!Q38</f>
        <v>12382</v>
      </c>
    </row>
    <row r="47" spans="1:22" x14ac:dyDescent="0.15">
      <c r="A47" s="1" t="s">
        <v>65</v>
      </c>
      <c r="D47" s="75">
        <f>D44-D43-D40</f>
        <v>3749</v>
      </c>
      <c r="E47" s="75">
        <f>E44-E43-E40</f>
        <v>4413</v>
      </c>
    </row>
    <row r="48" spans="1:22" x14ac:dyDescent="0.15">
      <c r="A48" s="1" t="s">
        <v>66</v>
      </c>
      <c r="D48" s="75">
        <f>D44-D45</f>
        <v>6129</v>
      </c>
      <c r="E48" s="75">
        <f>E44-E45</f>
        <v>5651</v>
      </c>
    </row>
    <row r="50" spans="1:10" x14ac:dyDescent="0.15">
      <c r="A50" s="1" t="s">
        <v>67</v>
      </c>
      <c r="D50" s="14">
        <f>D26/D48</f>
        <v>6.0533529123837602E-2</v>
      </c>
      <c r="E50" s="14">
        <f>E26/E48</f>
        <v>7.0430012387188115E-2</v>
      </c>
    </row>
    <row r="51" spans="1:10" x14ac:dyDescent="0.15">
      <c r="A51" s="1" t="s">
        <v>68</v>
      </c>
      <c r="D51" s="14">
        <f>D26/D44</f>
        <v>2.003726506804929E-2</v>
      </c>
      <c r="E51" s="14">
        <f>E26/E44</f>
        <v>2.2070648255975156E-2</v>
      </c>
    </row>
    <row r="52" spans="1:10" x14ac:dyDescent="0.15">
      <c r="A52" s="1" t="s">
        <v>69</v>
      </c>
      <c r="D52" s="14">
        <f>D26/(D48-D43)</f>
        <v>-8.4148332955318816E-2</v>
      </c>
      <c r="E52" s="14">
        <f>E26/(E48-E43)</f>
        <v>-8.9217664200851823E-2</v>
      </c>
    </row>
    <row r="53" spans="1:10" x14ac:dyDescent="0.15">
      <c r="A53" s="1" t="s">
        <v>70</v>
      </c>
      <c r="D53" s="14">
        <f>D26/D47</f>
        <v>9.8962389970659023E-2</v>
      </c>
      <c r="E53" s="14">
        <f>E26/E47</f>
        <v>9.0188080670745518E-2</v>
      </c>
    </row>
    <row r="55" spans="1:10" x14ac:dyDescent="0.15">
      <c r="A55" s="1" t="s">
        <v>71</v>
      </c>
      <c r="C55" s="14">
        <f t="shared" ref="C55:C58" si="60">C10/B10-1</f>
        <v>0.19421276595744685</v>
      </c>
      <c r="D55" s="14">
        <f>D10/C10-1</f>
        <v>0.1113169897377424</v>
      </c>
      <c r="E55" s="14">
        <f t="shared" ref="E55:J55" si="61">E10/D10-1</f>
        <v>0.11453122996024101</v>
      </c>
      <c r="F55" s="14">
        <f t="shared" si="61"/>
        <v>0.10000000000000009</v>
      </c>
      <c r="G55" s="14">
        <f t="shared" si="61"/>
        <v>0.10000000000000009</v>
      </c>
      <c r="H55" s="14">
        <f t="shared" si="61"/>
        <v>0.10000000000000009</v>
      </c>
      <c r="I55" s="14">
        <f t="shared" si="61"/>
        <v>0.10000000000000009</v>
      </c>
      <c r="J55" s="14">
        <f>J10/I10-1</f>
        <v>0.10000000000000009</v>
      </c>
    </row>
    <row r="56" spans="1:10" x14ac:dyDescent="0.15">
      <c r="A56" s="1" t="s">
        <v>74</v>
      </c>
      <c r="C56" s="14">
        <f t="shared" si="60"/>
        <v>0.60904255319148937</v>
      </c>
      <c r="D56" s="14">
        <f t="shared" ref="D56:J58" si="62">D11/C11-1</f>
        <v>0.38016528925619841</v>
      </c>
      <c r="E56" s="14">
        <f t="shared" si="62"/>
        <v>-8.8622754491017974E-2</v>
      </c>
      <c r="F56" s="14">
        <f t="shared" si="62"/>
        <v>5.0000000000000044E-2</v>
      </c>
      <c r="G56" s="14">
        <f t="shared" si="62"/>
        <v>5.0000000000000044E-2</v>
      </c>
      <c r="H56" s="14">
        <f t="shared" si="62"/>
        <v>5.0000000000000044E-2</v>
      </c>
      <c r="I56" s="14">
        <f t="shared" si="62"/>
        <v>5.0000000000000044E-2</v>
      </c>
      <c r="J56" s="14">
        <f t="shared" si="62"/>
        <v>5.0000000000000044E-2</v>
      </c>
    </row>
    <row r="57" spans="1:10" x14ac:dyDescent="0.15">
      <c r="A57" s="1" t="s">
        <v>72</v>
      </c>
      <c r="C57" s="14">
        <f t="shared" si="60"/>
        <v>33.5</v>
      </c>
      <c r="D57" s="14">
        <f t="shared" si="62"/>
        <v>0.31449275362318851</v>
      </c>
      <c r="E57" s="14">
        <f t="shared" si="62"/>
        <v>0.29106945975744214</v>
      </c>
      <c r="F57" s="14">
        <f t="shared" si="62"/>
        <v>0.30000000000000004</v>
      </c>
      <c r="G57" s="14">
        <f t="shared" si="62"/>
        <v>0.30000000000000004</v>
      </c>
      <c r="H57" s="14">
        <f t="shared" si="62"/>
        <v>0.30000000000000004</v>
      </c>
      <c r="I57" s="14">
        <f t="shared" si="62"/>
        <v>0.30000000000000004</v>
      </c>
      <c r="J57" s="14">
        <f t="shared" si="62"/>
        <v>0.30000000000000004</v>
      </c>
    </row>
    <row r="58" spans="1:10" x14ac:dyDescent="0.15">
      <c r="A58" s="1" t="s">
        <v>73</v>
      </c>
      <c r="C58" s="14">
        <f t="shared" si="60"/>
        <v>0.15461346633416451</v>
      </c>
      <c r="D58" s="14">
        <f t="shared" si="62"/>
        <v>0.12526997840172793</v>
      </c>
      <c r="E58" s="14">
        <f t="shared" si="62"/>
        <v>0.15355086372360849</v>
      </c>
      <c r="F58" s="14">
        <f t="shared" si="62"/>
        <v>0.10000000000000009</v>
      </c>
      <c r="G58" s="14">
        <f t="shared" si="62"/>
        <v>0.10000000000000009</v>
      </c>
      <c r="H58" s="14">
        <f t="shared" si="62"/>
        <v>0.10000000000000009</v>
      </c>
      <c r="I58" s="14">
        <f t="shared" si="62"/>
        <v>0.10000000000000009</v>
      </c>
      <c r="J58" s="14">
        <f t="shared" si="62"/>
        <v>0.10000000000000009</v>
      </c>
    </row>
    <row r="60" spans="1:10" x14ac:dyDescent="0.15">
      <c r="A60" s="1" t="s">
        <v>122</v>
      </c>
      <c r="D60" s="1">
        <f>Reports!M63</f>
        <v>74.8</v>
      </c>
      <c r="E60" s="1">
        <f>Reports!Q63</f>
        <v>82.2</v>
      </c>
    </row>
    <row r="61" spans="1:10" x14ac:dyDescent="0.15">
      <c r="A61" s="1" t="s">
        <v>123</v>
      </c>
      <c r="E61" s="14">
        <f>E60/D60-1</f>
        <v>9.8930481283422633E-2</v>
      </c>
    </row>
  </sheetData>
  <phoneticPr fontId="4" type="noConversion"/>
  <hyperlinks>
    <hyperlink ref="A7" r:id="rId1"/>
    <hyperlink ref="A1" r:id="rId2"/>
  </hyperlinks>
  <pageMargins left="0.7" right="0.7" top="0.75" bottom="0.75" header="0.3" footer="0.3"/>
  <pageSetup paperSize="9" orientation="portrait" horizontalDpi="0" verticalDpi="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4"/>
  <sheetViews>
    <sheetView workbookViewId="0">
      <pane xSplit="1" ySplit="2" topLeftCell="G3" activePane="bottomRight" state="frozen"/>
      <selection pane="topRight" activeCell="B1" sqref="B1"/>
      <selection pane="bottomLeft" activeCell="A3" sqref="A3"/>
      <selection pane="bottomRight" activeCell="R31" sqref="R31"/>
    </sheetView>
  </sheetViews>
  <sheetFormatPr baseColWidth="10" defaultRowHeight="13" x14ac:dyDescent="0.15"/>
  <cols>
    <col min="1" max="1" width="17.5" style="1" bestFit="1" customWidth="1"/>
    <col min="2" max="5" width="10.83203125" style="25" customWidth="1"/>
    <col min="6" max="6" width="10.83203125" style="26" customWidth="1"/>
    <col min="7" max="8" width="10.83203125" style="25" customWidth="1"/>
    <col min="9" max="9" width="10.83203125" style="25"/>
    <col min="10" max="10" width="10.83203125" style="26"/>
    <col min="11" max="11" width="10.83203125" style="25" customWidth="1"/>
    <col min="12" max="12" width="10.83203125" style="25"/>
    <col min="13" max="13" width="10.83203125" style="31"/>
    <col min="14" max="14" width="10.83203125" style="26"/>
    <col min="15" max="16" width="10.83203125" style="25"/>
    <col min="17" max="17" width="10.83203125" style="31"/>
    <col min="18" max="18" width="10.83203125" style="30"/>
    <col min="19" max="16384" width="10.83203125" style="1"/>
  </cols>
  <sheetData>
    <row r="1" spans="1:18" x14ac:dyDescent="0.15">
      <c r="A1" s="15" t="s">
        <v>61</v>
      </c>
      <c r="B1" s="25" t="s">
        <v>38</v>
      </c>
      <c r="C1" s="25" t="s">
        <v>39</v>
      </c>
      <c r="D1" s="25" t="s">
        <v>40</v>
      </c>
      <c r="E1" s="25" t="s">
        <v>41</v>
      </c>
      <c r="F1" s="26" t="s">
        <v>22</v>
      </c>
      <c r="G1" s="25" t="s">
        <v>23</v>
      </c>
      <c r="H1" s="25" t="s">
        <v>24</v>
      </c>
      <c r="I1" s="25" t="s">
        <v>25</v>
      </c>
      <c r="J1" s="27" t="s">
        <v>0</v>
      </c>
      <c r="K1" s="28" t="s">
        <v>1</v>
      </c>
      <c r="L1" s="28" t="s">
        <v>2</v>
      </c>
      <c r="M1" s="29" t="s">
        <v>3</v>
      </c>
      <c r="N1" s="27" t="s">
        <v>34</v>
      </c>
      <c r="O1" s="28" t="s">
        <v>35</v>
      </c>
      <c r="P1" s="28" t="s">
        <v>36</v>
      </c>
      <c r="Q1" s="29" t="s">
        <v>37</v>
      </c>
    </row>
    <row r="2" spans="1:18" x14ac:dyDescent="0.15">
      <c r="A2" s="15"/>
      <c r="B2" s="25" t="s">
        <v>58</v>
      </c>
      <c r="C2" s="25" t="s">
        <v>57</v>
      </c>
      <c r="D2" s="25" t="s">
        <v>56</v>
      </c>
      <c r="E2" s="25" t="s">
        <v>55</v>
      </c>
      <c r="F2" s="26" t="s">
        <v>54</v>
      </c>
      <c r="G2" s="25" t="s">
        <v>52</v>
      </c>
      <c r="H2" s="25" t="s">
        <v>49</v>
      </c>
      <c r="I2" s="25" t="s">
        <v>50</v>
      </c>
      <c r="J2" s="26" t="s">
        <v>53</v>
      </c>
      <c r="K2" s="25" t="s">
        <v>51</v>
      </c>
      <c r="L2" s="25" t="s">
        <v>45</v>
      </c>
      <c r="M2" s="31" t="s">
        <v>117</v>
      </c>
      <c r="N2" s="26" t="s">
        <v>119</v>
      </c>
      <c r="O2" s="25" t="s">
        <v>118</v>
      </c>
      <c r="P2" s="25" t="s">
        <v>112</v>
      </c>
      <c r="Q2" s="31" t="s">
        <v>120</v>
      </c>
    </row>
    <row r="3" spans="1:18" x14ac:dyDescent="0.15">
      <c r="A3" s="1" t="s">
        <v>46</v>
      </c>
      <c r="B3" s="28">
        <f>1170+33</f>
        <v>1203</v>
      </c>
      <c r="C3" s="28">
        <f>1463+8</f>
        <v>1471</v>
      </c>
      <c r="D3" s="28">
        <v>1740</v>
      </c>
      <c r="E3" s="28">
        <f>1505-44</f>
        <v>1461</v>
      </c>
      <c r="F3" s="27">
        <v>1540</v>
      </c>
      <c r="G3" s="28">
        <v>1765</v>
      </c>
      <c r="H3" s="28">
        <v>2083</v>
      </c>
      <c r="I3" s="28">
        <f>1695-67</f>
        <v>1628</v>
      </c>
      <c r="J3" s="27">
        <v>1700</v>
      </c>
      <c r="K3" s="28">
        <v>2009</v>
      </c>
      <c r="L3" s="28">
        <v>2314</v>
      </c>
      <c r="M3" s="32">
        <f>1857-83</f>
        <v>1774</v>
      </c>
      <c r="N3" s="27">
        <v>1926</v>
      </c>
      <c r="O3" s="33">
        <v>2253</v>
      </c>
      <c r="P3" s="33">
        <v>2527</v>
      </c>
      <c r="Q3" s="32">
        <f>2054-70</f>
        <v>1984</v>
      </c>
    </row>
    <row r="4" spans="1:18" x14ac:dyDescent="0.15">
      <c r="A4" s="1" t="s">
        <v>75</v>
      </c>
      <c r="B4" s="28">
        <v>72</v>
      </c>
      <c r="C4" s="28">
        <v>90</v>
      </c>
      <c r="D4" s="28">
        <v>104</v>
      </c>
      <c r="E4" s="28">
        <v>110</v>
      </c>
      <c r="F4" s="27">
        <v>112</v>
      </c>
      <c r="G4" s="28">
        <v>134</v>
      </c>
      <c r="H4" s="28">
        <v>176</v>
      </c>
      <c r="I4" s="28">
        <v>183</v>
      </c>
      <c r="J4" s="27">
        <v>181</v>
      </c>
      <c r="K4" s="28">
        <v>218</v>
      </c>
      <c r="L4" s="28">
        <v>221</v>
      </c>
      <c r="M4" s="32">
        <v>215</v>
      </c>
      <c r="N4" s="27">
        <v>197</v>
      </c>
      <c r="O4" s="33">
        <v>174</v>
      </c>
      <c r="P4" s="33">
        <v>200</v>
      </c>
      <c r="Q4" s="32">
        <v>190</v>
      </c>
    </row>
    <row r="5" spans="1:18" x14ac:dyDescent="0.15">
      <c r="A5" s="1" t="s">
        <v>47</v>
      </c>
      <c r="B5" s="28"/>
      <c r="C5" s="28"/>
      <c r="D5" s="28"/>
      <c r="E5" s="28">
        <v>20</v>
      </c>
      <c r="F5" s="27">
        <v>142</v>
      </c>
      <c r="G5" s="28">
        <v>172</v>
      </c>
      <c r="H5" s="28">
        <v>210</v>
      </c>
      <c r="I5" s="28">
        <v>166</v>
      </c>
      <c r="J5" s="27">
        <v>185</v>
      </c>
      <c r="K5" s="28">
        <v>224</v>
      </c>
      <c r="L5" s="28">
        <v>305</v>
      </c>
      <c r="M5" s="32">
        <v>193</v>
      </c>
      <c r="N5" s="27">
        <v>234</v>
      </c>
      <c r="O5" s="33">
        <v>297</v>
      </c>
      <c r="P5" s="33">
        <v>410</v>
      </c>
      <c r="Q5" s="32">
        <v>230</v>
      </c>
    </row>
    <row r="6" spans="1:18" x14ac:dyDescent="0.15">
      <c r="A6" s="1" t="s">
        <v>48</v>
      </c>
      <c r="B6" s="28">
        <v>98</v>
      </c>
      <c r="C6" s="28">
        <v>102</v>
      </c>
      <c r="D6" s="28">
        <v>94</v>
      </c>
      <c r="E6" s="28">
        <v>107</v>
      </c>
      <c r="F6" s="27">
        <v>110</v>
      </c>
      <c r="G6" s="28">
        <v>125</v>
      </c>
      <c r="H6" s="28">
        <v>112</v>
      </c>
      <c r="I6" s="28">
        <v>116</v>
      </c>
      <c r="J6" s="27">
        <v>123</v>
      </c>
      <c r="K6" s="28">
        <v>135</v>
      </c>
      <c r="L6" s="28">
        <v>126</v>
      </c>
      <c r="M6" s="32">
        <v>137</v>
      </c>
      <c r="N6" s="27">
        <v>151</v>
      </c>
      <c r="O6" s="33">
        <v>156</v>
      </c>
      <c r="P6" s="33">
        <v>139</v>
      </c>
      <c r="Q6" s="32">
        <v>155</v>
      </c>
    </row>
    <row r="7" spans="1:18" x14ac:dyDescent="0.15">
      <c r="I7" s="28"/>
      <c r="K7" s="34"/>
      <c r="L7" s="34"/>
      <c r="M7" s="35"/>
      <c r="O7" s="34"/>
      <c r="P7" s="34"/>
      <c r="Q7" s="35"/>
    </row>
    <row r="8" spans="1:18" s="16" customFormat="1" x14ac:dyDescent="0.15">
      <c r="A8" s="16" t="s">
        <v>4</v>
      </c>
      <c r="B8" s="36">
        <f t="shared" ref="B8:Q8" si="0">SUM(B3:B6)</f>
        <v>1373</v>
      </c>
      <c r="C8" s="36">
        <f t="shared" si="0"/>
        <v>1663</v>
      </c>
      <c r="D8" s="36">
        <f t="shared" si="0"/>
        <v>1938</v>
      </c>
      <c r="E8" s="36">
        <f t="shared" si="0"/>
        <v>1698</v>
      </c>
      <c r="F8" s="37">
        <f t="shared" si="0"/>
        <v>1904</v>
      </c>
      <c r="G8" s="36">
        <f t="shared" si="0"/>
        <v>2196</v>
      </c>
      <c r="H8" s="36">
        <f t="shared" si="0"/>
        <v>2581</v>
      </c>
      <c r="I8" s="36">
        <f t="shared" si="0"/>
        <v>2093</v>
      </c>
      <c r="J8" s="37">
        <f t="shared" si="0"/>
        <v>2189</v>
      </c>
      <c r="K8" s="36">
        <f t="shared" si="0"/>
        <v>2586</v>
      </c>
      <c r="L8" s="36">
        <f t="shared" si="0"/>
        <v>2966</v>
      </c>
      <c r="M8" s="36">
        <f t="shared" si="0"/>
        <v>2319</v>
      </c>
      <c r="N8" s="37">
        <f t="shared" si="0"/>
        <v>2508</v>
      </c>
      <c r="O8" s="36">
        <f t="shared" si="0"/>
        <v>2880</v>
      </c>
      <c r="P8" s="36">
        <f t="shared" si="0"/>
        <v>3276</v>
      </c>
      <c r="Q8" s="36">
        <f>SUM(Q3:Q6)</f>
        <v>2559</v>
      </c>
      <c r="R8" s="38"/>
    </row>
    <row r="9" spans="1:18" x14ac:dyDescent="0.15">
      <c r="A9" s="1" t="s">
        <v>5</v>
      </c>
      <c r="B9" s="33">
        <v>321.91800000000001</v>
      </c>
      <c r="C9" s="33">
        <v>321.08199999999999</v>
      </c>
      <c r="D9" s="33">
        <v>328.06599999999997</v>
      </c>
      <c r="E9" s="33">
        <v>338.49299999999999</v>
      </c>
      <c r="F9" s="27">
        <v>402.57</v>
      </c>
      <c r="G9" s="28">
        <v>406.38</v>
      </c>
      <c r="H9" s="28">
        <v>416.90699999999998</v>
      </c>
      <c r="I9" s="28">
        <v>370.84100000000001</v>
      </c>
      <c r="J9" s="27">
        <v>421.68700000000001</v>
      </c>
      <c r="K9" s="33">
        <v>439.00700000000001</v>
      </c>
      <c r="L9" s="33">
        <v>459</v>
      </c>
      <c r="M9" s="32">
        <v>437.27800000000002</v>
      </c>
      <c r="N9" s="27">
        <v>487</v>
      </c>
      <c r="O9" s="33">
        <v>498</v>
      </c>
      <c r="P9" s="33">
        <v>504</v>
      </c>
      <c r="Q9" s="32">
        <v>476</v>
      </c>
    </row>
    <row r="10" spans="1:18" x14ac:dyDescent="0.15">
      <c r="A10" s="1" t="s">
        <v>6</v>
      </c>
      <c r="B10" s="33">
        <f>B8-B9</f>
        <v>1051.0819999999999</v>
      </c>
      <c r="C10" s="33">
        <f>C8-C9</f>
        <v>1341.9180000000001</v>
      </c>
      <c r="D10" s="39">
        <f>D8-D9</f>
        <v>1609.934</v>
      </c>
      <c r="E10" s="39">
        <f>E8-E9</f>
        <v>1359.5070000000001</v>
      </c>
      <c r="F10" s="40">
        <f>F8-F9</f>
        <v>1501.43</v>
      </c>
      <c r="G10" s="41">
        <f t="shared" ref="G10:M10" si="1">G8-G9</f>
        <v>1789.62</v>
      </c>
      <c r="H10" s="41">
        <f t="shared" si="1"/>
        <v>2164.0929999999998</v>
      </c>
      <c r="I10" s="41">
        <f t="shared" si="1"/>
        <v>1722.1590000000001</v>
      </c>
      <c r="J10" s="40">
        <f t="shared" si="1"/>
        <v>1767.3130000000001</v>
      </c>
      <c r="K10" s="39">
        <f t="shared" si="1"/>
        <v>2146.9929999999999</v>
      </c>
      <c r="L10" s="39">
        <f t="shared" si="1"/>
        <v>2507</v>
      </c>
      <c r="M10" s="39">
        <f t="shared" si="1"/>
        <v>1881.722</v>
      </c>
      <c r="N10" s="40">
        <f t="shared" ref="N10" si="2">N8-N9</f>
        <v>2021</v>
      </c>
      <c r="O10" s="39">
        <f t="shared" ref="O10:Q10" si="3">O8-O9</f>
        <v>2382</v>
      </c>
      <c r="P10" s="39">
        <f t="shared" si="3"/>
        <v>2772</v>
      </c>
      <c r="Q10" s="39">
        <f t="shared" si="3"/>
        <v>2083</v>
      </c>
    </row>
    <row r="11" spans="1:18" x14ac:dyDescent="0.15">
      <c r="A11" s="1" t="s">
        <v>7</v>
      </c>
      <c r="B11" s="33">
        <v>190.45500000000001</v>
      </c>
      <c r="C11" s="33">
        <v>186.51599999999999</v>
      </c>
      <c r="D11" s="33">
        <v>202.703</v>
      </c>
      <c r="E11" s="33">
        <v>250.57</v>
      </c>
      <c r="F11" s="27">
        <v>291.55399999999997</v>
      </c>
      <c r="G11" s="28">
        <v>317.92099999999999</v>
      </c>
      <c r="H11" s="28">
        <v>301.44600000000003</v>
      </c>
      <c r="I11" s="28">
        <v>324.09800000000001</v>
      </c>
      <c r="J11" s="27">
        <v>322.04000000000002</v>
      </c>
      <c r="K11" s="33">
        <v>342.53</v>
      </c>
      <c r="L11" s="33">
        <v>350</v>
      </c>
      <c r="M11" s="32">
        <v>372.15600000000001</v>
      </c>
      <c r="N11" s="27">
        <v>396</v>
      </c>
      <c r="O11" s="33">
        <v>400</v>
      </c>
      <c r="P11" s="33">
        <v>404</v>
      </c>
      <c r="Q11" s="32">
        <v>417</v>
      </c>
    </row>
    <row r="12" spans="1:18" x14ac:dyDescent="0.15">
      <c r="A12" s="1" t="s">
        <v>8</v>
      </c>
      <c r="B12" s="33">
        <v>763.38099999999997</v>
      </c>
      <c r="C12" s="33">
        <v>885.48</v>
      </c>
      <c r="D12" s="33">
        <v>943.28899999999999</v>
      </c>
      <c r="E12" s="33">
        <v>788.93600000000004</v>
      </c>
      <c r="F12" s="27">
        <v>1039.348</v>
      </c>
      <c r="G12" s="28">
        <v>1154.9929999999999</v>
      </c>
      <c r="H12" s="28">
        <v>1204.521</v>
      </c>
      <c r="I12" s="28">
        <v>968.55499999999995</v>
      </c>
      <c r="J12" s="27">
        <v>1270.06</v>
      </c>
      <c r="K12" s="33">
        <v>1443.4069999999999</v>
      </c>
      <c r="L12" s="33">
        <v>1461</v>
      </c>
      <c r="M12" s="32">
        <v>1123.6579999999999</v>
      </c>
      <c r="N12" s="27">
        <v>1516</v>
      </c>
      <c r="O12" s="33">
        <v>1541</v>
      </c>
      <c r="P12" s="33">
        <v>1501</v>
      </c>
      <c r="Q12" s="32">
        <v>1209</v>
      </c>
    </row>
    <row r="13" spans="1:18" x14ac:dyDescent="0.15">
      <c r="A13" s="1" t="s">
        <v>9</v>
      </c>
      <c r="B13" s="33">
        <f>116.397+25.042+2.529+4.676</f>
        <v>148.64400000000001</v>
      </c>
      <c r="C13" s="33">
        <f>141.394+26.88+5.51+5.646</f>
        <v>179.42999999999998</v>
      </c>
      <c r="D13" s="33">
        <f>130.168+31.4-114.55+71.679</f>
        <v>118.69700000000002</v>
      </c>
      <c r="E13" s="33">
        <f>185.954+73.136+7.207+1.924+22.87</f>
        <v>291.09100000000001</v>
      </c>
      <c r="F13" s="27">
        <f>146.011+89.999+1.974+29.803</f>
        <v>267.78699999999998</v>
      </c>
      <c r="G13" s="28">
        <f>192.555+84.181+4.344+9.833</f>
        <v>290.91300000000001</v>
      </c>
      <c r="H13" s="28">
        <f>165.829+74.939+2.141+22.332+6.638</f>
        <v>271.87899999999996</v>
      </c>
      <c r="I13" s="28">
        <f>173.897+68.022+32.749-2.152+9.633</f>
        <v>282.149</v>
      </c>
      <c r="J13" s="27">
        <f>158.153+66.676+21.054+1.899</f>
        <v>247.78200000000001</v>
      </c>
      <c r="K13" s="33">
        <f>178.952+66.279+3.401+9.708</f>
        <v>258.34000000000003</v>
      </c>
      <c r="L13" s="33">
        <f>141+71-1+4</f>
        <v>215</v>
      </c>
      <c r="M13" s="32">
        <f>197.558+71.479+2.456+1.148</f>
        <v>272.64100000000002</v>
      </c>
      <c r="N13" s="27">
        <f>199+72+3</f>
        <v>274</v>
      </c>
      <c r="O13" s="33">
        <f>196+72+61+1</f>
        <v>330</v>
      </c>
      <c r="P13" s="33">
        <f>202+71-78</f>
        <v>195</v>
      </c>
      <c r="Q13" s="32">
        <f>211+68+25+42+15</f>
        <v>361</v>
      </c>
    </row>
    <row r="14" spans="1:18" x14ac:dyDescent="0.15">
      <c r="A14" s="1" t="s">
        <v>10</v>
      </c>
      <c r="B14" s="33">
        <f>SUM(B11:B13)</f>
        <v>1102.48</v>
      </c>
      <c r="C14" s="33">
        <f>SUM(C11:C13)</f>
        <v>1251.4260000000002</v>
      </c>
      <c r="D14" s="39">
        <f>SUM(D11:D13)</f>
        <v>1264.6890000000001</v>
      </c>
      <c r="E14" s="39">
        <f>SUM(E11:E13)</f>
        <v>1330.5970000000002</v>
      </c>
      <c r="F14" s="40">
        <f>SUM(F11:F13)</f>
        <v>1598.6890000000001</v>
      </c>
      <c r="G14" s="41">
        <f t="shared" ref="G14:L14" si="4">SUM(G11:G13)</f>
        <v>1763.827</v>
      </c>
      <c r="H14" s="41">
        <f t="shared" si="4"/>
        <v>1777.846</v>
      </c>
      <c r="I14" s="41">
        <f t="shared" si="4"/>
        <v>1574.8020000000001</v>
      </c>
      <c r="J14" s="40">
        <f t="shared" si="4"/>
        <v>1839.8819999999998</v>
      </c>
      <c r="K14" s="39">
        <f t="shared" si="4"/>
        <v>2044.277</v>
      </c>
      <c r="L14" s="39">
        <f t="shared" si="4"/>
        <v>2026</v>
      </c>
      <c r="M14" s="39">
        <f t="shared" ref="M14" si="5">SUM(M11:M13)</f>
        <v>1768.4549999999999</v>
      </c>
      <c r="N14" s="40">
        <f t="shared" ref="N14" si="6">SUM(N11:N13)</f>
        <v>2186</v>
      </c>
      <c r="O14" s="39">
        <f t="shared" ref="O14:P14" si="7">SUM(O11:O13)</f>
        <v>2271</v>
      </c>
      <c r="P14" s="39">
        <f t="shared" si="7"/>
        <v>2100</v>
      </c>
      <c r="Q14" s="39">
        <f t="shared" ref="Q14" si="8">SUM(Q11:Q13)</f>
        <v>1987</v>
      </c>
    </row>
    <row r="15" spans="1:18" x14ac:dyDescent="0.15">
      <c r="A15" s="1" t="s">
        <v>11</v>
      </c>
      <c r="B15" s="33">
        <f>B10-B14</f>
        <v>-51.398000000000138</v>
      </c>
      <c r="C15" s="33">
        <f>C10-C14</f>
        <v>90.491999999999962</v>
      </c>
      <c r="D15" s="39">
        <f>D10-D14</f>
        <v>345.24499999999989</v>
      </c>
      <c r="E15" s="39">
        <f>E10-E14</f>
        <v>28.909999999999854</v>
      </c>
      <c r="F15" s="40">
        <f>F10-F14</f>
        <v>-97.259000000000015</v>
      </c>
      <c r="G15" s="41">
        <f t="shared" ref="G15" si="9">G10-G14</f>
        <v>25.792999999999893</v>
      </c>
      <c r="H15" s="41">
        <f t="shared" ref="H15:N15" si="10">H10-H14</f>
        <v>386.24699999999984</v>
      </c>
      <c r="I15" s="41">
        <f t="shared" si="10"/>
        <v>147.35699999999997</v>
      </c>
      <c r="J15" s="40">
        <f t="shared" si="10"/>
        <v>-72.568999999999733</v>
      </c>
      <c r="K15" s="39">
        <f t="shared" si="10"/>
        <v>102.71599999999989</v>
      </c>
      <c r="L15" s="39">
        <f t="shared" si="10"/>
        <v>481</v>
      </c>
      <c r="M15" s="39">
        <f t="shared" ref="M15" si="11">M10-M14</f>
        <v>113.26700000000005</v>
      </c>
      <c r="N15" s="40">
        <f t="shared" si="10"/>
        <v>-165</v>
      </c>
      <c r="O15" s="39">
        <f t="shared" ref="O15:P15" si="12">O10-O14</f>
        <v>111</v>
      </c>
      <c r="P15" s="39">
        <f t="shared" si="12"/>
        <v>672</v>
      </c>
      <c r="Q15" s="39">
        <f t="shared" ref="Q15" si="13">Q10-Q14</f>
        <v>96</v>
      </c>
    </row>
    <row r="16" spans="1:18" x14ac:dyDescent="0.15">
      <c r="A16" s="1" t="s">
        <v>12</v>
      </c>
      <c r="B16" s="33">
        <f>5.545-27.994+105.101</f>
        <v>82.652000000000001</v>
      </c>
      <c r="C16" s="33">
        <f>4.693-28.515+508.81-17.023</f>
        <v>467.96499999999997</v>
      </c>
      <c r="D16" s="33">
        <f>4.165-33.273+26.283</f>
        <v>-2.8250000000000028</v>
      </c>
      <c r="E16" s="33">
        <f>2.292-36.427-1.275</f>
        <v>-35.409999999999997</v>
      </c>
      <c r="F16" s="27">
        <f>3.567-43.96-28.195</f>
        <v>-68.587999999999994</v>
      </c>
      <c r="G16" s="28">
        <f>4.955-42.939+0.127</f>
        <v>-37.856999999999999</v>
      </c>
      <c r="H16" s="28">
        <f>5.827-43.374-9.05</f>
        <v>-46.597000000000008</v>
      </c>
      <c r="I16" s="28">
        <f>5.377-42.875+5.438</f>
        <v>-32.059999999999995</v>
      </c>
      <c r="J16" s="27">
        <f>6.259-42.977-21.704</f>
        <v>-58.421999999999997</v>
      </c>
      <c r="K16" s="33">
        <f>9.262-42.661-12.687</f>
        <v>-46.085999999999999</v>
      </c>
      <c r="L16" s="33">
        <f>9-44-31</f>
        <v>-66</v>
      </c>
      <c r="M16" s="32">
        <f>9.287-52.073+5.217</f>
        <v>-37.569000000000003</v>
      </c>
      <c r="N16" s="27">
        <f>11-51+36</f>
        <v>-4</v>
      </c>
      <c r="O16" s="33">
        <f>16-51-90</f>
        <v>-125</v>
      </c>
      <c r="P16" s="33">
        <f>34-47-47</f>
        <v>-60</v>
      </c>
      <c r="Q16" s="32">
        <f>10-41-9</f>
        <v>-40</v>
      </c>
    </row>
    <row r="17" spans="1:18" x14ac:dyDescent="0.15">
      <c r="A17" s="1" t="s">
        <v>13</v>
      </c>
      <c r="B17" s="33">
        <f>B15+B16</f>
        <v>31.253999999999863</v>
      </c>
      <c r="C17" s="33">
        <f>C15+C16</f>
        <v>558.45699999999988</v>
      </c>
      <c r="D17" s="39">
        <f>D15+D16</f>
        <v>342.4199999999999</v>
      </c>
      <c r="E17" s="39">
        <f>E15+E16</f>
        <v>-6.5000000000001421</v>
      </c>
      <c r="F17" s="40">
        <f>F15+F16</f>
        <v>-165.84700000000001</v>
      </c>
      <c r="G17" s="41">
        <f t="shared" ref="G17:I17" si="14">G15+G16</f>
        <v>-12.064000000000107</v>
      </c>
      <c r="H17" s="41">
        <f t="shared" si="14"/>
        <v>339.64999999999986</v>
      </c>
      <c r="I17" s="41">
        <f t="shared" si="14"/>
        <v>115.29699999999997</v>
      </c>
      <c r="J17" s="40">
        <f t="shared" ref="J17:K17" si="15">J15+J16</f>
        <v>-130.99099999999973</v>
      </c>
      <c r="K17" s="39">
        <f t="shared" si="15"/>
        <v>56.629999999999896</v>
      </c>
      <c r="L17" s="39">
        <f t="shared" ref="L17:M17" si="16">L15+L16</f>
        <v>415</v>
      </c>
      <c r="M17" s="39">
        <f t="shared" si="16"/>
        <v>75.69800000000005</v>
      </c>
      <c r="N17" s="40">
        <f t="shared" ref="N17" si="17">N15+N16</f>
        <v>-169</v>
      </c>
      <c r="O17" s="39">
        <f t="shared" ref="O17:Q17" si="18">O15+O16</f>
        <v>-14</v>
      </c>
      <c r="P17" s="39">
        <f t="shared" si="18"/>
        <v>612</v>
      </c>
      <c r="Q17" s="39">
        <f t="shared" si="18"/>
        <v>56</v>
      </c>
    </row>
    <row r="18" spans="1:18" x14ac:dyDescent="0.15">
      <c r="A18" s="1" t="s">
        <v>14</v>
      </c>
      <c r="B18" s="33">
        <v>-0.91</v>
      </c>
      <c r="C18" s="33">
        <v>131.221</v>
      </c>
      <c r="D18" s="33">
        <v>65.95</v>
      </c>
      <c r="E18" s="33">
        <v>6.9530000000000003</v>
      </c>
      <c r="F18" s="27">
        <v>-57.353999999999999</v>
      </c>
      <c r="G18" s="28">
        <v>-18.202000000000002</v>
      </c>
      <c r="H18" s="28">
        <v>60.627000000000002</v>
      </c>
      <c r="I18" s="28">
        <v>30.244</v>
      </c>
      <c r="J18" s="27">
        <v>-46.716000000000001</v>
      </c>
      <c r="K18" s="33">
        <v>3.012</v>
      </c>
      <c r="L18" s="33">
        <v>66</v>
      </c>
      <c r="M18" s="32">
        <v>23.030999999999999</v>
      </c>
      <c r="N18" s="27">
        <v>-20</v>
      </c>
      <c r="O18" s="33">
        <v>-5</v>
      </c>
      <c r="P18" s="33">
        <v>81</v>
      </c>
      <c r="Q18" s="32">
        <v>31</v>
      </c>
    </row>
    <row r="19" spans="1:18" s="16" customFormat="1" x14ac:dyDescent="0.15">
      <c r="A19" s="16" t="s">
        <v>15</v>
      </c>
      <c r="B19" s="42">
        <f t="shared" ref="B19:G19" si="19">B17-B18</f>
        <v>32.163999999999859</v>
      </c>
      <c r="C19" s="42">
        <f t="shared" si="19"/>
        <v>427.23599999999988</v>
      </c>
      <c r="D19" s="36">
        <f t="shared" si="19"/>
        <v>276.46999999999991</v>
      </c>
      <c r="E19" s="36">
        <f>E17-E18</f>
        <v>-13.453000000000142</v>
      </c>
      <c r="F19" s="37">
        <f t="shared" si="19"/>
        <v>-108.49300000000001</v>
      </c>
      <c r="G19" s="43">
        <f t="shared" si="19"/>
        <v>6.1379999999998951</v>
      </c>
      <c r="H19" s="43">
        <f t="shared" ref="H19" si="20">H17-H18</f>
        <v>279.02299999999985</v>
      </c>
      <c r="I19" s="43">
        <f t="shared" ref="I19:Q19" si="21">I17-I18</f>
        <v>85.052999999999969</v>
      </c>
      <c r="J19" s="37">
        <f t="shared" si="21"/>
        <v>-84.274999999999721</v>
      </c>
      <c r="K19" s="36">
        <f t="shared" si="21"/>
        <v>53.617999999999896</v>
      </c>
      <c r="L19" s="36">
        <f t="shared" si="21"/>
        <v>349</v>
      </c>
      <c r="M19" s="36">
        <f t="shared" si="21"/>
        <v>52.667000000000051</v>
      </c>
      <c r="N19" s="37">
        <f t="shared" si="21"/>
        <v>-149</v>
      </c>
      <c r="O19" s="36">
        <f t="shared" si="21"/>
        <v>-9</v>
      </c>
      <c r="P19" s="36">
        <f t="shared" si="21"/>
        <v>531</v>
      </c>
      <c r="Q19" s="36">
        <f t="shared" si="21"/>
        <v>25</v>
      </c>
      <c r="R19" s="38"/>
    </row>
    <row r="20" spans="1:18" x14ac:dyDescent="0.15">
      <c r="A20" s="1" t="s">
        <v>16</v>
      </c>
      <c r="B20" s="44">
        <f t="shared" ref="B20:H20" si="22">IFERROR(B19/B21,0)</f>
        <v>0.24477557419217258</v>
      </c>
      <c r="C20" s="44">
        <f t="shared" si="22"/>
        <v>3.2132671480144395</v>
      </c>
      <c r="D20" s="45">
        <f t="shared" si="22"/>
        <v>2.0722246790139183</v>
      </c>
      <c r="E20" s="45">
        <f t="shared" si="22"/>
        <v>-0.10029971370631145</v>
      </c>
      <c r="F20" s="46">
        <f t="shared" si="22"/>
        <v>-0.71824934459656287</v>
      </c>
      <c r="G20" s="47">
        <f t="shared" si="22"/>
        <v>3.9978636375478042E-2</v>
      </c>
      <c r="H20" s="47">
        <f t="shared" si="22"/>
        <v>1.8090653284576874</v>
      </c>
      <c r="I20" s="47">
        <f t="shared" ref="I20:L20" si="23">IFERROR(I19/I21,0)</f>
        <v>0.54847779404272867</v>
      </c>
      <c r="J20" s="46">
        <f t="shared" si="23"/>
        <v>-0.55985145916787715</v>
      </c>
      <c r="K20" s="45">
        <f t="shared" si="23"/>
        <v>0.34144415505021175</v>
      </c>
      <c r="L20" s="45">
        <f t="shared" si="23"/>
        <v>2.2122210953346859</v>
      </c>
      <c r="M20" s="45">
        <f t="shared" ref="M20" si="24">IFERROR(M19/M21,0)</f>
        <v>0.3376652519009582</v>
      </c>
      <c r="N20" s="46">
        <f>IFERROR(N19/N21,0)</f>
        <v>-0.98144476573769734</v>
      </c>
      <c r="O20" s="45">
        <f>IFERROR(O19/O21,0)</f>
        <v>-5.8971150002948558E-2</v>
      </c>
      <c r="P20" s="45">
        <f>IFERROR(P19/P21,0)</f>
        <v>3.4671211141799381</v>
      </c>
      <c r="Q20" s="45">
        <f>IFERROR(Q19/Q21,0)</f>
        <v>0.16517131568863225</v>
      </c>
    </row>
    <row r="21" spans="1:18" x14ac:dyDescent="0.15">
      <c r="A21" s="1" t="s">
        <v>17</v>
      </c>
      <c r="B21" s="33">
        <v>131.40199999999999</v>
      </c>
      <c r="C21" s="33">
        <v>132.96</v>
      </c>
      <c r="D21" s="33">
        <v>133.417</v>
      </c>
      <c r="E21" s="33">
        <v>134.12799999999999</v>
      </c>
      <c r="F21" s="27">
        <v>151.05199999999999</v>
      </c>
      <c r="G21" s="33">
        <v>153.53200000000001</v>
      </c>
      <c r="H21" s="33">
        <v>154.23599999999999</v>
      </c>
      <c r="I21" s="33">
        <v>155.071</v>
      </c>
      <c r="J21" s="27">
        <v>150.53100000000001</v>
      </c>
      <c r="K21" s="33">
        <v>157.03299999999999</v>
      </c>
      <c r="L21" s="33">
        <v>157.76</v>
      </c>
      <c r="M21" s="32">
        <v>155.97399999999999</v>
      </c>
      <c r="N21" s="27">
        <v>151.81700000000001</v>
      </c>
      <c r="O21" s="33">
        <v>152.61699999999999</v>
      </c>
      <c r="P21" s="33">
        <v>153.15299999999999</v>
      </c>
      <c r="Q21" s="32">
        <v>151.358</v>
      </c>
    </row>
    <row r="22" spans="1:18" x14ac:dyDescent="0.15">
      <c r="B22" s="33"/>
      <c r="C22" s="33"/>
      <c r="D22" s="33"/>
      <c r="E22" s="33"/>
      <c r="F22" s="27"/>
      <c r="G22" s="33"/>
      <c r="H22" s="33"/>
      <c r="I22" s="33"/>
      <c r="J22" s="27"/>
      <c r="K22" s="33"/>
      <c r="L22" s="33"/>
      <c r="M22" s="32"/>
      <c r="N22" s="27"/>
      <c r="O22" s="33"/>
      <c r="P22" s="33"/>
      <c r="Q22" s="32"/>
    </row>
    <row r="23" spans="1:18" x14ac:dyDescent="0.15">
      <c r="A23" s="1" t="s">
        <v>19</v>
      </c>
      <c r="B23" s="48">
        <f t="shared" ref="B23:Q23" si="25">IFERROR(B10/B8,0)</f>
        <v>0.76553678077203191</v>
      </c>
      <c r="C23" s="48">
        <f t="shared" si="25"/>
        <v>0.8069260372820205</v>
      </c>
      <c r="D23" s="48">
        <f t="shared" si="25"/>
        <v>0.83071929824561397</v>
      </c>
      <c r="E23" s="48">
        <f t="shared" si="25"/>
        <v>0.80065194346289759</v>
      </c>
      <c r="F23" s="49">
        <f t="shared" si="25"/>
        <v>0.78856617647058824</v>
      </c>
      <c r="G23" s="50">
        <f t="shared" si="25"/>
        <v>0.81494535519125677</v>
      </c>
      <c r="H23" s="50">
        <f t="shared" si="25"/>
        <v>0.83847074777218122</v>
      </c>
      <c r="I23" s="50">
        <f t="shared" si="25"/>
        <v>0.82281844242713809</v>
      </c>
      <c r="J23" s="49">
        <f t="shared" si="25"/>
        <v>0.80736089538602107</v>
      </c>
      <c r="K23" s="48">
        <f t="shared" si="25"/>
        <v>0.83023704563031708</v>
      </c>
      <c r="L23" s="48">
        <f t="shared" si="25"/>
        <v>0.84524612272420774</v>
      </c>
      <c r="M23" s="51">
        <f t="shared" si="25"/>
        <v>0.81143682621819746</v>
      </c>
      <c r="N23" s="49">
        <f t="shared" si="25"/>
        <v>0.80582137161084533</v>
      </c>
      <c r="O23" s="48">
        <f t="shared" si="25"/>
        <v>0.82708333333333328</v>
      </c>
      <c r="P23" s="48">
        <f t="shared" si="25"/>
        <v>0.84615384615384615</v>
      </c>
      <c r="Q23" s="51">
        <f t="shared" si="25"/>
        <v>0.81398983978116457</v>
      </c>
    </row>
    <row r="24" spans="1:18" x14ac:dyDescent="0.15">
      <c r="A24" s="1" t="s">
        <v>20</v>
      </c>
      <c r="B24" s="52">
        <f t="shared" ref="B24:Q24" si="26">IFERROR(B15/B8,0)</f>
        <v>-3.743481427530964E-2</v>
      </c>
      <c r="C24" s="52">
        <f t="shared" si="26"/>
        <v>5.4414912808177972E-2</v>
      </c>
      <c r="D24" s="52">
        <f t="shared" si="26"/>
        <v>0.17814499484004123</v>
      </c>
      <c r="E24" s="52">
        <f t="shared" si="26"/>
        <v>1.7025912838633601E-2</v>
      </c>
      <c r="F24" s="53">
        <f t="shared" si="26"/>
        <v>-5.1081407563025219E-2</v>
      </c>
      <c r="G24" s="54">
        <f t="shared" si="26"/>
        <v>1.174544626593802E-2</v>
      </c>
      <c r="H24" s="54">
        <f t="shared" si="26"/>
        <v>0.14965013560635407</v>
      </c>
      <c r="I24" s="54">
        <f t="shared" si="26"/>
        <v>7.0404682274247482E-2</v>
      </c>
      <c r="J24" s="53">
        <f t="shared" si="26"/>
        <v>-3.3151667428049217E-2</v>
      </c>
      <c r="K24" s="52">
        <f t="shared" si="26"/>
        <v>3.9720030935808157E-2</v>
      </c>
      <c r="L24" s="52">
        <f t="shared" si="26"/>
        <v>0.16217127444369522</v>
      </c>
      <c r="M24" s="55">
        <f t="shared" si="26"/>
        <v>4.8843035791289374E-2</v>
      </c>
      <c r="N24" s="53">
        <f t="shared" si="26"/>
        <v>-6.5789473684210523E-2</v>
      </c>
      <c r="O24" s="52">
        <f t="shared" si="26"/>
        <v>3.8541666666666669E-2</v>
      </c>
      <c r="P24" s="52">
        <f t="shared" si="26"/>
        <v>0.20512820512820512</v>
      </c>
      <c r="Q24" s="55">
        <f t="shared" si="26"/>
        <v>3.7514654161781943E-2</v>
      </c>
    </row>
    <row r="25" spans="1:18" x14ac:dyDescent="0.15">
      <c r="A25" s="1" t="s">
        <v>21</v>
      </c>
      <c r="B25" s="52">
        <f t="shared" ref="B25:Q25" si="27">IFERROR(B18/B17,0)</f>
        <v>-2.9116273117041149E-2</v>
      </c>
      <c r="C25" s="52">
        <f t="shared" si="27"/>
        <v>0.23497064232340187</v>
      </c>
      <c r="D25" s="52">
        <f t="shared" si="27"/>
        <v>0.19259973132410496</v>
      </c>
      <c r="E25" s="52">
        <f t="shared" si="27"/>
        <v>-1.0696923076922844</v>
      </c>
      <c r="F25" s="53">
        <f t="shared" si="27"/>
        <v>0.34582476620017244</v>
      </c>
      <c r="G25" s="54">
        <f t="shared" si="27"/>
        <v>1.508786472148528</v>
      </c>
      <c r="H25" s="54">
        <f t="shared" si="27"/>
        <v>0.17849845429118219</v>
      </c>
      <c r="I25" s="54">
        <f t="shared" si="27"/>
        <v>0.26231385031700744</v>
      </c>
      <c r="J25" s="53">
        <f t="shared" si="27"/>
        <v>0.35663518867708544</v>
      </c>
      <c r="K25" s="52">
        <f t="shared" si="27"/>
        <v>5.318735652481027E-2</v>
      </c>
      <c r="L25" s="52">
        <f t="shared" si="27"/>
        <v>0.15903614457831325</v>
      </c>
      <c r="M25" s="55">
        <f t="shared" si="27"/>
        <v>0.30424846098972208</v>
      </c>
      <c r="N25" s="53">
        <f t="shared" si="27"/>
        <v>0.11834319526627218</v>
      </c>
      <c r="O25" s="52">
        <f t="shared" si="27"/>
        <v>0.35714285714285715</v>
      </c>
      <c r="P25" s="52">
        <f t="shared" si="27"/>
        <v>0.13235294117647059</v>
      </c>
      <c r="Q25" s="55">
        <f t="shared" si="27"/>
        <v>0.5535714285714286</v>
      </c>
    </row>
    <row r="26" spans="1:18" x14ac:dyDescent="0.15">
      <c r="B26" s="34"/>
      <c r="C26" s="34"/>
      <c r="D26" s="34"/>
      <c r="E26" s="34"/>
      <c r="K26" s="34"/>
      <c r="L26" s="34"/>
      <c r="M26" s="35"/>
      <c r="O26" s="34"/>
      <c r="P26" s="34"/>
      <c r="Q26" s="35"/>
    </row>
    <row r="27" spans="1:18" s="16" customFormat="1" x14ac:dyDescent="0.15">
      <c r="A27" s="16" t="s">
        <v>18</v>
      </c>
      <c r="B27" s="56"/>
      <c r="C27" s="56"/>
      <c r="D27" s="56"/>
      <c r="E27" s="56"/>
      <c r="F27" s="57">
        <f t="shared" ref="F27:Q27" si="28">IFERROR((F8/B8)-1,0)</f>
        <v>0.38674435542607433</v>
      </c>
      <c r="G27" s="56">
        <f t="shared" si="28"/>
        <v>0.32050511124473835</v>
      </c>
      <c r="H27" s="56">
        <f t="shared" si="28"/>
        <v>0.33178534571723417</v>
      </c>
      <c r="I27" s="56">
        <f t="shared" si="28"/>
        <v>0.2326266195524147</v>
      </c>
      <c r="J27" s="57">
        <f t="shared" si="28"/>
        <v>0.14968487394957974</v>
      </c>
      <c r="K27" s="56">
        <f t="shared" si="28"/>
        <v>0.17759562841530063</v>
      </c>
      <c r="L27" s="56">
        <f t="shared" si="28"/>
        <v>0.14916698953893848</v>
      </c>
      <c r="M27" s="58">
        <f t="shared" si="28"/>
        <v>0.10797897754419483</v>
      </c>
      <c r="N27" s="57">
        <f t="shared" si="28"/>
        <v>0.14572864321608048</v>
      </c>
      <c r="O27" s="56">
        <f t="shared" si="28"/>
        <v>0.11368909512761016</v>
      </c>
      <c r="P27" s="56">
        <f t="shared" si="28"/>
        <v>0.10451786918408623</v>
      </c>
      <c r="Q27" s="58">
        <f t="shared" si="28"/>
        <v>0.10349288486416564</v>
      </c>
      <c r="R27" s="38"/>
    </row>
    <row r="28" spans="1:18" s="16" customFormat="1" x14ac:dyDescent="0.15">
      <c r="A28" s="1" t="s">
        <v>42</v>
      </c>
      <c r="B28" s="59"/>
      <c r="C28" s="59"/>
      <c r="D28" s="59"/>
      <c r="E28" s="59"/>
      <c r="F28" s="60">
        <f t="shared" ref="F28:Q30" si="29">IFERROR((F11/B11)-1,0)</f>
        <v>0.53082880470452309</v>
      </c>
      <c r="G28" s="59">
        <f t="shared" si="29"/>
        <v>0.704524008664136</v>
      </c>
      <c r="H28" s="59">
        <f t="shared" si="29"/>
        <v>0.48713141887391909</v>
      </c>
      <c r="I28" s="59">
        <f t="shared" si="29"/>
        <v>0.29344295007383181</v>
      </c>
      <c r="J28" s="60">
        <f t="shared" si="29"/>
        <v>0.10456382008135723</v>
      </c>
      <c r="K28" s="59">
        <f t="shared" si="29"/>
        <v>7.7406022250810613E-2</v>
      </c>
      <c r="L28" s="59">
        <f t="shared" si="29"/>
        <v>0.16107030778315168</v>
      </c>
      <c r="M28" s="61">
        <f t="shared" si="29"/>
        <v>0.14828230967176581</v>
      </c>
      <c r="N28" s="60">
        <f t="shared" si="29"/>
        <v>0.22966091168798908</v>
      </c>
      <c r="O28" s="59">
        <f t="shared" si="29"/>
        <v>0.1677809242986017</v>
      </c>
      <c r="P28" s="59">
        <f t="shared" si="29"/>
        <v>0.15428571428571436</v>
      </c>
      <c r="Q28" s="61">
        <f t="shared" si="29"/>
        <v>0.12049785573791638</v>
      </c>
      <c r="R28" s="38"/>
    </row>
    <row r="29" spans="1:18" s="16" customFormat="1" x14ac:dyDescent="0.15">
      <c r="A29" s="1" t="s">
        <v>43</v>
      </c>
      <c r="B29" s="59"/>
      <c r="C29" s="59"/>
      <c r="D29" s="59"/>
      <c r="E29" s="59"/>
      <c r="F29" s="60">
        <f t="shared" si="29"/>
        <v>0.36150624655316288</v>
      </c>
      <c r="G29" s="59">
        <f t="shared" si="29"/>
        <v>0.3043693815783528</v>
      </c>
      <c r="H29" s="59">
        <f t="shared" si="29"/>
        <v>0.27693739670450945</v>
      </c>
      <c r="I29" s="59">
        <f t="shared" si="29"/>
        <v>0.22767246012350806</v>
      </c>
      <c r="J29" s="60">
        <f t="shared" si="29"/>
        <v>0.22197762443377966</v>
      </c>
      <c r="K29" s="59">
        <f t="shared" si="29"/>
        <v>0.24971060430669278</v>
      </c>
      <c r="L29" s="59">
        <f t="shared" si="29"/>
        <v>0.2129302851506949</v>
      </c>
      <c r="M29" s="61">
        <f t="shared" si="29"/>
        <v>0.16013855692242562</v>
      </c>
      <c r="N29" s="60">
        <f t="shared" si="29"/>
        <v>0.19364439475300377</v>
      </c>
      <c r="O29" s="59">
        <f t="shared" si="29"/>
        <v>6.7612946313825528E-2</v>
      </c>
      <c r="P29" s="59">
        <f t="shared" si="29"/>
        <v>2.7378507871321123E-2</v>
      </c>
      <c r="Q29" s="61">
        <f t="shared" si="29"/>
        <v>7.5950155652342755E-2</v>
      </c>
      <c r="R29" s="38"/>
    </row>
    <row r="30" spans="1:18" s="16" customFormat="1" x14ac:dyDescent="0.15">
      <c r="A30" s="1" t="s">
        <v>44</v>
      </c>
      <c r="B30" s="59"/>
      <c r="C30" s="59"/>
      <c r="D30" s="59"/>
      <c r="E30" s="59"/>
      <c r="F30" s="60">
        <f t="shared" si="29"/>
        <v>0.80153252065337299</v>
      </c>
      <c r="G30" s="59">
        <f t="shared" si="29"/>
        <v>0.62131750543387421</v>
      </c>
      <c r="H30" s="59">
        <f t="shared" si="29"/>
        <v>1.2905296679781286</v>
      </c>
      <c r="I30" s="59">
        <f t="shared" si="29"/>
        <v>-3.0718916077790093E-2</v>
      </c>
      <c r="J30" s="60">
        <f t="shared" si="29"/>
        <v>-7.4704896055446945E-2</v>
      </c>
      <c r="K30" s="59">
        <f t="shared" si="29"/>
        <v>-0.11196818292754185</v>
      </c>
      <c r="L30" s="59">
        <f t="shared" si="29"/>
        <v>-0.20920703695393894</v>
      </c>
      <c r="M30" s="61">
        <f t="shared" si="29"/>
        <v>-3.3698506817319895E-2</v>
      </c>
      <c r="N30" s="60">
        <f t="shared" si="29"/>
        <v>0.10581075300062137</v>
      </c>
      <c r="O30" s="59">
        <f t="shared" si="29"/>
        <v>0.27738639002864418</v>
      </c>
      <c r="P30" s="59">
        <f t="shared" si="29"/>
        <v>-9.3023255813953543E-2</v>
      </c>
      <c r="Q30" s="61">
        <f t="shared" si="29"/>
        <v>0.32408551905252692</v>
      </c>
      <c r="R30" s="38"/>
    </row>
    <row r="31" spans="1:18" x14ac:dyDescent="0.15">
      <c r="B31" s="34"/>
      <c r="C31" s="34"/>
      <c r="D31" s="34"/>
      <c r="E31" s="34"/>
      <c r="K31" s="34"/>
      <c r="L31" s="34"/>
      <c r="M31" s="35"/>
      <c r="O31" s="34"/>
      <c r="P31" s="34"/>
      <c r="Q31" s="35"/>
    </row>
    <row r="32" spans="1:18" s="16" customFormat="1" x14ac:dyDescent="0.15">
      <c r="A32" s="16" t="s">
        <v>26</v>
      </c>
      <c r="B32" s="42"/>
      <c r="C32" s="42"/>
      <c r="D32" s="42"/>
      <c r="E32" s="36">
        <f>E33-E34</f>
        <v>-818.97599999999966</v>
      </c>
      <c r="F32" s="37">
        <f>F33-F34</f>
        <v>-439.78799999999956</v>
      </c>
      <c r="G32" s="43">
        <f t="shared" ref="G32:K32" si="30">G33-G34</f>
        <v>-175.80600000000004</v>
      </c>
      <c r="H32" s="43">
        <f t="shared" si="30"/>
        <v>-737.31899999999996</v>
      </c>
      <c r="I32" s="43">
        <f t="shared" si="30"/>
        <v>-751.42099999999982</v>
      </c>
      <c r="J32" s="37">
        <f t="shared" si="30"/>
        <v>747.06299999999965</v>
      </c>
      <c r="K32" s="36">
        <f t="shared" si="30"/>
        <v>1145.7299999999996</v>
      </c>
      <c r="L32" s="36">
        <f>L33-L34</f>
        <v>480.51400000000012</v>
      </c>
      <c r="M32" s="36">
        <f>M33-M34</f>
        <v>-20</v>
      </c>
      <c r="N32" s="37">
        <f>N33-N34</f>
        <v>1060</v>
      </c>
      <c r="O32" s="36">
        <f>O33-O34</f>
        <v>1426</v>
      </c>
      <c r="P32" s="36">
        <f>P33-P34</f>
        <v>554</v>
      </c>
      <c r="Q32" s="36">
        <f>Q33-Q34</f>
        <v>-209</v>
      </c>
      <c r="R32" s="38"/>
    </row>
    <row r="33" spans="1:18" x14ac:dyDescent="0.15">
      <c r="A33" s="1" t="s">
        <v>27</v>
      </c>
      <c r="B33" s="33"/>
      <c r="C33" s="33"/>
      <c r="D33" s="33"/>
      <c r="E33" s="33">
        <f>1676.299+11.324+33.739+642.802</f>
        <v>2364.1640000000002</v>
      </c>
      <c r="F33" s="27">
        <f>2063.329+42.804+28.587+634.983</f>
        <v>2769.7030000000004</v>
      </c>
      <c r="G33" s="33">
        <f>2296.524+42.166+38.5+643.851</f>
        <v>3021.0410000000002</v>
      </c>
      <c r="H33" s="33">
        <f>1844.475+18.424+45.681+558.311</f>
        <v>2466.8910000000001</v>
      </c>
      <c r="I33" s="33">
        <f>1796.811+18.733+72.313+520.058</f>
        <v>2407.915</v>
      </c>
      <c r="J33" s="27">
        <f>2503.23+34.452+851.415+528.237</f>
        <v>3917.3339999999998</v>
      </c>
      <c r="K33" s="33">
        <f>2874.823+47.079+906.339+538.435</f>
        <v>4366.6759999999995</v>
      </c>
      <c r="L33" s="33">
        <f>3239.886+46.936+540.581+888.847</f>
        <v>4716.25</v>
      </c>
      <c r="M33" s="33">
        <f>2847+69+468+845</f>
        <v>4229</v>
      </c>
      <c r="N33" s="27">
        <f>3223+219+1031+858</f>
        <v>5331</v>
      </c>
      <c r="O33" s="33">
        <f>3072+336+1491+758</f>
        <v>5657</v>
      </c>
      <c r="P33" s="33">
        <f>2920+186+458+717</f>
        <v>4281</v>
      </c>
      <c r="Q33" s="33">
        <f>2443+259+28+778</f>
        <v>3508</v>
      </c>
    </row>
    <row r="34" spans="1:18" x14ac:dyDescent="0.15">
      <c r="A34" s="1" t="s">
        <v>28</v>
      </c>
      <c r="B34" s="33"/>
      <c r="C34" s="33"/>
      <c r="D34" s="33"/>
      <c r="E34" s="33">
        <v>3183.14</v>
      </c>
      <c r="F34" s="27">
        <v>3209.491</v>
      </c>
      <c r="G34" s="33">
        <v>3196.8470000000002</v>
      </c>
      <c r="H34" s="33">
        <v>3204.21</v>
      </c>
      <c r="I34" s="33">
        <f>0+3159.336</f>
        <v>3159.3359999999998</v>
      </c>
      <c r="J34" s="27">
        <v>3170.2710000000002</v>
      </c>
      <c r="K34" s="33">
        <v>3220.9459999999999</v>
      </c>
      <c r="L34" s="33">
        <f>500+3735.736</f>
        <v>4235.7359999999999</v>
      </c>
      <c r="M34" s="33">
        <f>500+3749</f>
        <v>4249</v>
      </c>
      <c r="N34" s="27">
        <f>500+3771</f>
        <v>4271</v>
      </c>
      <c r="O34" s="33">
        <f>500+3731</f>
        <v>4231</v>
      </c>
      <c r="P34" s="33">
        <v>3727</v>
      </c>
      <c r="Q34" s="33">
        <v>3717</v>
      </c>
    </row>
    <row r="35" spans="1:18" x14ac:dyDescent="0.15">
      <c r="B35" s="34"/>
      <c r="C35" s="34"/>
      <c r="D35" s="34"/>
      <c r="E35" s="34"/>
      <c r="K35" s="34"/>
      <c r="L35" s="34"/>
      <c r="M35" s="34"/>
      <c r="O35" s="34"/>
      <c r="P35" s="34"/>
      <c r="Q35" s="34"/>
    </row>
    <row r="36" spans="1:18" s="17" customFormat="1" x14ac:dyDescent="0.15">
      <c r="A36" s="17" t="s">
        <v>62</v>
      </c>
      <c r="B36" s="28"/>
      <c r="C36" s="28"/>
      <c r="D36" s="28"/>
      <c r="E36" s="28"/>
      <c r="F36" s="27"/>
      <c r="G36" s="28"/>
      <c r="H36" s="28"/>
      <c r="I36" s="28"/>
      <c r="J36" s="27"/>
      <c r="K36" s="28"/>
      <c r="L36" s="28"/>
      <c r="M36" s="28">
        <f>2309+8229</f>
        <v>10538</v>
      </c>
      <c r="N36" s="27">
        <f>2243+8251</f>
        <v>10494</v>
      </c>
      <c r="O36" s="28">
        <f>2157+8139</f>
        <v>10296</v>
      </c>
      <c r="P36" s="28">
        <f>2101+8157</f>
        <v>10258</v>
      </c>
      <c r="Q36" s="28">
        <f>1992+8120</f>
        <v>10112</v>
      </c>
      <c r="R36" s="62"/>
    </row>
    <row r="37" spans="1:18" s="17" customFormat="1" x14ac:dyDescent="0.15">
      <c r="A37" s="17" t="s">
        <v>63</v>
      </c>
      <c r="B37" s="28"/>
      <c r="C37" s="28"/>
      <c r="D37" s="28"/>
      <c r="E37" s="28"/>
      <c r="F37" s="27"/>
      <c r="G37" s="28"/>
      <c r="H37" s="28"/>
      <c r="I37" s="28"/>
      <c r="J37" s="27"/>
      <c r="K37" s="28"/>
      <c r="L37" s="28"/>
      <c r="M37" s="28">
        <v>18516</v>
      </c>
      <c r="N37" s="27">
        <v>20429</v>
      </c>
      <c r="O37" s="28">
        <v>20554</v>
      </c>
      <c r="P37" s="28">
        <v>19141</v>
      </c>
      <c r="Q37" s="28">
        <v>18033</v>
      </c>
      <c r="R37" s="62"/>
    </row>
    <row r="38" spans="1:18" s="17" customFormat="1" x14ac:dyDescent="0.15">
      <c r="A38" s="17" t="s">
        <v>64</v>
      </c>
      <c r="B38" s="28"/>
      <c r="C38" s="28"/>
      <c r="D38" s="28"/>
      <c r="E38" s="28"/>
      <c r="F38" s="27"/>
      <c r="G38" s="28"/>
      <c r="H38" s="28"/>
      <c r="I38" s="28"/>
      <c r="J38" s="27"/>
      <c r="K38" s="28"/>
      <c r="L38" s="28"/>
      <c r="M38" s="28">
        <f>7879+3749+329+408+22</f>
        <v>12387</v>
      </c>
      <c r="N38" s="27">
        <f>9991+3771+405+432+22</f>
        <v>14621</v>
      </c>
      <c r="O38" s="28">
        <f>10497+3731+314+440+20</f>
        <v>15002</v>
      </c>
      <c r="P38" s="28">
        <f>8763+3727+250+455+19</f>
        <v>13214</v>
      </c>
      <c r="Q38" s="28">
        <f>8060+3717+69+506+30</f>
        <v>12382</v>
      </c>
      <c r="R38" s="62"/>
    </row>
    <row r="39" spans="1:18" x14ac:dyDescent="0.15">
      <c r="M39" s="25"/>
      <c r="Q39" s="25"/>
    </row>
    <row r="40" spans="1:18" s="17" customFormat="1" x14ac:dyDescent="0.15">
      <c r="A40" s="17" t="s">
        <v>65</v>
      </c>
      <c r="B40" s="28"/>
      <c r="C40" s="28"/>
      <c r="D40" s="28"/>
      <c r="E40" s="28"/>
      <c r="F40" s="27"/>
      <c r="G40" s="28"/>
      <c r="H40" s="28"/>
      <c r="I40" s="28"/>
      <c r="J40" s="27"/>
      <c r="K40" s="28"/>
      <c r="L40" s="28"/>
      <c r="M40" s="41">
        <f>M37-M36-M33</f>
        <v>3749</v>
      </c>
      <c r="N40" s="40">
        <f>N37-N36-N33</f>
        <v>4604</v>
      </c>
      <c r="O40" s="41">
        <f>O37-O36-O33</f>
        <v>4601</v>
      </c>
      <c r="P40" s="41">
        <f>P37-P36-P33</f>
        <v>4602</v>
      </c>
      <c r="Q40" s="41">
        <f>Q37-Q36-Q33</f>
        <v>4413</v>
      </c>
      <c r="R40" s="62"/>
    </row>
    <row r="41" spans="1:18" s="17" customFormat="1" x14ac:dyDescent="0.15">
      <c r="A41" s="17" t="s">
        <v>66</v>
      </c>
      <c r="B41" s="28"/>
      <c r="C41" s="28"/>
      <c r="D41" s="28"/>
      <c r="E41" s="28"/>
      <c r="F41" s="27"/>
      <c r="G41" s="28"/>
      <c r="H41" s="28"/>
      <c r="I41" s="28"/>
      <c r="J41" s="27"/>
      <c r="K41" s="28"/>
      <c r="L41" s="28"/>
      <c r="M41" s="41">
        <f>M37-M38</f>
        <v>6129</v>
      </c>
      <c r="N41" s="40">
        <f>N37-N38</f>
        <v>5808</v>
      </c>
      <c r="O41" s="41">
        <f>O37-O38</f>
        <v>5552</v>
      </c>
      <c r="P41" s="41">
        <f>P37-P38</f>
        <v>5927</v>
      </c>
      <c r="Q41" s="41">
        <f>Q37-Q38</f>
        <v>5651</v>
      </c>
      <c r="R41" s="62"/>
    </row>
    <row r="42" spans="1:18" x14ac:dyDescent="0.15">
      <c r="M42" s="25"/>
      <c r="Q42" s="25"/>
    </row>
    <row r="43" spans="1:18" s="16" customFormat="1" x14ac:dyDescent="0.15">
      <c r="A43" s="16" t="s">
        <v>110</v>
      </c>
      <c r="B43" s="63"/>
      <c r="C43" s="63"/>
      <c r="D43" s="63"/>
      <c r="E43" s="63"/>
      <c r="F43" s="64"/>
      <c r="G43" s="63"/>
      <c r="H43" s="63"/>
      <c r="I43" s="63"/>
      <c r="J43" s="64"/>
      <c r="K43" s="63"/>
      <c r="L43" s="63"/>
      <c r="M43" s="43">
        <f>SUM(J19:M19)</f>
        <v>371.01000000000022</v>
      </c>
      <c r="N43" s="37">
        <f>SUM(K19:N19)</f>
        <v>306.28499999999991</v>
      </c>
      <c r="O43" s="43">
        <f>SUM(L19:O19)</f>
        <v>243.66700000000003</v>
      </c>
      <c r="P43" s="43">
        <f>SUM(M19:P19)</f>
        <v>425.66700000000003</v>
      </c>
      <c r="Q43" s="43">
        <f>SUM(N19:Q19)</f>
        <v>398</v>
      </c>
      <c r="R43" s="38"/>
    </row>
    <row r="44" spans="1:18" s="14" customFormat="1" x14ac:dyDescent="0.15">
      <c r="A44" s="14" t="s">
        <v>67</v>
      </c>
      <c r="B44" s="50"/>
      <c r="C44" s="50"/>
      <c r="D44" s="50"/>
      <c r="E44" s="50"/>
      <c r="F44" s="49"/>
      <c r="G44" s="50"/>
      <c r="H44" s="50"/>
      <c r="I44" s="50"/>
      <c r="J44" s="49"/>
      <c r="K44" s="50"/>
      <c r="L44" s="50"/>
      <c r="M44" s="50">
        <f>M43/M41</f>
        <v>6.0533529123837526E-2</v>
      </c>
      <c r="N44" s="49">
        <f>N43/N41</f>
        <v>5.2735020661157012E-2</v>
      </c>
      <c r="O44" s="50">
        <f>O43/O41</f>
        <v>4.3888148414985596E-2</v>
      </c>
      <c r="P44" s="50">
        <f>P43/P41</f>
        <v>7.1818289185085205E-2</v>
      </c>
      <c r="Q44" s="50">
        <f>Q43/Q41</f>
        <v>7.0430012387188115E-2</v>
      </c>
      <c r="R44" s="66"/>
    </row>
    <row r="45" spans="1:18" s="14" customFormat="1" x14ac:dyDescent="0.15">
      <c r="A45" s="14" t="s">
        <v>68</v>
      </c>
      <c r="B45" s="50"/>
      <c r="C45" s="50"/>
      <c r="D45" s="50"/>
      <c r="E45" s="50"/>
      <c r="F45" s="49"/>
      <c r="G45" s="50"/>
      <c r="H45" s="50"/>
      <c r="I45" s="50"/>
      <c r="J45" s="49"/>
      <c r="K45" s="50"/>
      <c r="L45" s="50"/>
      <c r="M45" s="50">
        <f>M43/M37</f>
        <v>2.0037265068049266E-2</v>
      </c>
      <c r="N45" s="49">
        <f>N43/N37</f>
        <v>1.499265749669587E-2</v>
      </c>
      <c r="O45" s="50">
        <f>O43/O37</f>
        <v>1.1854967402938602E-2</v>
      </c>
      <c r="P45" s="50">
        <f>P43/P37</f>
        <v>2.223849328666214E-2</v>
      </c>
      <c r="Q45" s="50">
        <f>Q43/Q37</f>
        <v>2.2070648255975156E-2</v>
      </c>
      <c r="R45" s="66"/>
    </row>
    <row r="46" spans="1:18" s="14" customFormat="1" x14ac:dyDescent="0.15">
      <c r="A46" s="14" t="s">
        <v>69</v>
      </c>
      <c r="B46" s="50"/>
      <c r="C46" s="50"/>
      <c r="D46" s="50"/>
      <c r="E46" s="50"/>
      <c r="F46" s="49"/>
      <c r="G46" s="50"/>
      <c r="H46" s="50"/>
      <c r="I46" s="50"/>
      <c r="J46" s="49"/>
      <c r="K46" s="50"/>
      <c r="L46" s="50"/>
      <c r="M46" s="50">
        <f>M43/(M41-M36)</f>
        <v>-8.4148332955318719E-2</v>
      </c>
      <c r="N46" s="49">
        <f>N43/(N41-N36)</f>
        <v>-6.5361715749039678E-2</v>
      </c>
      <c r="O46" s="50">
        <f>O43/(O41-O36)</f>
        <v>-5.1363195615514341E-2</v>
      </c>
      <c r="P46" s="50">
        <f>P43/(P41-P36)</f>
        <v>-9.8283768182867701E-2</v>
      </c>
      <c r="Q46" s="50">
        <f>Q43/(Q41-Q36)</f>
        <v>-8.9217664200851823E-2</v>
      </c>
      <c r="R46" s="66"/>
    </row>
    <row r="47" spans="1:18" s="14" customFormat="1" x14ac:dyDescent="0.15">
      <c r="A47" s="14" t="s">
        <v>70</v>
      </c>
      <c r="B47" s="50"/>
      <c r="C47" s="50"/>
      <c r="D47" s="50"/>
      <c r="E47" s="50"/>
      <c r="F47" s="49"/>
      <c r="G47" s="50"/>
      <c r="H47" s="50"/>
      <c r="I47" s="50"/>
      <c r="J47" s="49"/>
      <c r="K47" s="50"/>
      <c r="L47" s="50"/>
      <c r="M47" s="50">
        <f>M43/M40</f>
        <v>9.8962389970658898E-2</v>
      </c>
      <c r="N47" s="49">
        <f>N43/N40</f>
        <v>6.6525847089487389E-2</v>
      </c>
      <c r="O47" s="50">
        <f>O43/O40</f>
        <v>5.2959574005650954E-2</v>
      </c>
      <c r="P47" s="50">
        <f>P43/P40</f>
        <v>9.249608865710561E-2</v>
      </c>
      <c r="Q47" s="50">
        <f>Q43/Q40</f>
        <v>9.0188080670745518E-2</v>
      </c>
      <c r="R47" s="66"/>
    </row>
    <row r="48" spans="1:18" x14ac:dyDescent="0.15">
      <c r="M48" s="25"/>
    </row>
    <row r="49" spans="1:18" x14ac:dyDescent="0.15">
      <c r="A49" s="1" t="s">
        <v>71</v>
      </c>
      <c r="F49" s="49">
        <f t="shared" ref="F49:Q49" si="31">F3/B3-1</f>
        <v>0.28013300083125525</v>
      </c>
      <c r="G49" s="50">
        <f t="shared" si="31"/>
        <v>0.19986403806934061</v>
      </c>
      <c r="H49" s="50">
        <f t="shared" si="31"/>
        <v>0.19712643678160924</v>
      </c>
      <c r="I49" s="50">
        <f t="shared" si="31"/>
        <v>0.11430527036276517</v>
      </c>
      <c r="J49" s="49">
        <f t="shared" si="31"/>
        <v>0.10389610389610393</v>
      </c>
      <c r="K49" s="50">
        <f t="shared" si="31"/>
        <v>0.13824362606232299</v>
      </c>
      <c r="L49" s="50">
        <f t="shared" si="31"/>
        <v>0.11089774363898219</v>
      </c>
      <c r="M49" s="50">
        <f t="shared" si="31"/>
        <v>8.9680589680589673E-2</v>
      </c>
      <c r="N49" s="49">
        <f t="shared" si="31"/>
        <v>0.13294117647058834</v>
      </c>
      <c r="O49" s="50">
        <f t="shared" si="31"/>
        <v>0.12145345943255359</v>
      </c>
      <c r="P49" s="50">
        <f t="shared" si="31"/>
        <v>9.2048401037165162E-2</v>
      </c>
      <c r="Q49" s="65">
        <f t="shared" si="31"/>
        <v>0.11837655016910942</v>
      </c>
    </row>
    <row r="50" spans="1:18" x14ac:dyDescent="0.15">
      <c r="A50" s="1" t="s">
        <v>74</v>
      </c>
      <c r="F50" s="49">
        <f t="shared" ref="F50:M52" si="32">F4/B4-1</f>
        <v>0.55555555555555558</v>
      </c>
      <c r="G50" s="50">
        <f t="shared" si="32"/>
        <v>0.48888888888888893</v>
      </c>
      <c r="H50" s="50">
        <f t="shared" si="32"/>
        <v>0.69230769230769229</v>
      </c>
      <c r="I50" s="50">
        <f t="shared" si="32"/>
        <v>0.66363636363636358</v>
      </c>
      <c r="J50" s="49">
        <f t="shared" si="32"/>
        <v>0.6160714285714286</v>
      </c>
      <c r="K50" s="50">
        <f t="shared" si="32"/>
        <v>0.62686567164179108</v>
      </c>
      <c r="L50" s="50">
        <f t="shared" si="32"/>
        <v>0.25568181818181812</v>
      </c>
      <c r="M50" s="50">
        <f t="shared" si="32"/>
        <v>0.17486338797814205</v>
      </c>
      <c r="N50" s="49">
        <f t="shared" ref="N50:Q52" si="33">N4/J4-1</f>
        <v>8.8397790055248615E-2</v>
      </c>
      <c r="O50" s="50">
        <f t="shared" si="33"/>
        <v>-0.20183486238532111</v>
      </c>
      <c r="P50" s="50">
        <f t="shared" si="33"/>
        <v>-9.5022624434389136E-2</v>
      </c>
      <c r="Q50" s="65">
        <f t="shared" si="33"/>
        <v>-0.11627906976744184</v>
      </c>
    </row>
    <row r="51" spans="1:18" x14ac:dyDescent="0.15">
      <c r="A51" s="1" t="s">
        <v>72</v>
      </c>
      <c r="F51" s="49"/>
      <c r="G51" s="50"/>
      <c r="H51" s="50"/>
      <c r="I51" s="50">
        <f t="shared" si="32"/>
        <v>7.3000000000000007</v>
      </c>
      <c r="J51" s="49">
        <f t="shared" si="32"/>
        <v>0.30281690140845074</v>
      </c>
      <c r="K51" s="50">
        <f t="shared" si="32"/>
        <v>0.30232558139534893</v>
      </c>
      <c r="L51" s="50">
        <f t="shared" si="32"/>
        <v>0.45238095238095233</v>
      </c>
      <c r="M51" s="50">
        <f t="shared" si="32"/>
        <v>0.16265060240963858</v>
      </c>
      <c r="N51" s="49">
        <f t="shared" si="33"/>
        <v>0.26486486486486482</v>
      </c>
      <c r="O51" s="50">
        <f t="shared" si="33"/>
        <v>0.32589285714285721</v>
      </c>
      <c r="P51" s="50">
        <f t="shared" si="33"/>
        <v>0.34426229508196715</v>
      </c>
      <c r="Q51" s="65">
        <f t="shared" si="33"/>
        <v>0.19170984455958551</v>
      </c>
    </row>
    <row r="52" spans="1:18" x14ac:dyDescent="0.15">
      <c r="A52" s="1" t="s">
        <v>73</v>
      </c>
      <c r="F52" s="49">
        <f t="shared" si="32"/>
        <v>0.12244897959183665</v>
      </c>
      <c r="G52" s="50">
        <f t="shared" si="32"/>
        <v>0.22549019607843146</v>
      </c>
      <c r="H52" s="50">
        <f t="shared" si="32"/>
        <v>0.1914893617021276</v>
      </c>
      <c r="I52" s="50">
        <f t="shared" si="32"/>
        <v>8.4112149532710179E-2</v>
      </c>
      <c r="J52" s="49">
        <f t="shared" si="32"/>
        <v>0.11818181818181817</v>
      </c>
      <c r="K52" s="50">
        <f t="shared" si="32"/>
        <v>8.0000000000000071E-2</v>
      </c>
      <c r="L52" s="50">
        <f t="shared" si="32"/>
        <v>0.125</v>
      </c>
      <c r="M52" s="50">
        <f t="shared" si="32"/>
        <v>0.18103448275862077</v>
      </c>
      <c r="N52" s="49">
        <f t="shared" si="33"/>
        <v>0.22764227642276413</v>
      </c>
      <c r="O52" s="50">
        <f t="shared" si="33"/>
        <v>0.15555555555555545</v>
      </c>
      <c r="P52" s="50">
        <f t="shared" si="33"/>
        <v>0.10317460317460325</v>
      </c>
      <c r="Q52" s="65">
        <f t="shared" si="33"/>
        <v>0.13138686131386867</v>
      </c>
    </row>
    <row r="54" spans="1:18" s="67" customFormat="1" x14ac:dyDescent="0.15">
      <c r="A54" s="67" t="s">
        <v>111</v>
      </c>
      <c r="B54" s="68"/>
      <c r="C54" s="68"/>
      <c r="D54" s="68"/>
      <c r="E54" s="68"/>
      <c r="F54" s="69">
        <v>20699</v>
      </c>
      <c r="G54" s="68">
        <v>20321</v>
      </c>
      <c r="H54" s="68">
        <v>19988</v>
      </c>
      <c r="I54" s="68">
        <v>17402.5</v>
      </c>
      <c r="J54" s="69">
        <v>23610</v>
      </c>
      <c r="K54" s="68">
        <v>22838</v>
      </c>
      <c r="L54" s="68">
        <v>22197</v>
      </c>
      <c r="M54" s="70">
        <v>19765.900000000001</v>
      </c>
      <c r="N54" s="69">
        <v>27196</v>
      </c>
      <c r="O54" s="68">
        <v>25898</v>
      </c>
      <c r="P54" s="68">
        <v>24676</v>
      </c>
      <c r="Q54" s="70">
        <v>21957</v>
      </c>
      <c r="R54" s="71"/>
    </row>
    <row r="55" spans="1:18" s="14" customFormat="1" x14ac:dyDescent="0.15">
      <c r="A55" s="14" t="s">
        <v>113</v>
      </c>
      <c r="B55" s="50"/>
      <c r="C55" s="50"/>
      <c r="D55" s="50"/>
      <c r="E55" s="50"/>
      <c r="F55" s="49"/>
      <c r="G55" s="50"/>
      <c r="H55" s="50"/>
      <c r="I55" s="50"/>
      <c r="J55" s="49">
        <f t="shared" ref="J55:M55" si="34">J54/F54-1</f>
        <v>0.14063481327600358</v>
      </c>
      <c r="K55" s="50">
        <f t="shared" si="34"/>
        <v>0.12386201466463254</v>
      </c>
      <c r="L55" s="50">
        <f t="shared" si="34"/>
        <v>0.11051630978587146</v>
      </c>
      <c r="M55" s="50">
        <f t="shared" si="34"/>
        <v>0.13580807355265057</v>
      </c>
      <c r="N55" s="49">
        <f>N54/J54-1</f>
        <v>0.15188479457856841</v>
      </c>
      <c r="O55" s="50">
        <f>O54/K54-1</f>
        <v>0.13398721429196958</v>
      </c>
      <c r="P55" s="50">
        <f>P54/L54-1</f>
        <v>0.11168175879623377</v>
      </c>
      <c r="Q55" s="50">
        <f>Q54/M54-1</f>
        <v>0.11085252885019137</v>
      </c>
      <c r="R55" s="66"/>
    </row>
    <row r="57" spans="1:18" s="17" customFormat="1" x14ac:dyDescent="0.15">
      <c r="A57" s="17" t="s">
        <v>114</v>
      </c>
      <c r="B57" s="28"/>
      <c r="C57" s="28"/>
      <c r="D57" s="28"/>
      <c r="E57" s="28"/>
      <c r="F57" s="27">
        <v>1065</v>
      </c>
      <c r="G57" s="28">
        <v>1210</v>
      </c>
      <c r="H57" s="28">
        <v>1407</v>
      </c>
      <c r="I57" s="28">
        <v>1170</v>
      </c>
      <c r="J57" s="27">
        <v>1176</v>
      </c>
      <c r="K57" s="28">
        <v>1376</v>
      </c>
      <c r="L57" s="28">
        <v>1559</v>
      </c>
      <c r="M57" s="29">
        <v>1283</v>
      </c>
      <c r="N57" s="27">
        <v>1334</v>
      </c>
      <c r="O57" s="28">
        <v>1532</v>
      </c>
      <c r="P57" s="28">
        <v>1688</v>
      </c>
      <c r="Q57" s="29">
        <f>1396+1</f>
        <v>1397</v>
      </c>
      <c r="R57" s="62"/>
    </row>
    <row r="58" spans="1:18" s="17" customFormat="1" x14ac:dyDescent="0.15">
      <c r="A58" s="17" t="s">
        <v>115</v>
      </c>
      <c r="B58" s="28"/>
      <c r="C58" s="28"/>
      <c r="D58" s="28"/>
      <c r="E58" s="28"/>
      <c r="F58" s="27">
        <v>523</v>
      </c>
      <c r="G58" s="28">
        <v>612</v>
      </c>
      <c r="H58" s="28">
        <v>723</v>
      </c>
      <c r="I58" s="28">
        <v>567</v>
      </c>
      <c r="J58" s="27">
        <v>571</v>
      </c>
      <c r="K58" s="28">
        <v>684</v>
      </c>
      <c r="L58" s="28">
        <v>803</v>
      </c>
      <c r="M58" s="29">
        <v>629</v>
      </c>
      <c r="N58" s="27">
        <v>658</v>
      </c>
      <c r="O58" s="28">
        <v>777</v>
      </c>
      <c r="P58" s="28">
        <v>876</v>
      </c>
      <c r="Q58" s="29">
        <v>699</v>
      </c>
      <c r="R58" s="62"/>
    </row>
    <row r="59" spans="1:18" s="17" customFormat="1" x14ac:dyDescent="0.15">
      <c r="A59" s="17" t="s">
        <v>116</v>
      </c>
      <c r="B59" s="28"/>
      <c r="C59" s="28"/>
      <c r="D59" s="28"/>
      <c r="E59" s="28"/>
      <c r="F59" s="27">
        <v>174</v>
      </c>
      <c r="G59" s="28">
        <v>202</v>
      </c>
      <c r="H59" s="28">
        <v>241</v>
      </c>
      <c r="I59" s="28">
        <v>190</v>
      </c>
      <c r="J59" s="27">
        <v>257</v>
      </c>
      <c r="K59" s="28">
        <v>302</v>
      </c>
      <c r="L59" s="28">
        <v>299</v>
      </c>
      <c r="M59" s="29">
        <v>214</v>
      </c>
      <c r="N59" s="27">
        <v>282</v>
      </c>
      <c r="O59" s="28">
        <v>274</v>
      </c>
      <c r="P59" s="28">
        <v>302</v>
      </c>
      <c r="Q59" s="29">
        <v>233</v>
      </c>
      <c r="R59" s="62"/>
    </row>
    <row r="60" spans="1:18" s="17" customFormat="1" x14ac:dyDescent="0.15">
      <c r="A60" s="17" t="s">
        <v>47</v>
      </c>
      <c r="B60" s="28"/>
      <c r="C60" s="28"/>
      <c r="D60" s="28"/>
      <c r="E60" s="28"/>
      <c r="F60" s="27">
        <v>142</v>
      </c>
      <c r="G60" s="28">
        <v>172</v>
      </c>
      <c r="H60" s="28">
        <v>210</v>
      </c>
      <c r="I60" s="28">
        <v>166</v>
      </c>
      <c r="J60" s="27">
        <v>185</v>
      </c>
      <c r="K60" s="28">
        <v>224</v>
      </c>
      <c r="L60" s="28">
        <v>305</v>
      </c>
      <c r="M60" s="29">
        <v>193</v>
      </c>
      <c r="N60" s="27">
        <v>234</v>
      </c>
      <c r="O60" s="28">
        <v>297</v>
      </c>
      <c r="P60" s="28">
        <v>410</v>
      </c>
      <c r="Q60" s="29">
        <v>230</v>
      </c>
      <c r="R60" s="62"/>
    </row>
    <row r="61" spans="1:18" s="16" customFormat="1" x14ac:dyDescent="0.15">
      <c r="A61" s="72" t="s">
        <v>4</v>
      </c>
      <c r="B61" s="63"/>
      <c r="C61" s="63"/>
      <c r="D61" s="63"/>
      <c r="E61" s="63"/>
      <c r="F61" s="73">
        <f t="shared" ref="F61:Q61" si="35">SUM(F57:F60)</f>
        <v>1904</v>
      </c>
      <c r="G61" s="74">
        <f t="shared" si="35"/>
        <v>2196</v>
      </c>
      <c r="H61" s="74">
        <f t="shared" si="35"/>
        <v>2581</v>
      </c>
      <c r="I61" s="74">
        <f t="shared" si="35"/>
        <v>2093</v>
      </c>
      <c r="J61" s="73">
        <f t="shared" si="35"/>
        <v>2189</v>
      </c>
      <c r="K61" s="74">
        <f t="shared" si="35"/>
        <v>2586</v>
      </c>
      <c r="L61" s="74">
        <f t="shared" si="35"/>
        <v>2966</v>
      </c>
      <c r="M61" s="74">
        <f t="shared" si="35"/>
        <v>2319</v>
      </c>
      <c r="N61" s="73">
        <f t="shared" si="35"/>
        <v>2508</v>
      </c>
      <c r="O61" s="74">
        <f t="shared" si="35"/>
        <v>2880</v>
      </c>
      <c r="P61" s="74">
        <f t="shared" si="35"/>
        <v>3276</v>
      </c>
      <c r="Q61" s="74">
        <f t="shared" si="35"/>
        <v>2559</v>
      </c>
      <c r="R61" s="38"/>
    </row>
    <row r="63" spans="1:18" s="76" customFormat="1" x14ac:dyDescent="0.15">
      <c r="A63" s="76" t="s">
        <v>122</v>
      </c>
      <c r="B63" s="77"/>
      <c r="C63" s="77"/>
      <c r="D63" s="77"/>
      <c r="E63" s="77"/>
      <c r="F63" s="78"/>
      <c r="G63" s="77"/>
      <c r="H63" s="77"/>
      <c r="I63" s="77"/>
      <c r="J63" s="78">
        <v>64</v>
      </c>
      <c r="K63" s="77">
        <v>79.900000000000006</v>
      </c>
      <c r="L63" s="77">
        <v>93.5</v>
      </c>
      <c r="M63" s="79">
        <v>74.8</v>
      </c>
      <c r="N63" s="78">
        <v>73.900000000000006</v>
      </c>
      <c r="O63" s="77">
        <v>89.6</v>
      </c>
      <c r="P63" s="77">
        <v>105.3</v>
      </c>
      <c r="Q63" s="79">
        <v>82.2</v>
      </c>
      <c r="R63" s="80"/>
    </row>
    <row r="64" spans="1:18" x14ac:dyDescent="0.15">
      <c r="A64" s="1" t="s">
        <v>123</v>
      </c>
      <c r="N64" s="49">
        <f>N63/J63-1</f>
        <v>0.15468750000000009</v>
      </c>
      <c r="O64" s="50">
        <f>O63/K63-1</f>
        <v>0.12140175219023774</v>
      </c>
      <c r="P64" s="50">
        <f>P63/L63-1</f>
        <v>0.12620320855614975</v>
      </c>
      <c r="Q64" s="65">
        <f>Q63/M63-1</f>
        <v>9.8930481283422633E-2</v>
      </c>
    </row>
  </sheetData>
  <hyperlinks>
    <hyperlink ref="A1" r:id="rId1"/>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0"/>
  <sheetViews>
    <sheetView workbookViewId="0">
      <selection activeCell="C36" sqref="C36"/>
    </sheetView>
  </sheetViews>
  <sheetFormatPr baseColWidth="10" defaultRowHeight="13" x14ac:dyDescent="0.15"/>
  <cols>
    <col min="1" max="1" width="27.6640625" style="1" bestFit="1" customWidth="1"/>
    <col min="2" max="2" width="27.83203125" style="1" bestFit="1" customWidth="1"/>
    <col min="3" max="16384" width="10.83203125" style="1"/>
  </cols>
  <sheetData>
    <row r="1" spans="1:1" x14ac:dyDescent="0.15">
      <c r="A1" s="16" t="s">
        <v>46</v>
      </c>
    </row>
    <row r="2" spans="1:1" x14ac:dyDescent="0.15">
      <c r="A2" s="1" t="s">
        <v>128</v>
      </c>
    </row>
    <row r="4" spans="1:1" x14ac:dyDescent="0.15">
      <c r="A4" s="16" t="s">
        <v>129</v>
      </c>
    </row>
    <row r="5" spans="1:1" x14ac:dyDescent="0.15">
      <c r="A5" s="1" t="s">
        <v>130</v>
      </c>
    </row>
    <row r="7" spans="1:1" s="16" customFormat="1" x14ac:dyDescent="0.15">
      <c r="A7" s="16" t="s">
        <v>47</v>
      </c>
    </row>
    <row r="8" spans="1:1" x14ac:dyDescent="0.15">
      <c r="A8" s="1" t="s">
        <v>131</v>
      </c>
    </row>
    <row r="10" spans="1:1" x14ac:dyDescent="0.15">
      <c r="A10" s="16" t="s">
        <v>48</v>
      </c>
    </row>
    <row r="11" spans="1:1" x14ac:dyDescent="0.15">
      <c r="A11" s="1" t="s">
        <v>132</v>
      </c>
    </row>
    <row r="12" spans="1:1" s="16" customFormat="1" x14ac:dyDescent="0.15"/>
    <row r="13" spans="1:1" s="16" customFormat="1" x14ac:dyDescent="0.15"/>
    <row r="17" spans="1:2" s="16" customFormat="1" x14ac:dyDescent="0.15"/>
    <row r="21" spans="1:2" x14ac:dyDescent="0.15">
      <c r="A21" s="1" t="s">
        <v>80</v>
      </c>
    </row>
    <row r="22" spans="1:2" x14ac:dyDescent="0.15">
      <c r="A22" s="1" t="s">
        <v>81</v>
      </c>
    </row>
    <row r="23" spans="1:2" x14ac:dyDescent="0.15">
      <c r="A23" s="1" t="s">
        <v>82</v>
      </c>
      <c r="B23" s="1" t="s">
        <v>101</v>
      </c>
    </row>
    <row r="24" spans="1:2" x14ac:dyDescent="0.15">
      <c r="A24" s="1" t="s">
        <v>83</v>
      </c>
    </row>
    <row r="25" spans="1:2" x14ac:dyDescent="0.15">
      <c r="A25" s="1" t="s">
        <v>84</v>
      </c>
    </row>
    <row r="26" spans="1:2" x14ac:dyDescent="0.15">
      <c r="A26" s="1" t="s">
        <v>48</v>
      </c>
    </row>
    <row r="27" spans="1:2" x14ac:dyDescent="0.15">
      <c r="A27" s="16" t="s">
        <v>85</v>
      </c>
      <c r="B27" s="16" t="s">
        <v>99</v>
      </c>
    </row>
    <row r="28" spans="1:2" x14ac:dyDescent="0.15">
      <c r="A28" s="1" t="s">
        <v>86</v>
      </c>
    </row>
    <row r="29" spans="1:2" x14ac:dyDescent="0.15">
      <c r="A29" s="1" t="s">
        <v>87</v>
      </c>
    </row>
    <row r="30" spans="1:2" x14ac:dyDescent="0.15">
      <c r="A30" s="1" t="s">
        <v>88</v>
      </c>
      <c r="B30" s="1" t="s">
        <v>97</v>
      </c>
    </row>
    <row r="31" spans="1:2" x14ac:dyDescent="0.15">
      <c r="A31" s="1" t="s">
        <v>89</v>
      </c>
    </row>
    <row r="32" spans="1:2" x14ac:dyDescent="0.15">
      <c r="A32" s="16" t="s">
        <v>47</v>
      </c>
      <c r="B32" s="16" t="s">
        <v>98</v>
      </c>
    </row>
    <row r="33" spans="1:2" x14ac:dyDescent="0.15">
      <c r="A33" s="16" t="s">
        <v>90</v>
      </c>
      <c r="B33" s="16" t="s">
        <v>100</v>
      </c>
    </row>
    <row r="34" spans="1:2" x14ac:dyDescent="0.15">
      <c r="A34" s="1" t="s">
        <v>91</v>
      </c>
      <c r="B34" s="1" t="s">
        <v>102</v>
      </c>
    </row>
    <row r="35" spans="1:2" x14ac:dyDescent="0.15">
      <c r="A35" s="1" t="s">
        <v>92</v>
      </c>
      <c r="B35" s="1" t="s">
        <v>101</v>
      </c>
    </row>
    <row r="36" spans="1:2" x14ac:dyDescent="0.15">
      <c r="A36" s="1" t="s">
        <v>93</v>
      </c>
      <c r="B36" s="1" t="s">
        <v>101</v>
      </c>
    </row>
    <row r="37" spans="1:2" x14ac:dyDescent="0.15">
      <c r="A37" s="16" t="s">
        <v>75</v>
      </c>
      <c r="B37" s="16" t="s">
        <v>99</v>
      </c>
    </row>
    <row r="38" spans="1:2" x14ac:dyDescent="0.15">
      <c r="A38" s="1" t="s">
        <v>94</v>
      </c>
      <c r="B38" s="1" t="s">
        <v>100</v>
      </c>
    </row>
    <row r="39" spans="1:2" x14ac:dyDescent="0.15">
      <c r="A39" s="1" t="s">
        <v>95</v>
      </c>
      <c r="B39" s="1" t="s">
        <v>100</v>
      </c>
    </row>
    <row r="40" spans="1:2" x14ac:dyDescent="0.15">
      <c r="A40" s="1" t="s">
        <v>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Main</vt:lpstr>
      <vt:lpstr>Reports</vt:lpstr>
      <vt:lpstr>Products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2018-01-04T19:16:18Z</dcterms:created>
  <dcterms:modified xsi:type="dcterms:W3CDTF">2019-03-23T00:41:58Z</dcterms:modified>
</cp:coreProperties>
</file>