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5E9A5005-A88A-5444-B5EF-2FC29CC74AD0}" xr6:coauthVersionLast="45" xr6:coauthVersionMax="45" xr10:uidLastSave="{00000000-0000-0000-0000-000000000000}"/>
  <bookViews>
    <workbookView xWindow="14320" yWindow="2760" windowWidth="15560" windowHeight="165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C3" i="2"/>
  <c r="E16" i="2"/>
  <c r="E18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E26" i="2"/>
  <c r="E24" i="2"/>
  <c r="E21" i="2"/>
  <c r="F21" i="2" s="1"/>
  <c r="E20" i="2"/>
  <c r="E33" i="2" s="1"/>
  <c r="E19" i="2"/>
  <c r="F19" i="2" s="1"/>
  <c r="E17" i="2"/>
  <c r="E11" i="2"/>
  <c r="E10" i="2"/>
  <c r="Q42" i="1"/>
  <c r="Q37" i="1"/>
  <c r="Q41" i="1" s="1"/>
  <c r="Q34" i="1"/>
  <c r="Q33" i="1" s="1"/>
  <c r="Q29" i="1"/>
  <c r="Q27" i="1"/>
  <c r="Q26" i="1"/>
  <c r="Q25" i="1"/>
  <c r="Q24" i="1"/>
  <c r="Q15" i="1"/>
  <c r="Q16" i="1" s="1"/>
  <c r="Q11" i="1"/>
  <c r="Q9" i="1"/>
  <c r="Q7" i="1"/>
  <c r="P7" i="1"/>
  <c r="O7" i="1"/>
  <c r="N7" i="1"/>
  <c r="M37" i="1"/>
  <c r="N37" i="1"/>
  <c r="N41" i="1" s="1"/>
  <c r="N42" i="1"/>
  <c r="O37" i="1"/>
  <c r="O42" i="1"/>
  <c r="M41" i="1"/>
  <c r="M42" i="1"/>
  <c r="P42" i="1"/>
  <c r="P37" i="1"/>
  <c r="P41" i="1" s="1"/>
  <c r="E13" i="2"/>
  <c r="F13" i="2" s="1"/>
  <c r="M9" i="1"/>
  <c r="M11" i="1" s="1"/>
  <c r="M15" i="1"/>
  <c r="N9" i="1"/>
  <c r="N11" i="1"/>
  <c r="N15" i="1"/>
  <c r="N16" i="1"/>
  <c r="N30" i="1" s="1"/>
  <c r="O9" i="1"/>
  <c r="O24" i="1" s="1"/>
  <c r="O11" i="1"/>
  <c r="O16" i="1" s="1"/>
  <c r="O15" i="1"/>
  <c r="P9" i="1"/>
  <c r="P11" i="1" s="1"/>
  <c r="P15" i="1"/>
  <c r="B9" i="1"/>
  <c r="B11" i="1"/>
  <c r="B29" i="1" s="1"/>
  <c r="B15" i="1"/>
  <c r="B16" i="1"/>
  <c r="B30" i="1" s="1"/>
  <c r="B18" i="1"/>
  <c r="B31" i="1" s="1"/>
  <c r="B20" i="1"/>
  <c r="C9" i="1"/>
  <c r="C11" i="1"/>
  <c r="C16" i="1" s="1"/>
  <c r="C15" i="1"/>
  <c r="D9" i="1"/>
  <c r="D11" i="1"/>
  <c r="D15" i="1"/>
  <c r="D16" i="1"/>
  <c r="D18" i="1" s="1"/>
  <c r="E9" i="1"/>
  <c r="E11" i="1"/>
  <c r="E15" i="1"/>
  <c r="E16" i="1"/>
  <c r="E18" i="1" s="1"/>
  <c r="L9" i="1"/>
  <c r="L11" i="1" s="1"/>
  <c r="L15" i="1"/>
  <c r="K9" i="1"/>
  <c r="K11" i="1" s="1"/>
  <c r="K15" i="1"/>
  <c r="J9" i="1"/>
  <c r="J11" i="1" s="1"/>
  <c r="J15" i="1"/>
  <c r="I9" i="1"/>
  <c r="I11" i="1"/>
  <c r="I15" i="1"/>
  <c r="I16" i="1" s="1"/>
  <c r="H9" i="1"/>
  <c r="H11" i="1"/>
  <c r="H29" i="1" s="1"/>
  <c r="H15" i="1"/>
  <c r="H16" i="1"/>
  <c r="H18" i="1" s="1"/>
  <c r="G9" i="1"/>
  <c r="G11" i="1" s="1"/>
  <c r="G15" i="1"/>
  <c r="F9" i="1"/>
  <c r="F24" i="1" s="1"/>
  <c r="F11" i="1"/>
  <c r="F29" i="1" s="1"/>
  <c r="F15" i="1"/>
  <c r="F16" i="1"/>
  <c r="F30" i="1" s="1"/>
  <c r="F18" i="1"/>
  <c r="F31" i="1" s="1"/>
  <c r="F20" i="1"/>
  <c r="P34" i="1"/>
  <c r="P33" i="1"/>
  <c r="B7" i="1"/>
  <c r="D17" i="2"/>
  <c r="D10" i="2"/>
  <c r="D11" i="2"/>
  <c r="D16" i="2" s="1"/>
  <c r="D19" i="2"/>
  <c r="D22" i="2" s="1"/>
  <c r="D20" i="2"/>
  <c r="D33" i="2" s="1"/>
  <c r="D21" i="2"/>
  <c r="D24" i="2"/>
  <c r="D26" i="2"/>
  <c r="C4" i="2"/>
  <c r="C10" i="2"/>
  <c r="C11" i="2"/>
  <c r="C16" i="2"/>
  <c r="C17" i="2"/>
  <c r="C18" i="2"/>
  <c r="C19" i="2"/>
  <c r="C22" i="2" s="1"/>
  <c r="C20" i="2"/>
  <c r="C33" i="2" s="1"/>
  <c r="C21" i="2"/>
  <c r="C24" i="2"/>
  <c r="C26" i="2"/>
  <c r="M22" i="1"/>
  <c r="D29" i="2" s="1"/>
  <c r="D34" i="1"/>
  <c r="D33" i="1"/>
  <c r="M34" i="1"/>
  <c r="M33" i="1"/>
  <c r="D40" i="2"/>
  <c r="D41" i="2" s="1"/>
  <c r="I34" i="1"/>
  <c r="I33" i="1" s="1"/>
  <c r="C40" i="2" s="1"/>
  <c r="C41" i="2" s="1"/>
  <c r="E34" i="1"/>
  <c r="E33" i="1" s="1"/>
  <c r="B40" i="2" s="1"/>
  <c r="B41" i="2" s="1"/>
  <c r="B10" i="2"/>
  <c r="B11" i="2"/>
  <c r="B16" i="2" s="1"/>
  <c r="B13" i="2"/>
  <c r="C48" i="2" s="1"/>
  <c r="F7" i="1"/>
  <c r="F51" i="1" s="1"/>
  <c r="D13" i="2"/>
  <c r="D48" i="2" s="1"/>
  <c r="M7" i="1"/>
  <c r="Q50" i="1"/>
  <c r="P27" i="1"/>
  <c r="O27" i="1"/>
  <c r="N27" i="1"/>
  <c r="M27" i="1"/>
  <c r="L27" i="1"/>
  <c r="K27" i="1"/>
  <c r="J27" i="1"/>
  <c r="I27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H27" i="1"/>
  <c r="G27" i="1"/>
  <c r="H26" i="1"/>
  <c r="G26" i="1"/>
  <c r="H25" i="1"/>
  <c r="G25" i="1"/>
  <c r="F27" i="1"/>
  <c r="F26" i="1"/>
  <c r="F25" i="1"/>
  <c r="C13" i="2"/>
  <c r="B24" i="2"/>
  <c r="B26" i="2"/>
  <c r="B17" i="2"/>
  <c r="B19" i="2"/>
  <c r="B20" i="2"/>
  <c r="B21" i="2"/>
  <c r="C34" i="2" s="1"/>
  <c r="B22" i="2"/>
  <c r="P24" i="1"/>
  <c r="O50" i="1"/>
  <c r="P50" i="1"/>
  <c r="F50" i="1"/>
  <c r="L7" i="1"/>
  <c r="P51" i="1" s="1"/>
  <c r="K7" i="1"/>
  <c r="O51" i="1" s="1"/>
  <c r="I7" i="1"/>
  <c r="M51" i="1"/>
  <c r="H7" i="1"/>
  <c r="G7" i="1"/>
  <c r="G51" i="1" s="1"/>
  <c r="E7" i="1"/>
  <c r="I51" i="1"/>
  <c r="D7" i="1"/>
  <c r="H51" i="1"/>
  <c r="C7" i="1"/>
  <c r="C29" i="2"/>
  <c r="B29" i="2"/>
  <c r="O34" i="1"/>
  <c r="O41" i="1" s="1"/>
  <c r="O29" i="1"/>
  <c r="N34" i="1"/>
  <c r="N33" i="1" s="1"/>
  <c r="N50" i="1"/>
  <c r="N29" i="1"/>
  <c r="I50" i="1"/>
  <c r="H50" i="1"/>
  <c r="G50" i="1"/>
  <c r="J50" i="1"/>
  <c r="K50" i="1"/>
  <c r="L50" i="1"/>
  <c r="M50" i="1"/>
  <c r="L24" i="1"/>
  <c r="K24" i="1"/>
  <c r="I24" i="1"/>
  <c r="H24" i="1"/>
  <c r="G24" i="1"/>
  <c r="M24" i="1"/>
  <c r="C36" i="2"/>
  <c r="E34" i="2"/>
  <c r="D34" i="2"/>
  <c r="C32" i="2"/>
  <c r="L34" i="1"/>
  <c r="K34" i="1"/>
  <c r="K33" i="1" s="1"/>
  <c r="J34" i="1"/>
  <c r="J33" i="1" s="1"/>
  <c r="H34" i="1"/>
  <c r="H33" i="1" s="1"/>
  <c r="G34" i="1"/>
  <c r="G33" i="1" s="1"/>
  <c r="F34" i="1"/>
  <c r="F33" i="1" s="1"/>
  <c r="C34" i="1"/>
  <c r="B34" i="1"/>
  <c r="B33" i="1"/>
  <c r="C33" i="1"/>
  <c r="C29" i="1"/>
  <c r="D30" i="1"/>
  <c r="D29" i="1"/>
  <c r="E29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3" i="1"/>
  <c r="I29" i="1"/>
  <c r="Q51" i="1"/>
  <c r="C5" i="2" l="1"/>
  <c r="E40" i="2"/>
  <c r="D31" i="2"/>
  <c r="E31" i="2"/>
  <c r="I4" i="2" s="1"/>
  <c r="D18" i="2"/>
  <c r="D14" i="2"/>
  <c r="D31" i="1"/>
  <c r="D20" i="1"/>
  <c r="I30" i="1"/>
  <c r="I18" i="1"/>
  <c r="E41" i="2"/>
  <c r="G13" i="2"/>
  <c r="F48" i="2"/>
  <c r="K29" i="1"/>
  <c r="K16" i="1"/>
  <c r="E36" i="2"/>
  <c r="I5" i="2" s="1"/>
  <c r="G29" i="1"/>
  <c r="G16" i="1"/>
  <c r="C23" i="2"/>
  <c r="B18" i="2"/>
  <c r="B14" i="2"/>
  <c r="M29" i="1"/>
  <c r="M16" i="1"/>
  <c r="C31" i="2"/>
  <c r="Q18" i="1"/>
  <c r="Q30" i="1"/>
  <c r="C6" i="2"/>
  <c r="C7" i="2" s="1"/>
  <c r="L29" i="1"/>
  <c r="L16" i="1"/>
  <c r="P16" i="1"/>
  <c r="P29" i="1"/>
  <c r="H20" i="1"/>
  <c r="H31" i="1"/>
  <c r="O18" i="1"/>
  <c r="O30" i="1"/>
  <c r="F22" i="2"/>
  <c r="F32" i="2"/>
  <c r="G19" i="2"/>
  <c r="C18" i="1"/>
  <c r="C30" i="1"/>
  <c r="G21" i="2"/>
  <c r="F34" i="2"/>
  <c r="J16" i="1"/>
  <c r="J29" i="1"/>
  <c r="E20" i="1"/>
  <c r="E31" i="1"/>
  <c r="D32" i="2"/>
  <c r="O33" i="1"/>
  <c r="N18" i="1"/>
  <c r="F20" i="2"/>
  <c r="K51" i="1"/>
  <c r="E30" i="1"/>
  <c r="E14" i="2"/>
  <c r="I2" i="2"/>
  <c r="J24" i="1"/>
  <c r="N24" i="1"/>
  <c r="L51" i="1"/>
  <c r="C14" i="2"/>
  <c r="C49" i="2" s="1"/>
  <c r="E22" i="2"/>
  <c r="E23" i="2" s="1"/>
  <c r="E48" i="2"/>
  <c r="H30" i="1"/>
  <c r="J7" i="1"/>
  <c r="B21" i="1"/>
  <c r="E32" i="2"/>
  <c r="F21" i="1"/>
  <c r="E25" i="2" l="1"/>
  <c r="E37" i="2"/>
  <c r="I6" i="2" s="1"/>
  <c r="H13" i="2"/>
  <c r="G48" i="2"/>
  <c r="M30" i="1"/>
  <c r="M18" i="1"/>
  <c r="I31" i="1"/>
  <c r="I20" i="1"/>
  <c r="C31" i="1"/>
  <c r="C20" i="1"/>
  <c r="H19" i="2"/>
  <c r="G22" i="2"/>
  <c r="G32" i="2"/>
  <c r="J18" i="1"/>
  <c r="J30" i="1"/>
  <c r="Q31" i="1"/>
  <c r="Q20" i="1"/>
  <c r="Q21" i="1" s="1"/>
  <c r="C37" i="2"/>
  <c r="C25" i="2"/>
  <c r="G20" i="2"/>
  <c r="F33" i="2"/>
  <c r="D49" i="2"/>
  <c r="D23" i="2"/>
  <c r="D36" i="2"/>
  <c r="H21" i="2"/>
  <c r="G34" i="2"/>
  <c r="F14" i="2"/>
  <c r="E49" i="2"/>
  <c r="B36" i="2"/>
  <c r="B23" i="2"/>
  <c r="D21" i="1"/>
  <c r="O20" i="1"/>
  <c r="O21" i="1" s="1"/>
  <c r="O31" i="1"/>
  <c r="G30" i="1"/>
  <c r="G18" i="1"/>
  <c r="N20" i="1"/>
  <c r="N31" i="1"/>
  <c r="H21" i="1"/>
  <c r="N51" i="1"/>
  <c r="J51" i="1"/>
  <c r="P18" i="1"/>
  <c r="P30" i="1"/>
  <c r="K18" i="1"/>
  <c r="K30" i="1"/>
  <c r="F24" i="2"/>
  <c r="E21" i="1"/>
  <c r="L30" i="1"/>
  <c r="L18" i="1"/>
  <c r="F44" i="1" l="1"/>
  <c r="C21" i="1"/>
  <c r="E44" i="1"/>
  <c r="I21" i="1"/>
  <c r="D25" i="2"/>
  <c r="D37" i="2"/>
  <c r="M31" i="1"/>
  <c r="M20" i="1"/>
  <c r="P31" i="1"/>
  <c r="P20" i="1"/>
  <c r="P21" i="1" s="1"/>
  <c r="F49" i="2"/>
  <c r="G14" i="2"/>
  <c r="F16" i="2"/>
  <c r="I19" i="2"/>
  <c r="H22" i="2"/>
  <c r="H32" i="2"/>
  <c r="N21" i="1"/>
  <c r="L31" i="1"/>
  <c r="L20" i="1"/>
  <c r="G31" i="1"/>
  <c r="G20" i="1"/>
  <c r="G33" i="2"/>
  <c r="H20" i="2"/>
  <c r="C27" i="2"/>
  <c r="C28" i="2" s="1"/>
  <c r="C38" i="2"/>
  <c r="I21" i="2"/>
  <c r="H34" i="2"/>
  <c r="I13" i="2"/>
  <c r="H48" i="2"/>
  <c r="B25" i="2"/>
  <c r="B37" i="2"/>
  <c r="J20" i="1"/>
  <c r="J31" i="1"/>
  <c r="K31" i="1"/>
  <c r="K20" i="1"/>
  <c r="E38" i="2"/>
  <c r="E27" i="2"/>
  <c r="I32" i="2" l="1"/>
  <c r="I22" i="2"/>
  <c r="J19" i="2"/>
  <c r="I48" i="2"/>
  <c r="J13" i="2"/>
  <c r="F31" i="2"/>
  <c r="F18" i="2"/>
  <c r="F17" i="2" s="1"/>
  <c r="G49" i="2"/>
  <c r="H14" i="2"/>
  <c r="G16" i="2"/>
  <c r="J21" i="2"/>
  <c r="I34" i="2"/>
  <c r="E28" i="2"/>
  <c r="I3" i="2"/>
  <c r="I20" i="2"/>
  <c r="H33" i="2"/>
  <c r="M21" i="1"/>
  <c r="P44" i="1"/>
  <c r="G21" i="1"/>
  <c r="J44" i="1"/>
  <c r="I44" i="1"/>
  <c r="G44" i="1"/>
  <c r="H44" i="1"/>
  <c r="N44" i="1"/>
  <c r="K21" i="1"/>
  <c r="D27" i="2"/>
  <c r="D28" i="2" s="1"/>
  <c r="D38" i="2"/>
  <c r="L21" i="1"/>
  <c r="O44" i="1"/>
  <c r="L44" i="1"/>
  <c r="M44" i="1"/>
  <c r="J21" i="1"/>
  <c r="K44" i="1"/>
  <c r="Q44" i="1"/>
  <c r="B38" i="2"/>
  <c r="B27" i="2"/>
  <c r="B28" i="2" s="1"/>
  <c r="N48" i="1" l="1"/>
  <c r="N47" i="1"/>
  <c r="N46" i="1"/>
  <c r="N45" i="1"/>
  <c r="H49" i="2"/>
  <c r="I14" i="2"/>
  <c r="H16" i="2"/>
  <c r="G18" i="2"/>
  <c r="G17" i="2"/>
  <c r="G31" i="2"/>
  <c r="K21" i="2"/>
  <c r="J34" i="2"/>
  <c r="P48" i="1"/>
  <c r="P47" i="1"/>
  <c r="P46" i="1"/>
  <c r="P45" i="1"/>
  <c r="J32" i="2"/>
  <c r="K19" i="2"/>
  <c r="F36" i="2"/>
  <c r="F23" i="2"/>
  <c r="O48" i="1"/>
  <c r="O45" i="1"/>
  <c r="O47" i="1"/>
  <c r="O46" i="1"/>
  <c r="Q47" i="1"/>
  <c r="E45" i="2" s="1"/>
  <c r="Q46" i="1"/>
  <c r="E44" i="2" s="1"/>
  <c r="Q48" i="1"/>
  <c r="E46" i="2" s="1"/>
  <c r="Q45" i="1"/>
  <c r="E43" i="2" s="1"/>
  <c r="M47" i="1"/>
  <c r="D45" i="2" s="1"/>
  <c r="M46" i="1"/>
  <c r="D44" i="2" s="1"/>
  <c r="M45" i="1"/>
  <c r="D43" i="2" s="1"/>
  <c r="M48" i="1"/>
  <c r="D46" i="2" s="1"/>
  <c r="I33" i="2"/>
  <c r="J20" i="2"/>
  <c r="L21" i="2" l="1"/>
  <c r="K34" i="2"/>
  <c r="G23" i="2"/>
  <c r="G36" i="2"/>
  <c r="H31" i="2"/>
  <c r="H18" i="2"/>
  <c r="F37" i="2"/>
  <c r="F25" i="2"/>
  <c r="I49" i="2"/>
  <c r="J14" i="2"/>
  <c r="J16" i="2" s="1"/>
  <c r="I16" i="2"/>
  <c r="K20" i="2"/>
  <c r="J33" i="2"/>
  <c r="K32" i="2"/>
  <c r="L19" i="2"/>
  <c r="J22" i="2"/>
  <c r="L32" i="2" l="1"/>
  <c r="M19" i="2"/>
  <c r="F26" i="2"/>
  <c r="F38" i="2" s="1"/>
  <c r="K16" i="2"/>
  <c r="J31" i="2"/>
  <c r="H23" i="2"/>
  <c r="H36" i="2"/>
  <c r="G37" i="2"/>
  <c r="I18" i="2"/>
  <c r="I31" i="2"/>
  <c r="I17" i="2"/>
  <c r="L20" i="2"/>
  <c r="K33" i="2"/>
  <c r="H17" i="2"/>
  <c r="K22" i="2"/>
  <c r="L34" i="2"/>
  <c r="M21" i="2"/>
  <c r="I36" i="2" l="1"/>
  <c r="J18" i="2" s="1"/>
  <c r="I23" i="2"/>
  <c r="M34" i="2"/>
  <c r="N21" i="2"/>
  <c r="N19" i="2"/>
  <c r="M32" i="2"/>
  <c r="H37" i="2"/>
  <c r="K31" i="2"/>
  <c r="L16" i="2"/>
  <c r="F27" i="2"/>
  <c r="M20" i="2"/>
  <c r="L33" i="2"/>
  <c r="L22" i="2"/>
  <c r="N20" i="2" l="1"/>
  <c r="M33" i="2"/>
  <c r="F28" i="2"/>
  <c r="F40" i="2"/>
  <c r="M16" i="2"/>
  <c r="L31" i="2"/>
  <c r="N22" i="2"/>
  <c r="N32" i="2"/>
  <c r="O19" i="2"/>
  <c r="M22" i="2"/>
  <c r="N34" i="2"/>
  <c r="O21" i="2"/>
  <c r="I37" i="2"/>
  <c r="J23" i="2"/>
  <c r="J36" i="2"/>
  <c r="K18" i="2" s="1"/>
  <c r="J17" i="2"/>
  <c r="O34" i="2" l="1"/>
  <c r="P21" i="2"/>
  <c r="O32" i="2"/>
  <c r="O22" i="2"/>
  <c r="P19" i="2"/>
  <c r="N16" i="2"/>
  <c r="M31" i="2"/>
  <c r="G24" i="2"/>
  <c r="F41" i="2"/>
  <c r="K36" i="2"/>
  <c r="L18" i="2" s="1"/>
  <c r="K23" i="2"/>
  <c r="K17" i="2"/>
  <c r="J37" i="2"/>
  <c r="O20" i="2"/>
  <c r="N33" i="2"/>
  <c r="K37" i="2" l="1"/>
  <c r="L23" i="2"/>
  <c r="L36" i="2"/>
  <c r="M18" i="2" s="1"/>
  <c r="L17" i="2"/>
  <c r="G25" i="2"/>
  <c r="O16" i="2"/>
  <c r="N31" i="2"/>
  <c r="P32" i="2"/>
  <c r="Q19" i="2"/>
  <c r="O33" i="2"/>
  <c r="P20" i="2"/>
  <c r="Q21" i="2"/>
  <c r="Q34" i="2" s="1"/>
  <c r="P34" i="2"/>
  <c r="P33" i="2" l="1"/>
  <c r="Q20" i="2"/>
  <c r="Q33" i="2" s="1"/>
  <c r="L37" i="2"/>
  <c r="Q22" i="2"/>
  <c r="Q32" i="2"/>
  <c r="O31" i="2"/>
  <c r="P16" i="2"/>
  <c r="M36" i="2"/>
  <c r="N18" i="2" s="1"/>
  <c r="M23" i="2"/>
  <c r="M17" i="2"/>
  <c r="P22" i="2"/>
  <c r="G26" i="2"/>
  <c r="G38" i="2" s="1"/>
  <c r="G27" i="2"/>
  <c r="M37" i="2" l="1"/>
  <c r="P31" i="2"/>
  <c r="Q16" i="2"/>
  <c r="G28" i="2"/>
  <c r="G40" i="2"/>
  <c r="N23" i="2"/>
  <c r="N36" i="2"/>
  <c r="O18" i="2" s="1"/>
  <c r="N17" i="2"/>
  <c r="O36" i="2" l="1"/>
  <c r="P18" i="2" s="1"/>
  <c r="O23" i="2"/>
  <c r="O17" i="2"/>
  <c r="N37" i="2"/>
  <c r="H24" i="2"/>
  <c r="G41" i="2"/>
  <c r="Q31" i="2"/>
  <c r="H25" i="2" l="1"/>
  <c r="O37" i="2"/>
  <c r="P23" i="2"/>
  <c r="P36" i="2"/>
  <c r="Q18" i="2" s="1"/>
  <c r="P17" i="2"/>
  <c r="H26" i="2" l="1"/>
  <c r="H38" i="2" s="1"/>
  <c r="H27" i="2"/>
  <c r="Q23" i="2"/>
  <c r="Q36" i="2"/>
  <c r="Q17" i="2"/>
  <c r="P37" i="2"/>
  <c r="Q37" i="2" l="1"/>
  <c r="H28" i="2"/>
  <c r="H40" i="2"/>
  <c r="I24" i="2" l="1"/>
  <c r="H41" i="2"/>
  <c r="I25" i="2" l="1"/>
  <c r="I26" i="2" l="1"/>
  <c r="I38" i="2" s="1"/>
  <c r="I27" i="2"/>
  <c r="I28" i="2" l="1"/>
  <c r="I40" i="2"/>
  <c r="J24" i="2" l="1"/>
  <c r="I41" i="2"/>
  <c r="J25" i="2" l="1"/>
  <c r="J26" i="2" l="1"/>
  <c r="J38" i="2" s="1"/>
  <c r="J27" i="2"/>
  <c r="J28" i="2" l="1"/>
  <c r="J40" i="2"/>
  <c r="K24" i="2" l="1"/>
  <c r="J41" i="2"/>
  <c r="K25" i="2" l="1"/>
  <c r="K26" i="2" l="1"/>
  <c r="K38" i="2" s="1"/>
  <c r="K27" i="2" l="1"/>
  <c r="K28" i="2" l="1"/>
  <c r="K40" i="2"/>
  <c r="L24" i="2" l="1"/>
  <c r="K41" i="2"/>
  <c r="L25" i="2" l="1"/>
  <c r="L26" i="2" l="1"/>
  <c r="L38" i="2" s="1"/>
  <c r="L27" i="2"/>
  <c r="L28" i="2" l="1"/>
  <c r="L40" i="2"/>
  <c r="M24" i="2" l="1"/>
  <c r="L41" i="2"/>
  <c r="M25" i="2" l="1"/>
  <c r="M26" i="2" l="1"/>
  <c r="M38" i="2" s="1"/>
  <c r="M27" i="2" l="1"/>
  <c r="M28" i="2" l="1"/>
  <c r="M40" i="2"/>
  <c r="N24" i="2" l="1"/>
  <c r="M41" i="2"/>
  <c r="N25" i="2" l="1"/>
  <c r="N26" i="2" l="1"/>
  <c r="N38" i="2" s="1"/>
  <c r="N27" i="2"/>
  <c r="N28" i="2" l="1"/>
  <c r="N40" i="2"/>
  <c r="O24" i="2" l="1"/>
  <c r="N41" i="2"/>
  <c r="O25" i="2" l="1"/>
  <c r="O26" i="2" l="1"/>
  <c r="O38" i="2" s="1"/>
  <c r="O27" i="2"/>
  <c r="O28" i="2" l="1"/>
  <c r="O40" i="2"/>
  <c r="P24" i="2" l="1"/>
  <c r="O41" i="2"/>
  <c r="P25" i="2" l="1"/>
  <c r="P26" i="2" l="1"/>
  <c r="P38" i="2" s="1"/>
  <c r="P27" i="2"/>
  <c r="P28" i="2" l="1"/>
  <c r="P40" i="2"/>
  <c r="Q24" i="2" l="1"/>
  <c r="P41" i="2"/>
  <c r="Q25" i="2" l="1"/>
  <c r="Q26" i="2" l="1"/>
  <c r="Q38" i="2" s="1"/>
  <c r="Q27" i="2"/>
  <c r="R27" i="2" l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F5" i="2" s="1"/>
  <c r="F6" i="2" s="1"/>
  <c r="Q28" i="2"/>
  <c r="Q40" i="2"/>
  <c r="Q41" i="2" s="1"/>
  <c r="F7" i="2" l="1"/>
  <c r="G7" i="2" l="1"/>
</calcChain>
</file>

<file path=xl/sharedStrings.xml><?xml version="1.0" encoding="utf-8"?>
<sst xmlns="http://schemas.openxmlformats.org/spreadsheetml/2006/main" count="135" uniqueCount="95">
  <si>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</si>
  <si>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</si>
  <si>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</si>
  <si>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</si>
  <si>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</si>
  <si>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</si>
  <si>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</si>
  <si>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</si>
  <si>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</si>
  <si>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</si>
  <si>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</si>
  <si>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</si>
  <si>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</si>
  <si>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</si>
  <si>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</si>
  <si>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</si>
  <si>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</si>
  <si>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</si>
  <si>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</si>
  <si>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</si>
  <si>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</si>
  <si>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</si>
  <si>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</si>
  <si>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</si>
  <si>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</si>
  <si>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</si>
  <si>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</si>
  <si>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</si>
  <si>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</si>
  <si>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</si>
  <si>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</si>
  <si>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</si>
  <si>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</si>
  <si>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</si>
  <si>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</si>
  <si>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</si>
  <si>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</si>
  <si>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</si>
  <si>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</si>
  <si>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</si>
  <si>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</si>
  <si>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</si>
  <si>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</si>
  <si>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</si>
  <si>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</si>
  <si>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</si>
  <si>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</si>
  <si>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</si>
  <si>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</si>
  <si>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</si>
  <si>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</si>
  <si>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</si>
  <si>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</si>
  <si>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</si>
  <si>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</si>
  <si>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</si>
  <si>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</si>
  <si>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</si>
  <si>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</t>
  </si>
  <si>
    <t>DAU</t>
  </si>
  <si>
    <t>EDGAR</t>
  </si>
  <si>
    <t>CEO</t>
  </si>
  <si>
    <t>Founder</t>
  </si>
  <si>
    <t>Mark Zuckerberg</t>
  </si>
  <si>
    <t>Dustin Moskovitz</t>
  </si>
  <si>
    <t>Price</t>
  </si>
  <si>
    <t>Market Cap</t>
  </si>
  <si>
    <t>EV</t>
  </si>
  <si>
    <t>per share</t>
  </si>
  <si>
    <t>Expected return on invested cash</t>
  </si>
  <si>
    <t>Inflation + risk premium (opportunity cost)</t>
  </si>
  <si>
    <t>NPV on net income (terminal value)</t>
  </si>
  <si>
    <t>R&amp;D y/y</t>
  </si>
  <si>
    <t>S&amp;M y/y</t>
  </si>
  <si>
    <t>G&amp;A y/y</t>
  </si>
  <si>
    <t>Other</t>
  </si>
  <si>
    <t>DAU y/y</t>
  </si>
  <si>
    <t>ARPU</t>
  </si>
  <si>
    <t>ARPU y/y</t>
  </si>
  <si>
    <t>Investor Relations</t>
  </si>
  <si>
    <t>Facebook Inc (FB)</t>
  </si>
  <si>
    <t>NI 12M</t>
  </si>
  <si>
    <t>ROE</t>
  </si>
  <si>
    <t>ROA</t>
  </si>
  <si>
    <t>ROTB</t>
  </si>
  <si>
    <t>ROTWC</t>
  </si>
  <si>
    <t>Intangibles</t>
  </si>
  <si>
    <t>Total assets</t>
  </si>
  <si>
    <t>Total liabilities</t>
  </si>
  <si>
    <t>TWC</t>
  </si>
  <si>
    <t>Equity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</si>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</sst>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_ ;[Red]\-#,##0.00\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4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0" borderId="1" xfId="0" applyFont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5" fillId="0" borderId="0" xfId="0" applyNumberFormat="1" applyFont="1" applyBorder="1"/>
    <xf numFmtId="2" fontId="5" fillId="2" borderId="0" xfId="0" applyNumberFormat="1" applyFont="1" applyFill="1"/>
    <xf numFmtId="2" fontId="5" fillId="0" borderId="0" xfId="0" applyNumberFormat="1" applyFont="1" applyFill="1"/>
    <xf numFmtId="3" fontId="6" fillId="2" borderId="0" xfId="0" applyNumberFormat="1" applyFont="1" applyFill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3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6" fillId="0" borderId="0" xfId="0" applyFont="1" applyFill="1" applyBorder="1"/>
    <xf numFmtId="9" fontId="6" fillId="0" borderId="0" xfId="1" applyFont="1" applyFill="1" applyBorder="1"/>
    <xf numFmtId="9" fontId="6" fillId="0" borderId="0" xfId="1" applyFont="1" applyFill="1" applyBorder="1" applyAlignment="1">
      <alignment horizontal="right"/>
    </xf>
    <xf numFmtId="9" fontId="5" fillId="0" borderId="0" xfId="1" applyFont="1" applyBorder="1"/>
    <xf numFmtId="0" fontId="5" fillId="0" borderId="0" xfId="0" applyFont="1" applyFill="1" applyBorder="1"/>
    <xf numFmtId="9" fontId="5" fillId="0" borderId="0" xfId="1" applyFont="1" applyFill="1" applyBorder="1"/>
    <xf numFmtId="9" fontId="5" fillId="0" borderId="0" xfId="0" applyNumberFormat="1" applyFont="1" applyFill="1" applyBorder="1"/>
    <xf numFmtId="9" fontId="5" fillId="0" borderId="0" xfId="0" applyNumberFormat="1" applyFont="1" applyBorder="1"/>
    <xf numFmtId="3" fontId="6" fillId="0" borderId="0" xfId="0" applyNumberFormat="1" applyFont="1" applyFill="1" applyBorder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8</xdr:row>
      <xdr:rowOff>25400</xdr:rowOff>
    </xdr:from>
    <xdr:to>
      <xdr:col>5</xdr:col>
      <xdr:colOff>139700</xdr:colOff>
      <xdr:row>50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49800" y="1346200"/>
          <a:ext cx="0" cy="692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k_Zuckerberg" TargetMode="External"/><Relationship Id="rId2" Type="http://schemas.openxmlformats.org/officeDocument/2006/relationships/hyperlink" Target="https://en.wikipedia.org/wiki/Mark_Zuckerberg" TargetMode="External"/><Relationship Id="rId1" Type="http://schemas.openxmlformats.org/officeDocument/2006/relationships/hyperlink" Target="https://investor.fb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ustin_Moskovit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ompany=facebook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9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D5" sqref="D5"/>
    </sheetView>
  </sheetViews>
  <sheetFormatPr baseColWidth="10" defaultRowHeight="13" x14ac:dyDescent="0.15"/>
  <cols>
    <col min="1" max="1" width="17.1640625" style="7" bestFit="1" customWidth="1"/>
    <col min="2" max="3" width="10.83203125" style="7"/>
    <col min="4" max="4" width="10.83203125" style="2"/>
    <col min="5" max="16384" width="10.83203125" style="7"/>
  </cols>
  <sheetData>
    <row r="1" spans="1:22" x14ac:dyDescent="0.15">
      <c r="A1" s="1" t="s">
        <v>79</v>
      </c>
      <c r="B1" s="15" t="s">
        <v>80</v>
      </c>
      <c r="K1" s="15"/>
    </row>
    <row r="2" spans="1:22" x14ac:dyDescent="0.15">
      <c r="B2" s="7" t="s">
        <v>65</v>
      </c>
      <c r="C2" s="7">
        <v>204.41</v>
      </c>
      <c r="D2" s="38">
        <v>20191231</v>
      </c>
      <c r="E2" s="39" t="s">
        <v>37</v>
      </c>
      <c r="F2" s="40">
        <v>-0.02</v>
      </c>
      <c r="H2" s="7" t="s">
        <v>4</v>
      </c>
      <c r="I2" s="42">
        <f>E16</f>
        <v>55838</v>
      </c>
      <c r="L2" s="41"/>
    </row>
    <row r="3" spans="1:22" x14ac:dyDescent="0.15">
      <c r="A3" s="15" t="s">
        <v>61</v>
      </c>
      <c r="B3" s="7" t="s">
        <v>17</v>
      </c>
      <c r="C3" s="42">
        <f>Reports!Q22</f>
        <v>2886</v>
      </c>
      <c r="D3" s="38" t="s">
        <v>45</v>
      </c>
      <c r="E3" s="39" t="s">
        <v>38</v>
      </c>
      <c r="F3" s="40">
        <v>0.01</v>
      </c>
      <c r="G3" s="43" t="s">
        <v>69</v>
      </c>
      <c r="H3" s="7" t="s">
        <v>91</v>
      </c>
      <c r="I3" s="42">
        <f>E27</f>
        <v>22113</v>
      </c>
      <c r="L3" s="41"/>
    </row>
    <row r="4" spans="1:22" x14ac:dyDescent="0.15">
      <c r="A4" s="1" t="s">
        <v>63</v>
      </c>
      <c r="B4" s="7" t="s">
        <v>66</v>
      </c>
      <c r="C4" s="44">
        <f>C3*C2</f>
        <v>589927.26</v>
      </c>
      <c r="D4" s="38"/>
      <c r="E4" s="39" t="s">
        <v>39</v>
      </c>
      <c r="F4" s="40">
        <f>2%+5%</f>
        <v>7.0000000000000007E-2</v>
      </c>
      <c r="G4" s="43" t="s">
        <v>70</v>
      </c>
      <c r="H4" s="7" t="s">
        <v>92</v>
      </c>
      <c r="I4" s="51">
        <f>E31</f>
        <v>0.37352716896661997</v>
      </c>
    </row>
    <row r="5" spans="1:22" x14ac:dyDescent="0.15">
      <c r="B5" s="7" t="s">
        <v>33</v>
      </c>
      <c r="C5" s="42">
        <f>Reports!Q33</f>
        <v>41114</v>
      </c>
      <c r="D5" s="38" t="s">
        <v>45</v>
      </c>
      <c r="E5" s="39" t="s">
        <v>40</v>
      </c>
      <c r="F5" s="45">
        <f>NPV(F4,F27:DR27)</f>
        <v>638752.25485733082</v>
      </c>
      <c r="G5" s="43" t="s">
        <v>71</v>
      </c>
      <c r="H5" s="7" t="s">
        <v>93</v>
      </c>
      <c r="I5" s="51">
        <f>E36</f>
        <v>0.8324617643898421</v>
      </c>
    </row>
    <row r="6" spans="1:22" x14ac:dyDescent="0.15">
      <c r="A6" s="15" t="s">
        <v>62</v>
      </c>
      <c r="B6" s="7" t="s">
        <v>67</v>
      </c>
      <c r="C6" s="44">
        <f>C4-C5</f>
        <v>548813.26</v>
      </c>
      <c r="E6" s="46" t="s">
        <v>41</v>
      </c>
      <c r="F6" s="47">
        <f>F5+C5</f>
        <v>679866.25485733082</v>
      </c>
      <c r="H6" s="7" t="s">
        <v>94</v>
      </c>
      <c r="I6" s="51">
        <f>E37</f>
        <v>0.44616569361366809</v>
      </c>
    </row>
    <row r="7" spans="1:22" x14ac:dyDescent="0.15">
      <c r="A7" s="1" t="s">
        <v>63</v>
      </c>
      <c r="B7" s="43" t="s">
        <v>68</v>
      </c>
      <c r="C7" s="48">
        <f>C6/C3</f>
        <v>190.16398475398475</v>
      </c>
      <c r="E7" s="49" t="s">
        <v>68</v>
      </c>
      <c r="F7" s="50">
        <f>F6/C3</f>
        <v>235.57389288195802</v>
      </c>
      <c r="G7" s="51">
        <f>F7/C2-1</f>
        <v>0.1524577705687491</v>
      </c>
    </row>
    <row r="8" spans="1:22" x14ac:dyDescent="0.15">
      <c r="A8" s="1" t="s">
        <v>64</v>
      </c>
    </row>
    <row r="9" spans="1:22" x14ac:dyDescent="0.15">
      <c r="B9" s="7">
        <v>2015</v>
      </c>
      <c r="C9" s="7">
        <v>2016</v>
      </c>
      <c r="D9" s="2">
        <v>2017</v>
      </c>
      <c r="E9" s="7">
        <f>D9+1</f>
        <v>2018</v>
      </c>
      <c r="F9" s="7">
        <f t="shared" ref="F9:Q9" si="0">E9+1</f>
        <v>2019</v>
      </c>
      <c r="G9" s="7">
        <f t="shared" si="0"/>
        <v>2020</v>
      </c>
      <c r="H9" s="7">
        <f t="shared" si="0"/>
        <v>2021</v>
      </c>
      <c r="I9" s="7">
        <f t="shared" si="0"/>
        <v>2022</v>
      </c>
      <c r="J9" s="7">
        <f t="shared" si="0"/>
        <v>2023</v>
      </c>
      <c r="K9" s="7">
        <f t="shared" si="0"/>
        <v>2024</v>
      </c>
      <c r="L9" s="7">
        <f t="shared" si="0"/>
        <v>2025</v>
      </c>
      <c r="M9" s="7">
        <f t="shared" si="0"/>
        <v>2026</v>
      </c>
      <c r="N9" s="7">
        <f t="shared" si="0"/>
        <v>2027</v>
      </c>
      <c r="O9" s="7">
        <f t="shared" si="0"/>
        <v>2028</v>
      </c>
      <c r="P9" s="7">
        <f t="shared" si="0"/>
        <v>2029</v>
      </c>
      <c r="Q9" s="7">
        <f t="shared" si="0"/>
        <v>2030</v>
      </c>
    </row>
    <row r="10" spans="1:22" x14ac:dyDescent="0.15">
      <c r="A10" s="7" t="s">
        <v>58</v>
      </c>
      <c r="B10" s="52">
        <f>SUM(Reports!B3:E3)</f>
        <v>17080</v>
      </c>
      <c r="C10" s="52">
        <f>SUM(Reports!F3:I3)</f>
        <v>26885</v>
      </c>
      <c r="D10" s="5">
        <f>SUM(Reports!J3:M3)</f>
        <v>39942</v>
      </c>
      <c r="E10" s="42">
        <f>SUM(Reports!N3:Q3)</f>
        <v>55012</v>
      </c>
      <c r="F10" s="42"/>
      <c r="G10" s="42"/>
      <c r="H10" s="42"/>
      <c r="I10" s="42"/>
    </row>
    <row r="11" spans="1:22" x14ac:dyDescent="0.15">
      <c r="A11" s="7" t="s">
        <v>75</v>
      </c>
      <c r="B11" s="52">
        <f>SUM(Reports!B4:E4)</f>
        <v>847</v>
      </c>
      <c r="C11" s="52">
        <f>SUM(Reports!F4:I4)</f>
        <v>753</v>
      </c>
      <c r="D11" s="5">
        <f>SUM(Reports!J4:M4)</f>
        <v>711</v>
      </c>
      <c r="E11" s="42">
        <f>SUM(Reports!N4:Q4)</f>
        <v>826</v>
      </c>
      <c r="F11" s="42"/>
      <c r="G11" s="42"/>
      <c r="H11" s="42"/>
      <c r="I11" s="42"/>
    </row>
    <row r="13" spans="1:22" x14ac:dyDescent="0.15">
      <c r="A13" s="7" t="s">
        <v>59</v>
      </c>
      <c r="B13" s="42">
        <f>Reports!E6</f>
        <v>1040</v>
      </c>
      <c r="C13" s="42">
        <f>Reports!I6</f>
        <v>1230</v>
      </c>
      <c r="D13" s="5">
        <f>Reports!M6</f>
        <v>1400</v>
      </c>
      <c r="E13" s="42">
        <f>Reports!Q6</f>
        <v>1520</v>
      </c>
      <c r="F13" s="42">
        <f>E13*1.02</f>
        <v>1550.4</v>
      </c>
      <c r="G13" s="42">
        <f t="shared" ref="G13:J13" si="1">F13*1.02</f>
        <v>1581.4080000000001</v>
      </c>
      <c r="H13" s="42">
        <f t="shared" si="1"/>
        <v>1613.0361600000001</v>
      </c>
      <c r="I13" s="42">
        <f t="shared" si="1"/>
        <v>1645.2968832000001</v>
      </c>
      <c r="J13" s="42">
        <f t="shared" si="1"/>
        <v>1678.2028208640002</v>
      </c>
    </row>
    <row r="14" spans="1:22" x14ac:dyDescent="0.15">
      <c r="A14" s="7" t="s">
        <v>77</v>
      </c>
      <c r="B14" s="53">
        <f>B16/B13</f>
        <v>17.237500000000001</v>
      </c>
      <c r="C14" s="53">
        <f>C16/C13</f>
        <v>22.469918699186991</v>
      </c>
      <c r="D14" s="11">
        <f>D16/D13</f>
        <v>29.037857142857142</v>
      </c>
      <c r="E14" s="11">
        <f>E16/E13</f>
        <v>36.735526315789471</v>
      </c>
      <c r="F14" s="54">
        <f>E14*1.25</f>
        <v>45.919407894736835</v>
      </c>
      <c r="G14" s="54">
        <f t="shared" ref="G14:J14" si="2">F14*1.25</f>
        <v>57.399259868421041</v>
      </c>
      <c r="H14" s="54">
        <f t="shared" si="2"/>
        <v>71.749074835526301</v>
      </c>
      <c r="I14" s="54">
        <f t="shared" si="2"/>
        <v>89.686343544407876</v>
      </c>
      <c r="J14" s="54">
        <f t="shared" si="2"/>
        <v>112.10792943050984</v>
      </c>
    </row>
    <row r="16" spans="1:22" x14ac:dyDescent="0.15">
      <c r="A16" s="15" t="s">
        <v>4</v>
      </c>
      <c r="B16" s="55">
        <f>SUM(B10:B11)</f>
        <v>17927</v>
      </c>
      <c r="C16" s="55">
        <f>SUM(C10:C11)</f>
        <v>27638</v>
      </c>
      <c r="D16" s="16">
        <f>SUM(D10:D11)</f>
        <v>40653</v>
      </c>
      <c r="E16" s="16">
        <f>SUM(E10:E11)</f>
        <v>55838</v>
      </c>
      <c r="F16" s="56">
        <f>F13*F14</f>
        <v>71193.45</v>
      </c>
      <c r="G16" s="56">
        <f t="shared" ref="G16:J16" si="3">G13*G14</f>
        <v>90771.648749999993</v>
      </c>
      <c r="H16" s="56">
        <f t="shared" si="3"/>
        <v>115733.85215624998</v>
      </c>
      <c r="I16" s="56">
        <f t="shared" si="3"/>
        <v>147560.66149921872</v>
      </c>
      <c r="J16" s="56">
        <f t="shared" si="3"/>
        <v>188139.84341150388</v>
      </c>
      <c r="K16" s="56">
        <f>J16*1.05</f>
        <v>197546.83558207907</v>
      </c>
      <c r="L16" s="56">
        <f t="shared" ref="L16:Q16" si="4">K16*1.05</f>
        <v>207424.17736118304</v>
      </c>
      <c r="M16" s="56">
        <f t="shared" si="4"/>
        <v>217795.3862292422</v>
      </c>
      <c r="N16" s="56">
        <f t="shared" si="4"/>
        <v>228685.15554070432</v>
      </c>
      <c r="O16" s="56">
        <f t="shared" si="4"/>
        <v>240119.41331773956</v>
      </c>
      <c r="P16" s="56">
        <f t="shared" si="4"/>
        <v>252125.38398362655</v>
      </c>
      <c r="Q16" s="56">
        <f t="shared" si="4"/>
        <v>264731.6531828079</v>
      </c>
      <c r="R16" s="52"/>
      <c r="S16" s="52"/>
      <c r="T16" s="52"/>
      <c r="U16" s="52"/>
      <c r="V16" s="52"/>
    </row>
    <row r="17" spans="1:122" x14ac:dyDescent="0.15">
      <c r="A17" s="7" t="s">
        <v>5</v>
      </c>
      <c r="B17" s="52">
        <f>SUM(Reports!B10:E10)</f>
        <v>2866</v>
      </c>
      <c r="C17" s="52">
        <f>SUM(Reports!F10:I10)</f>
        <v>3788</v>
      </c>
      <c r="D17" s="8">
        <f>SUM(Reports!J10:M10)</f>
        <v>5455</v>
      </c>
      <c r="E17" s="42">
        <f>SUM(Reports!N10:Q10)</f>
        <v>9355</v>
      </c>
      <c r="F17" s="52">
        <f>F16-F18</f>
        <v>11927.624999999993</v>
      </c>
      <c r="G17" s="52">
        <f t="shared" ref="G17" si="5">G16-G18</f>
        <v>15207.721874999988</v>
      </c>
      <c r="H17" s="52">
        <f t="shared" ref="H17:Q17" si="6">H16-H18</f>
        <v>19389.845390624978</v>
      </c>
      <c r="I17" s="52">
        <f t="shared" si="6"/>
        <v>24722.05287304685</v>
      </c>
      <c r="J17" s="52">
        <f t="shared" si="6"/>
        <v>31520.617413134722</v>
      </c>
      <c r="K17" s="52">
        <f t="shared" si="6"/>
        <v>33096.648283791466</v>
      </c>
      <c r="L17" s="52">
        <f t="shared" si="6"/>
        <v>34751.480697981053</v>
      </c>
      <c r="M17" s="52">
        <f t="shared" si="6"/>
        <v>36489.054732880089</v>
      </c>
      <c r="N17" s="52">
        <f t="shared" si="6"/>
        <v>38313.507469524106</v>
      </c>
      <c r="O17" s="52">
        <f t="shared" si="6"/>
        <v>40229.182843000308</v>
      </c>
      <c r="P17" s="52">
        <f t="shared" si="6"/>
        <v>42240.641985150316</v>
      </c>
      <c r="Q17" s="52">
        <f t="shared" si="6"/>
        <v>44352.674084407859</v>
      </c>
      <c r="R17" s="52"/>
      <c r="S17" s="52"/>
      <c r="T17" s="52"/>
      <c r="U17" s="52"/>
      <c r="V17" s="52"/>
    </row>
    <row r="18" spans="1:122" x14ac:dyDescent="0.15">
      <c r="A18" s="7" t="s">
        <v>6</v>
      </c>
      <c r="B18" s="57">
        <f>B16-B17</f>
        <v>15061</v>
      </c>
      <c r="C18" s="57">
        <f>C16-C17</f>
        <v>23850</v>
      </c>
      <c r="D18" s="21">
        <f>D16-D17</f>
        <v>35198</v>
      </c>
      <c r="E18" s="21">
        <f>E16-E17</f>
        <v>46483</v>
      </c>
      <c r="F18" s="52">
        <f>F16*E36</f>
        <v>59265.825000000004</v>
      </c>
      <c r="G18" s="52">
        <f t="shared" ref="G18" si="7">G16*F36</f>
        <v>75563.926875000005</v>
      </c>
      <c r="H18" s="52">
        <f t="shared" ref="H18" si="8">H16*G36</f>
        <v>96344.006765625003</v>
      </c>
      <c r="I18" s="52">
        <f t="shared" ref="I18" si="9">I16*H36</f>
        <v>122838.60862617187</v>
      </c>
      <c r="J18" s="52">
        <f t="shared" ref="J18" si="10">J16*I36</f>
        <v>156619.22599836916</v>
      </c>
      <c r="K18" s="52">
        <f t="shared" ref="K18" si="11">K16*J36</f>
        <v>164450.18729828761</v>
      </c>
      <c r="L18" s="52">
        <f t="shared" ref="L18" si="12">L16*K36</f>
        <v>172672.69666320199</v>
      </c>
      <c r="M18" s="52">
        <f t="shared" ref="M18" si="13">M16*L36</f>
        <v>181306.33149636211</v>
      </c>
      <c r="N18" s="52">
        <f t="shared" ref="N18" si="14">N16*M36</f>
        <v>190371.64807118021</v>
      </c>
      <c r="O18" s="52">
        <f t="shared" ref="O18" si="15">O16*N36</f>
        <v>199890.23047473925</v>
      </c>
      <c r="P18" s="52">
        <f t="shared" ref="P18" si="16">P16*O36</f>
        <v>209884.74199847624</v>
      </c>
      <c r="Q18" s="52">
        <f t="shared" ref="Q18" si="17">Q16*P36</f>
        <v>220378.97909840004</v>
      </c>
      <c r="R18" s="52"/>
      <c r="S18" s="52"/>
      <c r="T18" s="52"/>
      <c r="U18" s="52"/>
      <c r="V18" s="52"/>
    </row>
    <row r="19" spans="1:122" x14ac:dyDescent="0.15">
      <c r="A19" s="7" t="s">
        <v>7</v>
      </c>
      <c r="B19" s="52">
        <f>SUM(Reports!B12:E12)</f>
        <v>4817</v>
      </c>
      <c r="C19" s="52">
        <f>SUM(Reports!F12:I12)</f>
        <v>5908</v>
      </c>
      <c r="D19" s="8">
        <f>SUM(Reports!J12:M12)</f>
        <v>7754</v>
      </c>
      <c r="E19" s="42">
        <f>SUM(Reports!N12:Q12)</f>
        <v>10273</v>
      </c>
      <c r="F19" s="52">
        <f>E19*1.3</f>
        <v>13354.9</v>
      </c>
      <c r="G19" s="52">
        <f t="shared" ref="G19:J19" si="18">F19*1.3</f>
        <v>17361.37</v>
      </c>
      <c r="H19" s="52">
        <f t="shared" si="18"/>
        <v>22569.780999999999</v>
      </c>
      <c r="I19" s="52">
        <f t="shared" si="18"/>
        <v>29340.7153</v>
      </c>
      <c r="J19" s="52">
        <f t="shared" si="18"/>
        <v>38142.929889999999</v>
      </c>
      <c r="K19" s="52">
        <f>J19*1.1</f>
        <v>41957.222879000001</v>
      </c>
      <c r="L19" s="52">
        <f t="shared" ref="L19:Q19" si="19">K19*1.1</f>
        <v>46152.945166900005</v>
      </c>
      <c r="M19" s="52">
        <f t="shared" si="19"/>
        <v>50768.239683590007</v>
      </c>
      <c r="N19" s="52">
        <f t="shared" si="19"/>
        <v>55845.063651949014</v>
      </c>
      <c r="O19" s="52">
        <f t="shared" si="19"/>
        <v>61429.570017143924</v>
      </c>
      <c r="P19" s="52">
        <f t="shared" si="19"/>
        <v>67572.527018858324</v>
      </c>
      <c r="Q19" s="52">
        <f t="shared" si="19"/>
        <v>74329.779720744162</v>
      </c>
      <c r="R19" s="52"/>
      <c r="S19" s="52"/>
      <c r="T19" s="52"/>
      <c r="U19" s="52"/>
      <c r="V19" s="52"/>
    </row>
    <row r="20" spans="1:122" x14ac:dyDescent="0.15">
      <c r="A20" s="7" t="s">
        <v>8</v>
      </c>
      <c r="B20" s="52">
        <f>SUM(Reports!B13:E13)</f>
        <v>2724</v>
      </c>
      <c r="C20" s="52">
        <f>SUM(Reports!F13:I13)</f>
        <v>3768</v>
      </c>
      <c r="D20" s="8">
        <f>SUM(Reports!J13:M13)</f>
        <v>4725</v>
      </c>
      <c r="E20" s="42">
        <f>SUM(Reports!N13:Q13)</f>
        <v>7845</v>
      </c>
      <c r="F20" s="52">
        <f>E20*1.25</f>
        <v>9806.25</v>
      </c>
      <c r="G20" s="52">
        <f t="shared" ref="G20:J20" si="20">F20*1.25</f>
        <v>12257.8125</v>
      </c>
      <c r="H20" s="52">
        <f t="shared" si="20"/>
        <v>15322.265625</v>
      </c>
      <c r="I20" s="52">
        <f t="shared" si="20"/>
        <v>19152.83203125</v>
      </c>
      <c r="J20" s="52">
        <f t="shared" si="20"/>
        <v>23941.0400390625</v>
      </c>
      <c r="K20" s="52">
        <f>J20*1.1</f>
        <v>26335.144042968754</v>
      </c>
      <c r="L20" s="52">
        <f t="shared" ref="L20:Q20" si="21">K20*1.1</f>
        <v>28968.658447265632</v>
      </c>
      <c r="M20" s="52">
        <f t="shared" si="21"/>
        <v>31865.524291992198</v>
      </c>
      <c r="N20" s="52">
        <f t="shared" si="21"/>
        <v>35052.076721191421</v>
      </c>
      <c r="O20" s="52">
        <f t="shared" si="21"/>
        <v>38557.284393310569</v>
      </c>
      <c r="P20" s="52">
        <f t="shared" si="21"/>
        <v>42413.012832641631</v>
      </c>
      <c r="Q20" s="52">
        <f t="shared" si="21"/>
        <v>46654.3141159058</v>
      </c>
      <c r="R20" s="52"/>
      <c r="S20" s="52"/>
      <c r="T20" s="52"/>
      <c r="U20" s="52"/>
      <c r="V20" s="52"/>
    </row>
    <row r="21" spans="1:122" x14ac:dyDescent="0.15">
      <c r="A21" s="7" t="s">
        <v>9</v>
      </c>
      <c r="B21" s="52">
        <f>SUM(Reports!B14:E14)</f>
        <v>1295</v>
      </c>
      <c r="C21" s="52">
        <f>SUM(Reports!F14:I14)</f>
        <v>1731</v>
      </c>
      <c r="D21" s="8">
        <f>SUM(Reports!J14:M14)</f>
        <v>2517</v>
      </c>
      <c r="E21" s="42">
        <f>SUM(Reports!N14:Q14)</f>
        <v>3452</v>
      </c>
      <c r="F21" s="52">
        <f t="shared" ref="F21:J21" si="22">E21*1.3</f>
        <v>4487.6000000000004</v>
      </c>
      <c r="G21" s="52">
        <f t="shared" si="22"/>
        <v>5833.880000000001</v>
      </c>
      <c r="H21" s="52">
        <f t="shared" si="22"/>
        <v>7584.0440000000017</v>
      </c>
      <c r="I21" s="52">
        <f t="shared" si="22"/>
        <v>9859.2572000000018</v>
      </c>
      <c r="J21" s="52">
        <f t="shared" si="22"/>
        <v>12817.034360000003</v>
      </c>
      <c r="K21" s="52">
        <f>J21*1.2</f>
        <v>15380.441232000003</v>
      </c>
      <c r="L21" s="52">
        <f t="shared" ref="L21:Q21" si="23">K21*1.2</f>
        <v>18456.529478400003</v>
      </c>
      <c r="M21" s="52">
        <f t="shared" si="23"/>
        <v>22147.835374080005</v>
      </c>
      <c r="N21" s="52">
        <f t="shared" si="23"/>
        <v>26577.402448896006</v>
      </c>
      <c r="O21" s="52">
        <f t="shared" si="23"/>
        <v>31892.882938675204</v>
      </c>
      <c r="P21" s="52">
        <f t="shared" si="23"/>
        <v>38271.459526410246</v>
      </c>
      <c r="Q21" s="52">
        <f t="shared" si="23"/>
        <v>45925.751431692297</v>
      </c>
      <c r="R21" s="52"/>
      <c r="S21" s="52"/>
      <c r="T21" s="52"/>
      <c r="U21" s="52"/>
      <c r="V21" s="52"/>
    </row>
    <row r="22" spans="1:122" x14ac:dyDescent="0.15">
      <c r="A22" s="7" t="s">
        <v>10</v>
      </c>
      <c r="B22" s="57">
        <f>SUM(B19:B21)</f>
        <v>8836</v>
      </c>
      <c r="C22" s="57">
        <f>SUM(C19:C21)</f>
        <v>11407</v>
      </c>
      <c r="D22" s="21">
        <f>SUM(D19:D21)</f>
        <v>14996</v>
      </c>
      <c r="E22" s="21">
        <f>SUM(E19:E21)</f>
        <v>21570</v>
      </c>
      <c r="F22" s="58">
        <f t="shared" ref="F22:G22" si="24">SUM(F19:F21)</f>
        <v>27648.75</v>
      </c>
      <c r="G22" s="58">
        <f t="shared" si="24"/>
        <v>35453.0625</v>
      </c>
      <c r="H22" s="58">
        <f t="shared" ref="H22:Q22" si="25">SUM(H19:H21)</f>
        <v>45476.090625000004</v>
      </c>
      <c r="I22" s="58">
        <f t="shared" si="25"/>
        <v>58352.804531249996</v>
      </c>
      <c r="J22" s="58">
        <f t="shared" si="25"/>
        <v>74901.004289062505</v>
      </c>
      <c r="K22" s="58">
        <f t="shared" si="25"/>
        <v>83672.808153968756</v>
      </c>
      <c r="L22" s="58">
        <f t="shared" si="25"/>
        <v>93578.133092565637</v>
      </c>
      <c r="M22" s="58">
        <f t="shared" si="25"/>
        <v>104781.59934966221</v>
      </c>
      <c r="N22" s="58">
        <f t="shared" si="25"/>
        <v>117474.54282203643</v>
      </c>
      <c r="O22" s="58">
        <f t="shared" si="25"/>
        <v>131879.73734912969</v>
      </c>
      <c r="P22" s="58">
        <f t="shared" si="25"/>
        <v>148256.99937791019</v>
      </c>
      <c r="Q22" s="58">
        <f t="shared" si="25"/>
        <v>166909.84526834227</v>
      </c>
      <c r="R22" s="52"/>
      <c r="S22" s="52"/>
      <c r="T22" s="52"/>
      <c r="U22" s="52"/>
      <c r="V22" s="52"/>
    </row>
    <row r="23" spans="1:122" x14ac:dyDescent="0.15">
      <c r="A23" s="7" t="s">
        <v>11</v>
      </c>
      <c r="B23" s="57">
        <f>B18-B22</f>
        <v>6225</v>
      </c>
      <c r="C23" s="57">
        <f>C18-C22</f>
        <v>12443</v>
      </c>
      <c r="D23" s="21">
        <f>D18-D22</f>
        <v>20202</v>
      </c>
      <c r="E23" s="21">
        <f>E18-E22</f>
        <v>24913</v>
      </c>
      <c r="F23" s="58">
        <f t="shared" ref="F23:G23" si="26">F18-F22</f>
        <v>31617.075000000004</v>
      </c>
      <c r="G23" s="58">
        <f t="shared" si="26"/>
        <v>40110.864375000005</v>
      </c>
      <c r="H23" s="58">
        <f t="shared" ref="H23:Q23" si="27">H18-H22</f>
        <v>50867.916140624999</v>
      </c>
      <c r="I23" s="58">
        <f t="shared" si="27"/>
        <v>64485.804094921878</v>
      </c>
      <c r="J23" s="58">
        <f t="shared" si="27"/>
        <v>81718.221709306657</v>
      </c>
      <c r="K23" s="58">
        <f t="shared" si="27"/>
        <v>80777.379144318853</v>
      </c>
      <c r="L23" s="58">
        <f t="shared" si="27"/>
        <v>79094.563570636354</v>
      </c>
      <c r="M23" s="58">
        <f t="shared" si="27"/>
        <v>76524.732146699898</v>
      </c>
      <c r="N23" s="58">
        <f t="shared" si="27"/>
        <v>72897.105249143788</v>
      </c>
      <c r="O23" s="58">
        <f t="shared" si="27"/>
        <v>68010.493125609559</v>
      </c>
      <c r="P23" s="58">
        <f t="shared" si="27"/>
        <v>61627.742620566045</v>
      </c>
      <c r="Q23" s="58">
        <f t="shared" si="27"/>
        <v>53469.133830057777</v>
      </c>
      <c r="R23" s="52"/>
      <c r="S23" s="52"/>
      <c r="T23" s="52"/>
      <c r="U23" s="52"/>
      <c r="V23" s="52"/>
    </row>
    <row r="24" spans="1:122" x14ac:dyDescent="0.15">
      <c r="A24" s="7" t="s">
        <v>12</v>
      </c>
      <c r="B24" s="52">
        <f>SUM(Reports!B17:E17)</f>
        <v>-31</v>
      </c>
      <c r="C24" s="52">
        <f>SUM(Reports!F17:I17)</f>
        <v>90</v>
      </c>
      <c r="D24" s="8">
        <f>SUM(Reports!J17:M17)</f>
        <v>392</v>
      </c>
      <c r="E24" s="42">
        <f>SUM(Reports!N17:Q17)</f>
        <v>448</v>
      </c>
      <c r="F24" s="58">
        <f>E40*$F$3</f>
        <v>411.14</v>
      </c>
      <c r="G24" s="58">
        <f t="shared" ref="G24:Q24" si="28">F40*$F$3</f>
        <v>667.36572000000001</v>
      </c>
      <c r="H24" s="58">
        <f t="shared" si="28"/>
        <v>993.59156076000011</v>
      </c>
      <c r="I24" s="58">
        <f t="shared" si="28"/>
        <v>1408.4836223710799</v>
      </c>
      <c r="J24" s="58">
        <f t="shared" si="28"/>
        <v>1935.6379241094237</v>
      </c>
      <c r="K24" s="58">
        <f t="shared" si="28"/>
        <v>2604.8688011767522</v>
      </c>
      <c r="L24" s="58">
        <f t="shared" si="28"/>
        <v>3271.9267847407173</v>
      </c>
      <c r="M24" s="58">
        <f t="shared" si="28"/>
        <v>3930.858707583734</v>
      </c>
      <c r="N24" s="58">
        <f t="shared" si="28"/>
        <v>4574.5034344180031</v>
      </c>
      <c r="O24" s="58">
        <f t="shared" si="28"/>
        <v>5194.2763038864978</v>
      </c>
      <c r="P24" s="58">
        <f t="shared" si="28"/>
        <v>5779.9144593224664</v>
      </c>
      <c r="Q24" s="58">
        <f t="shared" si="28"/>
        <v>6319.1757159615736</v>
      </c>
      <c r="R24" s="52"/>
      <c r="S24" s="52"/>
      <c r="T24" s="52"/>
      <c r="U24" s="52"/>
      <c r="V24" s="52"/>
    </row>
    <row r="25" spans="1:122" x14ac:dyDescent="0.15">
      <c r="A25" s="7" t="s">
        <v>13</v>
      </c>
      <c r="B25" s="57">
        <f>B23+B24</f>
        <v>6194</v>
      </c>
      <c r="C25" s="57">
        <f>C23+C24</f>
        <v>12533</v>
      </c>
      <c r="D25" s="21">
        <f>D23+D24</f>
        <v>20594</v>
      </c>
      <c r="E25" s="21">
        <f>E23+E24</f>
        <v>25361</v>
      </c>
      <c r="F25" s="58">
        <f t="shared" ref="F25:G25" si="29">F23+F24</f>
        <v>32028.215000000004</v>
      </c>
      <c r="G25" s="58">
        <f t="shared" si="29"/>
        <v>40778.230095000006</v>
      </c>
      <c r="H25" s="58">
        <f t="shared" ref="H25:P25" si="30">H23+H24</f>
        <v>51861.507701385002</v>
      </c>
      <c r="I25" s="58">
        <f t="shared" si="30"/>
        <v>65894.287717292958</v>
      </c>
      <c r="J25" s="58">
        <f t="shared" si="30"/>
        <v>83653.859633416083</v>
      </c>
      <c r="K25" s="58">
        <f t="shared" si="30"/>
        <v>83382.247945495605</v>
      </c>
      <c r="L25" s="58">
        <f t="shared" si="30"/>
        <v>82366.490355377071</v>
      </c>
      <c r="M25" s="58">
        <f t="shared" si="30"/>
        <v>80455.590854283626</v>
      </c>
      <c r="N25" s="58">
        <f t="shared" si="30"/>
        <v>77471.60868356179</v>
      </c>
      <c r="O25" s="58">
        <f t="shared" si="30"/>
        <v>73204.769429496053</v>
      </c>
      <c r="P25" s="58">
        <f t="shared" si="30"/>
        <v>67407.657079888508</v>
      </c>
      <c r="Q25" s="58">
        <f>Q23+Q24</f>
        <v>59788.309546019351</v>
      </c>
      <c r="R25" s="52"/>
      <c r="S25" s="52"/>
      <c r="T25" s="52"/>
      <c r="U25" s="52"/>
      <c r="V25" s="52"/>
    </row>
    <row r="26" spans="1:122" x14ac:dyDescent="0.15">
      <c r="A26" s="7" t="s">
        <v>14</v>
      </c>
      <c r="B26" s="52">
        <f>SUM(Reports!B19:E19)</f>
        <v>2505</v>
      </c>
      <c r="C26" s="52">
        <f>SUM(Reports!F19:I19)</f>
        <v>3021</v>
      </c>
      <c r="D26" s="8">
        <f>SUM(Reports!J19:M19)</f>
        <v>4661</v>
      </c>
      <c r="E26" s="42">
        <f>SUM(Reports!N19:Q19)</f>
        <v>3248</v>
      </c>
      <c r="F26" s="58">
        <f>F25*0.2</f>
        <v>6405.6430000000009</v>
      </c>
      <c r="G26" s="58">
        <f t="shared" ref="G26:Q26" si="31">G25*0.2</f>
        <v>8155.6460190000016</v>
      </c>
      <c r="H26" s="58">
        <f t="shared" si="31"/>
        <v>10372.301540277002</v>
      </c>
      <c r="I26" s="58">
        <f t="shared" si="31"/>
        <v>13178.857543458593</v>
      </c>
      <c r="J26" s="58">
        <f t="shared" si="31"/>
        <v>16730.771926683217</v>
      </c>
      <c r="K26" s="58">
        <f t="shared" si="31"/>
        <v>16676.44958909912</v>
      </c>
      <c r="L26" s="58">
        <f t="shared" si="31"/>
        <v>16473.298071075416</v>
      </c>
      <c r="M26" s="58">
        <f t="shared" si="31"/>
        <v>16091.118170856726</v>
      </c>
      <c r="N26" s="58">
        <f t="shared" si="31"/>
        <v>15494.321736712358</v>
      </c>
      <c r="O26" s="58">
        <f t="shared" si="31"/>
        <v>14640.953885899211</v>
      </c>
      <c r="P26" s="58">
        <f t="shared" si="31"/>
        <v>13481.531415977703</v>
      </c>
      <c r="Q26" s="58">
        <f t="shared" si="31"/>
        <v>11957.661909203871</v>
      </c>
      <c r="R26" s="52"/>
      <c r="S26" s="52"/>
      <c r="T26" s="52"/>
      <c r="U26" s="52"/>
      <c r="V26" s="52"/>
    </row>
    <row r="27" spans="1:122" s="15" customFormat="1" x14ac:dyDescent="0.15">
      <c r="A27" s="15" t="s">
        <v>15</v>
      </c>
      <c r="B27" s="55">
        <f>B25-B26</f>
        <v>3689</v>
      </c>
      <c r="C27" s="55">
        <f>C25-C26</f>
        <v>9512</v>
      </c>
      <c r="D27" s="16">
        <f>D25-D26</f>
        <v>15933</v>
      </c>
      <c r="E27" s="55">
        <f>E25-E26</f>
        <v>22113</v>
      </c>
      <c r="F27" s="55">
        <f>F25-F26</f>
        <v>25622.572000000004</v>
      </c>
      <c r="G27" s="55">
        <f t="shared" ref="G27" si="32">G25-G26</f>
        <v>32622.584076000006</v>
      </c>
      <c r="H27" s="55">
        <f t="shared" ref="H27:P27" si="33">H25-H26</f>
        <v>41489.206161107999</v>
      </c>
      <c r="I27" s="55">
        <f t="shared" si="33"/>
        <v>52715.430173834364</v>
      </c>
      <c r="J27" s="55">
        <f t="shared" si="33"/>
        <v>66923.087706732869</v>
      </c>
      <c r="K27" s="55">
        <f t="shared" si="33"/>
        <v>66705.798356396481</v>
      </c>
      <c r="L27" s="55">
        <f t="shared" si="33"/>
        <v>65893.192284301651</v>
      </c>
      <c r="M27" s="55">
        <f t="shared" si="33"/>
        <v>64364.472683426902</v>
      </c>
      <c r="N27" s="55">
        <f t="shared" si="33"/>
        <v>61977.286946849432</v>
      </c>
      <c r="O27" s="55">
        <f t="shared" si="33"/>
        <v>58563.815543596844</v>
      </c>
      <c r="P27" s="55">
        <f t="shared" si="33"/>
        <v>53926.125663910803</v>
      </c>
      <c r="Q27" s="55">
        <f>Q25-Q26</f>
        <v>47830.647636815484</v>
      </c>
      <c r="R27" s="55">
        <f>Q27*($F$2+1)</f>
        <v>46874.034684079175</v>
      </c>
      <c r="S27" s="55">
        <f t="shared" ref="S27:CD27" si="34">R27*($F$2+1)</f>
        <v>45936.553990397588</v>
      </c>
      <c r="T27" s="55">
        <f t="shared" si="34"/>
        <v>45017.822910589632</v>
      </c>
      <c r="U27" s="55">
        <f t="shared" si="34"/>
        <v>44117.466452377841</v>
      </c>
      <c r="V27" s="55">
        <f t="shared" si="34"/>
        <v>43235.117123330281</v>
      </c>
      <c r="W27" s="55">
        <f t="shared" si="34"/>
        <v>42370.414780863677</v>
      </c>
      <c r="X27" s="55">
        <f t="shared" si="34"/>
        <v>41523.006485246406</v>
      </c>
      <c r="Y27" s="55">
        <f t="shared" si="34"/>
        <v>40692.546355541475</v>
      </c>
      <c r="Z27" s="55">
        <f t="shared" si="34"/>
        <v>39878.695428430648</v>
      </c>
      <c r="AA27" s="55">
        <f t="shared" si="34"/>
        <v>39081.121519862034</v>
      </c>
      <c r="AB27" s="55">
        <f t="shared" si="34"/>
        <v>38299.499089464793</v>
      </c>
      <c r="AC27" s="55">
        <f t="shared" si="34"/>
        <v>37533.509107675498</v>
      </c>
      <c r="AD27" s="55">
        <f t="shared" si="34"/>
        <v>36782.838925521988</v>
      </c>
      <c r="AE27" s="55">
        <f t="shared" si="34"/>
        <v>36047.182147011546</v>
      </c>
      <c r="AF27" s="55">
        <f t="shared" si="34"/>
        <v>35326.238504071312</v>
      </c>
      <c r="AG27" s="55">
        <f t="shared" si="34"/>
        <v>34619.713733989884</v>
      </c>
      <c r="AH27" s="55">
        <f t="shared" si="34"/>
        <v>33927.319459310085</v>
      </c>
      <c r="AI27" s="55">
        <f t="shared" si="34"/>
        <v>33248.773070123883</v>
      </c>
      <c r="AJ27" s="55">
        <f t="shared" si="34"/>
        <v>32583.797608721405</v>
      </c>
      <c r="AK27" s="55">
        <f t="shared" si="34"/>
        <v>31932.121656546977</v>
      </c>
      <c r="AL27" s="55">
        <f t="shared" si="34"/>
        <v>31293.479223416038</v>
      </c>
      <c r="AM27" s="55">
        <f t="shared" si="34"/>
        <v>30667.609638947717</v>
      </c>
      <c r="AN27" s="55">
        <f t="shared" si="34"/>
        <v>30054.257446168762</v>
      </c>
      <c r="AO27" s="55">
        <f t="shared" si="34"/>
        <v>29453.172297245386</v>
      </c>
      <c r="AP27" s="55">
        <f t="shared" si="34"/>
        <v>28864.10885130048</v>
      </c>
      <c r="AQ27" s="55">
        <f t="shared" si="34"/>
        <v>28286.826674274471</v>
      </c>
      <c r="AR27" s="55">
        <f t="shared" si="34"/>
        <v>27721.09014078898</v>
      </c>
      <c r="AS27" s="55">
        <f t="shared" si="34"/>
        <v>27166.668337973199</v>
      </c>
      <c r="AT27" s="55">
        <f t="shared" si="34"/>
        <v>26623.334971213735</v>
      </c>
      <c r="AU27" s="55">
        <f t="shared" si="34"/>
        <v>26090.868271789459</v>
      </c>
      <c r="AV27" s="55">
        <f t="shared" si="34"/>
        <v>25569.05090635367</v>
      </c>
      <c r="AW27" s="55">
        <f t="shared" si="34"/>
        <v>25057.669888226596</v>
      </c>
      <c r="AX27" s="55">
        <f t="shared" si="34"/>
        <v>24556.516490462061</v>
      </c>
      <c r="AY27" s="55">
        <f t="shared" si="34"/>
        <v>24065.386160652819</v>
      </c>
      <c r="AZ27" s="55">
        <f t="shared" si="34"/>
        <v>23584.078437439763</v>
      </c>
      <c r="BA27" s="55">
        <f t="shared" si="34"/>
        <v>23112.396868690968</v>
      </c>
      <c r="BB27" s="55">
        <f t="shared" si="34"/>
        <v>22650.148931317148</v>
      </c>
      <c r="BC27" s="55">
        <f t="shared" si="34"/>
        <v>22197.145952690804</v>
      </c>
      <c r="BD27" s="55">
        <f t="shared" si="34"/>
        <v>21753.203033636986</v>
      </c>
      <c r="BE27" s="55">
        <f t="shared" si="34"/>
        <v>21318.138972964247</v>
      </c>
      <c r="BF27" s="55">
        <f t="shared" si="34"/>
        <v>20891.77619350496</v>
      </c>
      <c r="BG27" s="55">
        <f t="shared" si="34"/>
        <v>20473.94066963486</v>
      </c>
      <c r="BH27" s="55">
        <f t="shared" si="34"/>
        <v>20064.461856242164</v>
      </c>
      <c r="BI27" s="55">
        <f t="shared" si="34"/>
        <v>19663.172619117318</v>
      </c>
      <c r="BJ27" s="55">
        <f t="shared" si="34"/>
        <v>19269.909166734971</v>
      </c>
      <c r="BK27" s="55">
        <f t="shared" si="34"/>
        <v>18884.510983400272</v>
      </c>
      <c r="BL27" s="55">
        <f t="shared" si="34"/>
        <v>18506.820763732267</v>
      </c>
      <c r="BM27" s="55">
        <f t="shared" si="34"/>
        <v>18136.68434845762</v>
      </c>
      <c r="BN27" s="55">
        <f t="shared" si="34"/>
        <v>17773.950661488467</v>
      </c>
      <c r="BO27" s="55">
        <f t="shared" si="34"/>
        <v>17418.471648258695</v>
      </c>
      <c r="BP27" s="55">
        <f t="shared" si="34"/>
        <v>17070.102215293522</v>
      </c>
      <c r="BQ27" s="55">
        <f t="shared" si="34"/>
        <v>16728.700170987649</v>
      </c>
      <c r="BR27" s="55">
        <f t="shared" si="34"/>
        <v>16394.126167567898</v>
      </c>
      <c r="BS27" s="55">
        <f t="shared" si="34"/>
        <v>16066.24364421654</v>
      </c>
      <c r="BT27" s="55">
        <f t="shared" si="34"/>
        <v>15744.918771332208</v>
      </c>
      <c r="BU27" s="55">
        <f t="shared" si="34"/>
        <v>15430.020395905563</v>
      </c>
      <c r="BV27" s="55">
        <f t="shared" si="34"/>
        <v>15121.419987987452</v>
      </c>
      <c r="BW27" s="55">
        <f t="shared" si="34"/>
        <v>14818.991588227704</v>
      </c>
      <c r="BX27" s="55">
        <f t="shared" si="34"/>
        <v>14522.61175646315</v>
      </c>
      <c r="BY27" s="55">
        <f t="shared" si="34"/>
        <v>14232.159521333886</v>
      </c>
      <c r="BZ27" s="55">
        <f t="shared" si="34"/>
        <v>13947.516330907209</v>
      </c>
      <c r="CA27" s="55">
        <f t="shared" si="34"/>
        <v>13668.566004289065</v>
      </c>
      <c r="CB27" s="55">
        <f t="shared" si="34"/>
        <v>13395.194684203283</v>
      </c>
      <c r="CC27" s="55">
        <f t="shared" si="34"/>
        <v>13127.290790519217</v>
      </c>
      <c r="CD27" s="55">
        <f t="shared" si="34"/>
        <v>12864.744974708832</v>
      </c>
      <c r="CE27" s="55">
        <f t="shared" ref="CE27:DR27" si="35">CD27*($F$2+1)</f>
        <v>12607.450075214656</v>
      </c>
      <c r="CF27" s="55">
        <f t="shared" si="35"/>
        <v>12355.301073710363</v>
      </c>
      <c r="CG27" s="55">
        <f t="shared" si="35"/>
        <v>12108.195052236155</v>
      </c>
      <c r="CH27" s="55">
        <f t="shared" si="35"/>
        <v>11866.031151191431</v>
      </c>
      <c r="CI27" s="55">
        <f t="shared" si="35"/>
        <v>11628.710528167603</v>
      </c>
      <c r="CJ27" s="55">
        <f t="shared" si="35"/>
        <v>11396.136317604251</v>
      </c>
      <c r="CK27" s="55">
        <f t="shared" si="35"/>
        <v>11168.213591252164</v>
      </c>
      <c r="CL27" s="55">
        <f t="shared" si="35"/>
        <v>10944.849319427121</v>
      </c>
      <c r="CM27" s="55">
        <f t="shared" si="35"/>
        <v>10725.952333038578</v>
      </c>
      <c r="CN27" s="55">
        <f t="shared" si="35"/>
        <v>10511.433286377807</v>
      </c>
      <c r="CO27" s="55">
        <f t="shared" si="35"/>
        <v>10301.204620650251</v>
      </c>
      <c r="CP27" s="55">
        <f t="shared" si="35"/>
        <v>10095.180528237246</v>
      </c>
      <c r="CQ27" s="55">
        <f t="shared" si="35"/>
        <v>9893.2769176725014</v>
      </c>
      <c r="CR27" s="55">
        <f t="shared" si="35"/>
        <v>9695.4113793190518</v>
      </c>
      <c r="CS27" s="55">
        <f t="shared" si="35"/>
        <v>9501.5031517326697</v>
      </c>
      <c r="CT27" s="55">
        <f t="shared" si="35"/>
        <v>9311.473088698016</v>
      </c>
      <c r="CU27" s="55">
        <f t="shared" si="35"/>
        <v>9125.2436269240552</v>
      </c>
      <c r="CV27" s="55">
        <f t="shared" si="35"/>
        <v>8942.7387543855748</v>
      </c>
      <c r="CW27" s="55">
        <f t="shared" si="35"/>
        <v>8763.8839792978633</v>
      </c>
      <c r="CX27" s="55">
        <f t="shared" si="35"/>
        <v>8588.6062997119061</v>
      </c>
      <c r="CY27" s="55">
        <f t="shared" si="35"/>
        <v>8416.834173717667</v>
      </c>
      <c r="CZ27" s="55">
        <f t="shared" si="35"/>
        <v>8248.4974902433132</v>
      </c>
      <c r="DA27" s="55">
        <f t="shared" si="35"/>
        <v>8083.5275404384465</v>
      </c>
      <c r="DB27" s="55">
        <f t="shared" si="35"/>
        <v>7921.8569896296776</v>
      </c>
      <c r="DC27" s="55">
        <f t="shared" si="35"/>
        <v>7763.4198498370843</v>
      </c>
      <c r="DD27" s="55">
        <f t="shared" si="35"/>
        <v>7608.1514528403422</v>
      </c>
      <c r="DE27" s="55">
        <f t="shared" si="35"/>
        <v>7455.9884237835349</v>
      </c>
      <c r="DF27" s="55">
        <f t="shared" si="35"/>
        <v>7306.8686553078642</v>
      </c>
      <c r="DG27" s="55">
        <f t="shared" si="35"/>
        <v>7160.7312822017066</v>
      </c>
      <c r="DH27" s="55">
        <f t="shared" si="35"/>
        <v>7017.5166565576719</v>
      </c>
      <c r="DI27" s="55">
        <f t="shared" si="35"/>
        <v>6877.1663234265179</v>
      </c>
      <c r="DJ27" s="55">
        <f t="shared" si="35"/>
        <v>6739.6229969579872</v>
      </c>
      <c r="DK27" s="55">
        <f t="shared" si="35"/>
        <v>6604.8305370188273</v>
      </c>
      <c r="DL27" s="55">
        <f t="shared" si="35"/>
        <v>6472.7339262784508</v>
      </c>
      <c r="DM27" s="55">
        <f t="shared" si="35"/>
        <v>6343.2792477528819</v>
      </c>
      <c r="DN27" s="55">
        <f t="shared" si="35"/>
        <v>6216.4136627978241</v>
      </c>
      <c r="DO27" s="55">
        <f t="shared" si="35"/>
        <v>6092.0853895418677</v>
      </c>
      <c r="DP27" s="55">
        <f t="shared" si="35"/>
        <v>5970.2436817510306</v>
      </c>
      <c r="DQ27" s="55">
        <f t="shared" si="35"/>
        <v>5850.8388081160101</v>
      </c>
      <c r="DR27" s="55">
        <f t="shared" si="35"/>
        <v>5733.8220319536895</v>
      </c>
    </row>
    <row r="28" spans="1:122" x14ac:dyDescent="0.15">
      <c r="A28" s="7" t="s">
        <v>16</v>
      </c>
      <c r="B28" s="59">
        <f>B27/B29</f>
        <v>1.2817929117442668</v>
      </c>
      <c r="C28" s="59">
        <f>C27/C29</f>
        <v>3.2375765827093259</v>
      </c>
      <c r="D28" s="24">
        <f>D27/D29</f>
        <v>5.4846815834767639</v>
      </c>
      <c r="E28" s="24">
        <f>E27/E29</f>
        <v>7.6621621621621623</v>
      </c>
      <c r="F28" s="60">
        <f>F27/F29</f>
        <v>8.8782300762300768</v>
      </c>
      <c r="G28" s="60">
        <f t="shared" ref="G28" si="36">G27/G29</f>
        <v>11.303736686070689</v>
      </c>
      <c r="H28" s="60">
        <f>H27/H29</f>
        <v>14.376024310848232</v>
      </c>
      <c r="I28" s="60">
        <f t="shared" ref="I28:Q28" si="37">I27/I29</f>
        <v>18.265914821148428</v>
      </c>
      <c r="J28" s="60">
        <f t="shared" si="37"/>
        <v>23.18887307925602</v>
      </c>
      <c r="K28" s="60">
        <f t="shared" si="37"/>
        <v>23.113582244073626</v>
      </c>
      <c r="L28" s="60">
        <f t="shared" si="37"/>
        <v>22.832013958524481</v>
      </c>
      <c r="M28" s="60">
        <f t="shared" si="37"/>
        <v>22.30231208711951</v>
      </c>
      <c r="N28" s="60">
        <f t="shared" si="37"/>
        <v>21.475151402234729</v>
      </c>
      <c r="O28" s="60">
        <f t="shared" si="37"/>
        <v>20.292382378238685</v>
      </c>
      <c r="P28" s="60">
        <f t="shared" si="37"/>
        <v>18.685421227966323</v>
      </c>
      <c r="Q28" s="60">
        <f t="shared" si="37"/>
        <v>16.573335979492544</v>
      </c>
      <c r="R28" s="61"/>
      <c r="S28" s="61"/>
      <c r="T28" s="61"/>
      <c r="U28" s="61"/>
      <c r="V28" s="61"/>
    </row>
    <row r="29" spans="1:122" x14ac:dyDescent="0.15">
      <c r="A29" s="7" t="s">
        <v>17</v>
      </c>
      <c r="B29" s="52">
        <f>Reports!E22</f>
        <v>2878</v>
      </c>
      <c r="C29" s="52">
        <f>Reports!I22</f>
        <v>2938</v>
      </c>
      <c r="D29" s="8">
        <f>Reports!M22</f>
        <v>2905</v>
      </c>
      <c r="E29" s="52">
        <f>Reports!Q22</f>
        <v>2886</v>
      </c>
      <c r="F29" s="52">
        <f>E29</f>
        <v>2886</v>
      </c>
      <c r="G29" s="52">
        <f t="shared" ref="G29" si="38">F29</f>
        <v>2886</v>
      </c>
      <c r="H29" s="52">
        <f t="shared" ref="H29" si="39">G29</f>
        <v>2886</v>
      </c>
      <c r="I29" s="52">
        <f t="shared" ref="I29" si="40">H29</f>
        <v>2886</v>
      </c>
      <c r="J29" s="52">
        <f t="shared" ref="J29" si="41">I29</f>
        <v>2886</v>
      </c>
      <c r="K29" s="52">
        <f t="shared" ref="K29" si="42">J29</f>
        <v>2886</v>
      </c>
      <c r="L29" s="52">
        <f t="shared" ref="L29" si="43">K29</f>
        <v>2886</v>
      </c>
      <c r="M29" s="52">
        <f t="shared" ref="M29" si="44">L29</f>
        <v>2886</v>
      </c>
      <c r="N29" s="52">
        <f t="shared" ref="N29" si="45">M29</f>
        <v>2886</v>
      </c>
      <c r="O29" s="52">
        <f t="shared" ref="O29" si="46">N29</f>
        <v>2886</v>
      </c>
      <c r="P29" s="52">
        <f t="shared" ref="P29" si="47">O29</f>
        <v>2886</v>
      </c>
      <c r="Q29" s="52">
        <f t="shared" ref="Q29" si="48">P29</f>
        <v>2886</v>
      </c>
      <c r="R29" s="52"/>
      <c r="S29" s="52"/>
      <c r="T29" s="52"/>
      <c r="U29" s="52"/>
      <c r="V29" s="52"/>
    </row>
    <row r="30" spans="1:122" x14ac:dyDescent="0.15">
      <c r="B30" s="39"/>
      <c r="C30" s="39"/>
      <c r="D30" s="13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122" x14ac:dyDescent="0.15">
      <c r="A31" s="15" t="s">
        <v>18</v>
      </c>
      <c r="B31" s="62"/>
      <c r="C31" s="63">
        <f>C16/B16-1</f>
        <v>0.54169688179840469</v>
      </c>
      <c r="D31" s="64">
        <f>D16/C16-1</f>
        <v>0.47090961719371882</v>
      </c>
      <c r="E31" s="63">
        <f>E16/D16-1</f>
        <v>0.37352716896661997</v>
      </c>
      <c r="F31" s="63">
        <f>F16/E16-1</f>
        <v>0.27499999999999991</v>
      </c>
      <c r="G31" s="63">
        <f t="shared" ref="G31:Q31" si="49">G16/F16-1</f>
        <v>0.27499999999999991</v>
      </c>
      <c r="H31" s="63">
        <f t="shared" si="49"/>
        <v>0.27499999999999991</v>
      </c>
      <c r="I31" s="63">
        <f t="shared" si="49"/>
        <v>0.27499999999999991</v>
      </c>
      <c r="J31" s="63">
        <f t="shared" si="49"/>
        <v>0.27500000000000013</v>
      </c>
      <c r="K31" s="63">
        <f t="shared" si="49"/>
        <v>5.0000000000000044E-2</v>
      </c>
      <c r="L31" s="63">
        <f t="shared" si="49"/>
        <v>5.0000000000000044E-2</v>
      </c>
      <c r="M31" s="63">
        <f t="shared" si="49"/>
        <v>5.0000000000000044E-2</v>
      </c>
      <c r="N31" s="63">
        <f t="shared" si="49"/>
        <v>5.0000000000000044E-2</v>
      </c>
      <c r="O31" s="63">
        <f t="shared" si="49"/>
        <v>5.0000000000000044E-2</v>
      </c>
      <c r="P31" s="63">
        <f t="shared" si="49"/>
        <v>5.0000000000000044E-2</v>
      </c>
      <c r="Q31" s="63">
        <f t="shared" si="49"/>
        <v>5.0000000000000044E-2</v>
      </c>
      <c r="R31" s="65"/>
      <c r="S31" s="65"/>
      <c r="T31" s="65"/>
      <c r="U31" s="65"/>
      <c r="V31" s="65"/>
    </row>
    <row r="32" spans="1:122" x14ac:dyDescent="0.15">
      <c r="A32" s="7" t="s">
        <v>72</v>
      </c>
      <c r="B32" s="66"/>
      <c r="C32" s="67">
        <f>C19/B19-1</f>
        <v>0.22648951629644998</v>
      </c>
      <c r="D32" s="35">
        <f t="shared" ref="D32:Q32" si="50">D19/C19-1</f>
        <v>0.3124576844955993</v>
      </c>
      <c r="E32" s="67">
        <f t="shared" si="50"/>
        <v>0.3248645860201187</v>
      </c>
      <c r="F32" s="67">
        <f t="shared" si="50"/>
        <v>0.30000000000000004</v>
      </c>
      <c r="G32" s="67">
        <f t="shared" si="50"/>
        <v>0.30000000000000004</v>
      </c>
      <c r="H32" s="67">
        <f t="shared" si="50"/>
        <v>0.30000000000000004</v>
      </c>
      <c r="I32" s="67">
        <f t="shared" si="50"/>
        <v>0.30000000000000004</v>
      </c>
      <c r="J32" s="67">
        <f t="shared" si="50"/>
        <v>0.30000000000000004</v>
      </c>
      <c r="K32" s="67">
        <f t="shared" si="50"/>
        <v>0.10000000000000009</v>
      </c>
      <c r="L32" s="67">
        <f t="shared" si="50"/>
        <v>0.10000000000000009</v>
      </c>
      <c r="M32" s="67">
        <f t="shared" si="50"/>
        <v>0.10000000000000009</v>
      </c>
      <c r="N32" s="67">
        <f t="shared" si="50"/>
        <v>0.10000000000000009</v>
      </c>
      <c r="O32" s="67">
        <f t="shared" si="50"/>
        <v>0.10000000000000009</v>
      </c>
      <c r="P32" s="67">
        <f t="shared" si="50"/>
        <v>0.10000000000000009</v>
      </c>
      <c r="Q32" s="67">
        <f t="shared" si="50"/>
        <v>0.10000000000000009</v>
      </c>
      <c r="R32" s="65"/>
      <c r="S32" s="65"/>
      <c r="T32" s="65"/>
      <c r="U32" s="65"/>
      <c r="V32" s="65"/>
    </row>
    <row r="33" spans="1:22" x14ac:dyDescent="0.15">
      <c r="A33" s="7" t="s">
        <v>73</v>
      </c>
      <c r="B33" s="66"/>
      <c r="C33" s="67">
        <f>C20/B20-1</f>
        <v>0.38325991189427322</v>
      </c>
      <c r="D33" s="35">
        <f t="shared" ref="D33:Q33" si="51">D20/C20-1</f>
        <v>0.25398089171974525</v>
      </c>
      <c r="E33" s="67">
        <f t="shared" si="51"/>
        <v>0.66031746031746041</v>
      </c>
      <c r="F33" s="67">
        <f t="shared" si="51"/>
        <v>0.25</v>
      </c>
      <c r="G33" s="67">
        <f t="shared" si="51"/>
        <v>0.25</v>
      </c>
      <c r="H33" s="67">
        <f t="shared" si="51"/>
        <v>0.25</v>
      </c>
      <c r="I33" s="67">
        <f t="shared" si="51"/>
        <v>0.25</v>
      </c>
      <c r="J33" s="67">
        <f t="shared" si="51"/>
        <v>0.25</v>
      </c>
      <c r="K33" s="67">
        <f t="shared" si="51"/>
        <v>0.10000000000000009</v>
      </c>
      <c r="L33" s="67">
        <f t="shared" si="51"/>
        <v>0.10000000000000009</v>
      </c>
      <c r="M33" s="67">
        <f t="shared" si="51"/>
        <v>0.10000000000000009</v>
      </c>
      <c r="N33" s="67">
        <f t="shared" si="51"/>
        <v>0.10000000000000009</v>
      </c>
      <c r="O33" s="67">
        <f t="shared" si="51"/>
        <v>0.10000000000000009</v>
      </c>
      <c r="P33" s="67">
        <f t="shared" si="51"/>
        <v>0.10000000000000009</v>
      </c>
      <c r="Q33" s="67">
        <f t="shared" si="51"/>
        <v>0.10000000000000009</v>
      </c>
      <c r="R33" s="65"/>
      <c r="S33" s="65"/>
      <c r="T33" s="65"/>
      <c r="U33" s="65"/>
      <c r="V33" s="65"/>
    </row>
    <row r="34" spans="1:22" x14ac:dyDescent="0.15">
      <c r="A34" s="7" t="s">
        <v>74</v>
      </c>
      <c r="B34" s="66"/>
      <c r="C34" s="67">
        <f>C21/B21-1</f>
        <v>0.33667953667953676</v>
      </c>
      <c r="D34" s="35">
        <f t="shared" ref="D34:Q34" si="52">D21/C21-1</f>
        <v>0.45407279029462733</v>
      </c>
      <c r="E34" s="67">
        <f t="shared" si="52"/>
        <v>0.37147397695669437</v>
      </c>
      <c r="F34" s="67">
        <f t="shared" si="52"/>
        <v>0.30000000000000004</v>
      </c>
      <c r="G34" s="67">
        <f t="shared" si="52"/>
        <v>0.30000000000000004</v>
      </c>
      <c r="H34" s="67">
        <f t="shared" si="52"/>
        <v>0.30000000000000004</v>
      </c>
      <c r="I34" s="67">
        <f t="shared" si="52"/>
        <v>0.30000000000000004</v>
      </c>
      <c r="J34" s="67">
        <f t="shared" si="52"/>
        <v>0.30000000000000004</v>
      </c>
      <c r="K34" s="67">
        <f t="shared" si="52"/>
        <v>0.19999999999999996</v>
      </c>
      <c r="L34" s="67">
        <f t="shared" si="52"/>
        <v>0.19999999999999996</v>
      </c>
      <c r="M34" s="67">
        <f t="shared" si="52"/>
        <v>0.19999999999999996</v>
      </c>
      <c r="N34" s="67">
        <f t="shared" si="52"/>
        <v>0.19999999999999996</v>
      </c>
      <c r="O34" s="67">
        <f t="shared" si="52"/>
        <v>0.19999999999999996</v>
      </c>
      <c r="P34" s="67">
        <f t="shared" si="52"/>
        <v>0.19999999999999996</v>
      </c>
      <c r="Q34" s="67">
        <f t="shared" si="52"/>
        <v>0.19999999999999996</v>
      </c>
      <c r="R34" s="65"/>
      <c r="S34" s="65"/>
      <c r="T34" s="65"/>
      <c r="U34" s="65"/>
      <c r="V34" s="65"/>
    </row>
    <row r="35" spans="1:22" x14ac:dyDescent="0.15">
      <c r="B35" s="66"/>
      <c r="C35" s="66"/>
      <c r="D35" s="14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39"/>
      <c r="S35" s="39"/>
      <c r="T35" s="39"/>
      <c r="U35" s="39"/>
      <c r="V35" s="39"/>
    </row>
    <row r="36" spans="1:22" x14ac:dyDescent="0.15">
      <c r="A36" s="7" t="s">
        <v>19</v>
      </c>
      <c r="B36" s="68">
        <f>IFERROR(B18/B16,0)</f>
        <v>0.84012941373347461</v>
      </c>
      <c r="C36" s="68">
        <f>IFERROR(C18/C16,0)</f>
        <v>0.86294232578334173</v>
      </c>
      <c r="D36" s="32">
        <f>IFERROR(D18/D16,0)</f>
        <v>0.86581556096721024</v>
      </c>
      <c r="E36" s="68">
        <f>IFERROR(E18/E16,0)</f>
        <v>0.8324617643898421</v>
      </c>
      <c r="F36" s="68">
        <f>IFERROR(F18/F16,0)</f>
        <v>0.8324617643898421</v>
      </c>
      <c r="G36" s="68">
        <f t="shared" ref="G36:Q36" si="53">IFERROR(G18/G16,0)</f>
        <v>0.83246176438984221</v>
      </c>
      <c r="H36" s="68">
        <f t="shared" si="53"/>
        <v>0.83246176438984221</v>
      </c>
      <c r="I36" s="68">
        <f t="shared" si="53"/>
        <v>0.83246176438984221</v>
      </c>
      <c r="J36" s="68">
        <f t="shared" si="53"/>
        <v>0.83246176438984221</v>
      </c>
      <c r="K36" s="68">
        <f t="shared" si="53"/>
        <v>0.83246176438984221</v>
      </c>
      <c r="L36" s="68">
        <f t="shared" si="53"/>
        <v>0.83246176438984221</v>
      </c>
      <c r="M36" s="68">
        <f t="shared" si="53"/>
        <v>0.83246176438984221</v>
      </c>
      <c r="N36" s="68">
        <f t="shared" si="53"/>
        <v>0.83246176438984221</v>
      </c>
      <c r="O36" s="68">
        <f t="shared" si="53"/>
        <v>0.83246176438984221</v>
      </c>
      <c r="P36" s="68">
        <f t="shared" si="53"/>
        <v>0.83246176438984221</v>
      </c>
      <c r="Q36" s="68">
        <f t="shared" si="53"/>
        <v>0.83246176438984221</v>
      </c>
      <c r="R36" s="69"/>
      <c r="S36" s="69"/>
      <c r="T36" s="69"/>
      <c r="U36" s="69"/>
      <c r="V36" s="69"/>
    </row>
    <row r="37" spans="1:22" x14ac:dyDescent="0.15">
      <c r="A37" s="7" t="s">
        <v>20</v>
      </c>
      <c r="B37" s="67">
        <f>IFERROR(B23/B16,0)</f>
        <v>0.34724159089641321</v>
      </c>
      <c r="C37" s="67">
        <f>IFERROR(C23/C16,0)</f>
        <v>0.45021347420218538</v>
      </c>
      <c r="D37" s="35">
        <f>IFERROR(D23/D16,0)</f>
        <v>0.49693749538779425</v>
      </c>
      <c r="E37" s="67">
        <f>IFERROR(E23/E16,0)</f>
        <v>0.44616569361366809</v>
      </c>
      <c r="F37" s="67">
        <f t="shared" ref="F37:Q37" si="54">IFERROR(F23/F16,0)</f>
        <v>0.44410089692239957</v>
      </c>
      <c r="G37" s="67">
        <f t="shared" si="54"/>
        <v>0.4418875819417129</v>
      </c>
      <c r="H37" s="67">
        <f t="shared" si="54"/>
        <v>0.4395249548243606</v>
      </c>
      <c r="I37" s="67">
        <f t="shared" si="54"/>
        <v>0.43701216462263759</v>
      </c>
      <c r="J37" s="67">
        <f t="shared" si="54"/>
        <v>0.43434830298317323</v>
      </c>
      <c r="K37" s="67">
        <f t="shared" si="54"/>
        <v>0.4089024200580349</v>
      </c>
      <c r="L37" s="67">
        <f t="shared" si="54"/>
        <v>0.38131795712951422</v>
      </c>
      <c r="M37" s="67">
        <f t="shared" si="54"/>
        <v>0.35136066686992717</v>
      </c>
      <c r="N37" s="67">
        <f t="shared" si="54"/>
        <v>0.31876623157627137</v>
      </c>
      <c r="O37" s="67">
        <f t="shared" si="54"/>
        <v>0.28323612899892536</v>
      </c>
      <c r="P37" s="67">
        <f t="shared" si="54"/>
        <v>0.24443291526952421</v>
      </c>
      <c r="Q37" s="67">
        <f t="shared" si="54"/>
        <v>0.20197484202289623</v>
      </c>
      <c r="R37" s="65"/>
      <c r="S37" s="65"/>
      <c r="T37" s="65"/>
      <c r="U37" s="65"/>
      <c r="V37" s="65"/>
    </row>
    <row r="38" spans="1:22" x14ac:dyDescent="0.15">
      <c r="A38" s="7" t="s">
        <v>21</v>
      </c>
      <c r="B38" s="67">
        <f>IFERROR(B26/B25,0)</f>
        <v>0.40442363577655793</v>
      </c>
      <c r="C38" s="67">
        <f>IFERROR(C26/C25,0)</f>
        <v>0.24104364477778664</v>
      </c>
      <c r="D38" s="35">
        <f>IFERROR(D26/D25,0)</f>
        <v>0.22632805671554823</v>
      </c>
      <c r="E38" s="67">
        <f t="shared" ref="E38:Q38" si="55">IFERROR(E26/E25,0)</f>
        <v>0.12807065967430306</v>
      </c>
      <c r="F38" s="67">
        <f t="shared" si="55"/>
        <v>0.2</v>
      </c>
      <c r="G38" s="67">
        <f t="shared" si="55"/>
        <v>0.2</v>
      </c>
      <c r="H38" s="67">
        <f t="shared" si="55"/>
        <v>0.2</v>
      </c>
      <c r="I38" s="67">
        <f t="shared" si="55"/>
        <v>0.2</v>
      </c>
      <c r="J38" s="67">
        <f t="shared" si="55"/>
        <v>0.2</v>
      </c>
      <c r="K38" s="67">
        <f t="shared" si="55"/>
        <v>0.19999999999999998</v>
      </c>
      <c r="L38" s="67">
        <f t="shared" si="55"/>
        <v>0.20000000000000004</v>
      </c>
      <c r="M38" s="67">
        <f t="shared" si="55"/>
        <v>0.2</v>
      </c>
      <c r="N38" s="67">
        <f t="shared" si="55"/>
        <v>0.2</v>
      </c>
      <c r="O38" s="67">
        <f t="shared" si="55"/>
        <v>0.2</v>
      </c>
      <c r="P38" s="67">
        <f t="shared" si="55"/>
        <v>0.2</v>
      </c>
      <c r="Q38" s="67">
        <f t="shared" si="55"/>
        <v>0.2</v>
      </c>
      <c r="R38" s="65"/>
      <c r="S38" s="65"/>
      <c r="T38" s="65"/>
      <c r="U38" s="65"/>
      <c r="V38" s="65"/>
    </row>
    <row r="39" spans="1:22" x14ac:dyDescent="0.15">
      <c r="B39" s="66"/>
      <c r="C39" s="66"/>
      <c r="D39" s="14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39"/>
      <c r="S39" s="39"/>
      <c r="T39" s="39"/>
      <c r="U39" s="39"/>
      <c r="V39" s="39"/>
    </row>
    <row r="40" spans="1:22" x14ac:dyDescent="0.15">
      <c r="A40" s="15" t="s">
        <v>33</v>
      </c>
      <c r="B40" s="70">
        <f>Reports!E33</f>
        <v>18434</v>
      </c>
      <c r="C40" s="70">
        <f>Reports!I33</f>
        <v>29449</v>
      </c>
      <c r="D40" s="19">
        <f>Reports!M33</f>
        <v>41711</v>
      </c>
      <c r="E40" s="70">
        <f>Reports!Q33</f>
        <v>41114</v>
      </c>
      <c r="F40" s="70">
        <f>E40+F27</f>
        <v>66736.572</v>
      </c>
      <c r="G40" s="70">
        <f>F40+G27</f>
        <v>99359.156076000014</v>
      </c>
      <c r="H40" s="70">
        <f t="shared" ref="H40:Q40" si="56">G40+H27</f>
        <v>140848.362237108</v>
      </c>
      <c r="I40" s="70">
        <f t="shared" si="56"/>
        <v>193563.79241094238</v>
      </c>
      <c r="J40" s="70">
        <f t="shared" si="56"/>
        <v>260486.88011767523</v>
      </c>
      <c r="K40" s="70">
        <f t="shared" si="56"/>
        <v>327192.67847407173</v>
      </c>
      <c r="L40" s="70">
        <f t="shared" si="56"/>
        <v>393085.87075837341</v>
      </c>
      <c r="M40" s="70">
        <f t="shared" si="56"/>
        <v>457450.34344180033</v>
      </c>
      <c r="N40" s="70">
        <f t="shared" si="56"/>
        <v>519427.63038864976</v>
      </c>
      <c r="O40" s="70">
        <f t="shared" si="56"/>
        <v>577991.44593224663</v>
      </c>
      <c r="P40" s="70">
        <f t="shared" si="56"/>
        <v>631917.57159615739</v>
      </c>
      <c r="Q40" s="70">
        <f t="shared" si="56"/>
        <v>679748.21923297283</v>
      </c>
      <c r="R40" s="52"/>
      <c r="S40" s="52"/>
      <c r="T40" s="52"/>
      <c r="U40" s="52"/>
      <c r="V40" s="52"/>
    </row>
    <row r="41" spans="1:22" x14ac:dyDescent="0.15">
      <c r="A41" s="7" t="s">
        <v>38</v>
      </c>
      <c r="B41" s="71">
        <f>B24/B40</f>
        <v>-1.6816751654551373E-3</v>
      </c>
      <c r="C41" s="71">
        <f>C24/C40</f>
        <v>3.0561309382321979E-3</v>
      </c>
      <c r="D41" s="72">
        <f t="shared" ref="D41:Q41" si="57">D24/D40</f>
        <v>9.3980005274388045E-3</v>
      </c>
      <c r="E41" s="71">
        <f>E24/E40</f>
        <v>1.0896531595077103E-2</v>
      </c>
      <c r="F41" s="71">
        <f t="shared" si="57"/>
        <v>6.1606400760290773E-3</v>
      </c>
      <c r="G41" s="71">
        <f t="shared" si="57"/>
        <v>6.7167007687699226E-3</v>
      </c>
      <c r="H41" s="71">
        <f t="shared" si="57"/>
        <v>7.0543352082955771E-3</v>
      </c>
      <c r="I41" s="71">
        <f t="shared" si="57"/>
        <v>7.2765862087513884E-3</v>
      </c>
      <c r="J41" s="71">
        <f t="shared" si="57"/>
        <v>7.4308461264344572E-3</v>
      </c>
      <c r="K41" s="71">
        <f t="shared" si="57"/>
        <v>7.9612686118927748E-3</v>
      </c>
      <c r="L41" s="71">
        <f t="shared" si="57"/>
        <v>8.3236947144099804E-3</v>
      </c>
      <c r="M41" s="71">
        <f t="shared" si="57"/>
        <v>8.5929735630067179E-3</v>
      </c>
      <c r="N41" s="71">
        <f t="shared" si="57"/>
        <v>8.8068157463923047E-3</v>
      </c>
      <c r="O41" s="71">
        <f t="shared" si="57"/>
        <v>8.9867702029890976E-3</v>
      </c>
      <c r="P41" s="71">
        <f t="shared" si="57"/>
        <v>9.146627217095752E-3</v>
      </c>
      <c r="Q41" s="71">
        <f t="shared" si="57"/>
        <v>9.2963475845396475E-3</v>
      </c>
      <c r="R41" s="73"/>
      <c r="S41" s="73"/>
      <c r="T41" s="73"/>
      <c r="U41" s="73"/>
      <c r="V41" s="73"/>
    </row>
    <row r="42" spans="1:22" x14ac:dyDescent="0.15">
      <c r="B42" s="71"/>
      <c r="C42" s="71"/>
      <c r="D42" s="72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73"/>
      <c r="U42" s="73"/>
      <c r="V42" s="73"/>
    </row>
    <row r="43" spans="1:22" x14ac:dyDescent="0.15">
      <c r="A43" s="7" t="s">
        <v>82</v>
      </c>
      <c r="B43" s="71"/>
      <c r="C43" s="71"/>
      <c r="D43" s="34">
        <f>Reports!M45</f>
        <v>0.21430588994848482</v>
      </c>
      <c r="E43" s="79">
        <f>Reports!Q45</f>
        <v>0.2628525919146053</v>
      </c>
      <c r="F43" s="79"/>
      <c r="G43" s="79"/>
      <c r="H43" s="79"/>
      <c r="I43" s="79"/>
      <c r="J43" s="71"/>
      <c r="K43" s="71"/>
      <c r="L43" s="71"/>
      <c r="M43" s="71"/>
      <c r="N43" s="71"/>
      <c r="O43" s="71"/>
      <c r="P43" s="71"/>
      <c r="Q43" s="71"/>
      <c r="R43" s="73"/>
      <c r="S43" s="73"/>
      <c r="T43" s="73"/>
      <c r="U43" s="73"/>
      <c r="V43" s="73"/>
    </row>
    <row r="44" spans="1:22" x14ac:dyDescent="0.15">
      <c r="A44" s="7" t="s">
        <v>83</v>
      </c>
      <c r="B44" s="71"/>
      <c r="C44" s="71"/>
      <c r="D44" s="34">
        <f>Reports!M46</f>
        <v>0.18850267379679145</v>
      </c>
      <c r="E44" s="79">
        <f>Reports!Q46</f>
        <v>0.22718680009041034</v>
      </c>
      <c r="F44" s="79"/>
      <c r="G44" s="79"/>
      <c r="H44" s="79"/>
      <c r="I44" s="79"/>
      <c r="J44" s="71"/>
      <c r="K44" s="71"/>
      <c r="L44" s="71"/>
      <c r="M44" s="71"/>
      <c r="N44" s="71"/>
      <c r="O44" s="71"/>
      <c r="P44" s="71"/>
      <c r="Q44" s="71"/>
      <c r="R44" s="73"/>
      <c r="S44" s="73"/>
      <c r="T44" s="73"/>
      <c r="U44" s="73"/>
      <c r="V44" s="73"/>
    </row>
    <row r="45" spans="1:22" x14ac:dyDescent="0.15">
      <c r="A45" s="7" t="s">
        <v>84</v>
      </c>
      <c r="B45" s="71"/>
      <c r="C45" s="71"/>
      <c r="D45" s="34">
        <f>Reports!M47</f>
        <v>0.29373916890970098</v>
      </c>
      <c r="E45" s="79">
        <f>Reports!Q47</f>
        <v>0.34266720386784849</v>
      </c>
      <c r="F45" s="79"/>
      <c r="G45" s="79"/>
      <c r="H45" s="79"/>
      <c r="I45" s="79"/>
      <c r="J45" s="71"/>
      <c r="K45" s="71"/>
      <c r="L45" s="71"/>
      <c r="M45" s="71"/>
      <c r="N45" s="71"/>
      <c r="O45" s="71"/>
      <c r="P45" s="71"/>
      <c r="Q45" s="71"/>
      <c r="R45" s="73"/>
      <c r="S45" s="73"/>
      <c r="T45" s="73"/>
      <c r="U45" s="73"/>
      <c r="V45" s="73"/>
    </row>
    <row r="46" spans="1:22" x14ac:dyDescent="0.15">
      <c r="A46" s="7" t="s">
        <v>85</v>
      </c>
      <c r="B46" s="73"/>
      <c r="C46" s="73"/>
      <c r="D46" s="75">
        <f>Reports!M48</f>
        <v>0.70164699665316188</v>
      </c>
      <c r="E46" s="79">
        <f>Reports!Q48</f>
        <v>0.6037679180887372</v>
      </c>
      <c r="F46" s="51"/>
      <c r="G46" s="51"/>
      <c r="H46" s="51"/>
      <c r="I46" s="51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x14ac:dyDescent="0.15">
      <c r="B47" s="73"/>
      <c r="C47" s="73"/>
      <c r="D47" s="74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x14ac:dyDescent="0.15">
      <c r="A48" s="7" t="s">
        <v>76</v>
      </c>
      <c r="C48" s="51">
        <f>C13/B13-1</f>
        <v>0.18269230769230771</v>
      </c>
      <c r="D48" s="75">
        <f>D13/C13-1</f>
        <v>0.13821138211382111</v>
      </c>
      <c r="E48" s="51">
        <f t="shared" ref="E48:I48" si="58">E13/D13-1</f>
        <v>8.5714285714285632E-2</v>
      </c>
      <c r="F48" s="51">
        <f t="shared" si="58"/>
        <v>2.0000000000000018E-2</v>
      </c>
      <c r="G48" s="51">
        <f t="shared" si="58"/>
        <v>2.0000000000000018E-2</v>
      </c>
      <c r="H48" s="51">
        <f t="shared" si="58"/>
        <v>2.0000000000000018E-2</v>
      </c>
      <c r="I48" s="51">
        <f t="shared" si="58"/>
        <v>2.0000000000000018E-2</v>
      </c>
    </row>
    <row r="49" spans="1:9" x14ac:dyDescent="0.15">
      <c r="A49" s="7" t="s">
        <v>78</v>
      </c>
      <c r="C49" s="51">
        <f>C14/B14-1</f>
        <v>0.30354858298401677</v>
      </c>
      <c r="D49" s="75">
        <f>D14/C14-1</f>
        <v>0.29229916367733866</v>
      </c>
      <c r="E49" s="51">
        <f t="shared" ref="E49:I49" si="59">E14/D14-1</f>
        <v>0.26509081352188679</v>
      </c>
      <c r="F49" s="51">
        <f t="shared" si="59"/>
        <v>0.25</v>
      </c>
      <c r="G49" s="51">
        <f t="shared" si="59"/>
        <v>0.25</v>
      </c>
      <c r="H49" s="51">
        <f t="shared" si="59"/>
        <v>0.25</v>
      </c>
      <c r="I49" s="51">
        <f t="shared" si="59"/>
        <v>0.25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workbookViewId="0">
      <pane xSplit="1" ySplit="2" topLeftCell="K22" activePane="bottomRight" state="frozen"/>
      <selection pane="topRight" activeCell="B1" sqref="B1"/>
      <selection pane="bottomLeft" activeCell="A3" sqref="A3"/>
      <selection pane="bottomRight" activeCell="R25" sqref="R25"/>
    </sheetView>
  </sheetViews>
  <sheetFormatPr baseColWidth="10" defaultRowHeight="13" x14ac:dyDescent="0.15"/>
  <cols>
    <col min="1" max="1" width="17.5" style="7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16384" width="10.83203125" style="7"/>
  </cols>
  <sheetData>
    <row r="1" spans="1:18" x14ac:dyDescent="0.15">
      <c r="A1" s="1" t="s">
        <v>60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</row>
    <row r="2" spans="1:18" x14ac:dyDescent="0.15">
      <c r="A2" s="1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</row>
    <row r="3" spans="1:18" x14ac:dyDescent="0.15">
      <c r="A3" s="7" t="s">
        <v>58</v>
      </c>
      <c r="B3" s="5">
        <v>3317</v>
      </c>
      <c r="C3" s="5">
        <v>3827</v>
      </c>
      <c r="D3" s="5">
        <v>4299</v>
      </c>
      <c r="E3" s="5">
        <v>5637</v>
      </c>
      <c r="F3" s="4">
        <v>5201</v>
      </c>
      <c r="G3" s="5">
        <v>6239</v>
      </c>
      <c r="H3" s="5">
        <v>6816</v>
      </c>
      <c r="I3" s="5">
        <v>8629</v>
      </c>
      <c r="J3" s="4">
        <v>7857</v>
      </c>
      <c r="K3" s="8">
        <v>9164</v>
      </c>
      <c r="L3" s="8">
        <v>10142</v>
      </c>
      <c r="M3" s="8">
        <v>12779</v>
      </c>
      <c r="N3" s="4">
        <v>11795</v>
      </c>
      <c r="O3" s="8">
        <v>13038</v>
      </c>
      <c r="P3" s="8">
        <v>13539</v>
      </c>
      <c r="Q3" s="9">
        <v>16640</v>
      </c>
    </row>
    <row r="4" spans="1:18" x14ac:dyDescent="0.15">
      <c r="A4" s="7" t="s">
        <v>75</v>
      </c>
      <c r="B4" s="5">
        <v>226</v>
      </c>
      <c r="C4" s="5">
        <v>215</v>
      </c>
      <c r="D4" s="5">
        <v>202</v>
      </c>
      <c r="E4" s="5">
        <v>204</v>
      </c>
      <c r="F4" s="4">
        <v>181</v>
      </c>
      <c r="G4" s="5">
        <v>197</v>
      </c>
      <c r="H4" s="5">
        <v>195</v>
      </c>
      <c r="I4" s="5">
        <v>180</v>
      </c>
      <c r="J4" s="4">
        <v>175</v>
      </c>
      <c r="K4" s="8">
        <v>157</v>
      </c>
      <c r="L4" s="8">
        <v>186</v>
      </c>
      <c r="M4" s="8">
        <v>193</v>
      </c>
      <c r="N4" s="4">
        <v>171</v>
      </c>
      <c r="O4" s="8">
        <v>193</v>
      </c>
      <c r="P4" s="8">
        <v>188</v>
      </c>
      <c r="Q4" s="9">
        <v>274</v>
      </c>
    </row>
    <row r="5" spans="1:18" x14ac:dyDescent="0.15">
      <c r="B5" s="5"/>
      <c r="C5" s="5"/>
      <c r="D5" s="5"/>
      <c r="E5" s="5"/>
      <c r="F5" s="4"/>
      <c r="G5" s="5"/>
      <c r="H5" s="5"/>
      <c r="I5" s="5"/>
      <c r="J5" s="4"/>
      <c r="K5" s="8"/>
      <c r="L5" s="8"/>
      <c r="M5" s="8"/>
      <c r="N5" s="4"/>
      <c r="O5" s="8"/>
      <c r="P5" s="8"/>
      <c r="Q5" s="9"/>
    </row>
    <row r="6" spans="1:18" x14ac:dyDescent="0.15">
      <c r="A6" s="7" t="s">
        <v>59</v>
      </c>
      <c r="B6" s="5">
        <v>936</v>
      </c>
      <c r="C6" s="5">
        <v>968</v>
      </c>
      <c r="D6" s="5">
        <v>1010</v>
      </c>
      <c r="E6" s="5">
        <v>1040</v>
      </c>
      <c r="F6" s="4">
        <v>1090</v>
      </c>
      <c r="G6" s="5">
        <v>1130</v>
      </c>
      <c r="H6" s="5">
        <v>1180</v>
      </c>
      <c r="I6" s="5">
        <v>1230</v>
      </c>
      <c r="J6" s="4">
        <v>1280</v>
      </c>
      <c r="K6" s="5">
        <v>1320</v>
      </c>
      <c r="L6" s="5">
        <v>1370</v>
      </c>
      <c r="M6" s="5">
        <v>1400</v>
      </c>
      <c r="N6" s="4">
        <v>1450</v>
      </c>
      <c r="O6" s="5">
        <v>1470</v>
      </c>
      <c r="P6" s="5">
        <v>1490</v>
      </c>
      <c r="Q6" s="10">
        <v>1520</v>
      </c>
    </row>
    <row r="7" spans="1:18" x14ac:dyDescent="0.15">
      <c r="A7" s="7" t="s">
        <v>77</v>
      </c>
      <c r="B7" s="11">
        <f>SUM(B3:B4)/B6</f>
        <v>3.7852564102564101</v>
      </c>
      <c r="C7" s="11">
        <f t="shared" ref="C7:M7" si="0">C9/C6</f>
        <v>4.1756198347107434</v>
      </c>
      <c r="D7" s="11">
        <f t="shared" si="0"/>
        <v>4.4564356435643564</v>
      </c>
      <c r="E7" s="11">
        <f t="shared" si="0"/>
        <v>5.6163461538461537</v>
      </c>
      <c r="F7" s="12">
        <f t="shared" si="0"/>
        <v>4.9376146788990827</v>
      </c>
      <c r="G7" s="11">
        <f t="shared" si="0"/>
        <v>5.6955752212389381</v>
      </c>
      <c r="H7" s="11">
        <f t="shared" si="0"/>
        <v>5.9415254237288133</v>
      </c>
      <c r="I7" s="11">
        <f t="shared" si="0"/>
        <v>7.1617886178861792</v>
      </c>
      <c r="J7" s="12">
        <f t="shared" si="0"/>
        <v>6.2750000000000004</v>
      </c>
      <c r="K7" s="11">
        <f t="shared" si="0"/>
        <v>7.0613636363636365</v>
      </c>
      <c r="L7" s="11">
        <f t="shared" si="0"/>
        <v>7.5386861313868616</v>
      </c>
      <c r="M7" s="11">
        <f t="shared" si="0"/>
        <v>9.2657142857142851</v>
      </c>
      <c r="N7" s="12">
        <f>SUM(N3:N4)/N6</f>
        <v>8.2524137931034485</v>
      </c>
      <c r="O7" s="24">
        <f>SUM(O3:O4)/O6</f>
        <v>9.000680272108843</v>
      </c>
      <c r="P7" s="24">
        <f>SUM(P3:P4)/P6</f>
        <v>9.2127516778523493</v>
      </c>
      <c r="Q7" s="24">
        <f>SUM(Q3:Q4)/Q6</f>
        <v>11.127631578947369</v>
      </c>
    </row>
    <row r="8" spans="1:18" x14ac:dyDescent="0.15">
      <c r="I8" s="5"/>
      <c r="K8" s="13"/>
      <c r="L8" s="13"/>
      <c r="M8" s="13"/>
      <c r="O8" s="13"/>
      <c r="P8" s="13"/>
      <c r="Q8" s="14"/>
    </row>
    <row r="9" spans="1:18" s="15" customFormat="1" x14ac:dyDescent="0.15">
      <c r="A9" s="15" t="s">
        <v>4</v>
      </c>
      <c r="B9" s="16">
        <f>SUM(B3:B4)</f>
        <v>3543</v>
      </c>
      <c r="C9" s="16">
        <f>SUM(C3:C4)</f>
        <v>4042</v>
      </c>
      <c r="D9" s="16">
        <f t="shared" ref="D9:L9" si="1">SUM(D3:D4)</f>
        <v>4501</v>
      </c>
      <c r="E9" s="16">
        <f t="shared" si="1"/>
        <v>5841</v>
      </c>
      <c r="F9" s="17">
        <f t="shared" si="1"/>
        <v>5382</v>
      </c>
      <c r="G9" s="18">
        <f t="shared" si="1"/>
        <v>6436</v>
      </c>
      <c r="H9" s="18">
        <f t="shared" si="1"/>
        <v>7011</v>
      </c>
      <c r="I9" s="18">
        <f t="shared" si="1"/>
        <v>8809</v>
      </c>
      <c r="J9" s="17">
        <f t="shared" si="1"/>
        <v>8032</v>
      </c>
      <c r="K9" s="16">
        <f t="shared" si="1"/>
        <v>9321</v>
      </c>
      <c r="L9" s="16">
        <f t="shared" si="1"/>
        <v>10328</v>
      </c>
      <c r="M9" s="16">
        <f>SUM(M3:M4)</f>
        <v>12972</v>
      </c>
      <c r="N9" s="17">
        <f t="shared" ref="N9:P9" si="2">SUM(N3:N4)</f>
        <v>11966</v>
      </c>
      <c r="O9" s="16">
        <f t="shared" si="2"/>
        <v>13231</v>
      </c>
      <c r="P9" s="16">
        <f t="shared" si="2"/>
        <v>13727</v>
      </c>
      <c r="Q9" s="16">
        <f>SUM(Q3:Q4)</f>
        <v>16914</v>
      </c>
      <c r="R9" s="20"/>
    </row>
    <row r="10" spans="1:18" x14ac:dyDescent="0.15">
      <c r="A10" s="7" t="s">
        <v>5</v>
      </c>
      <c r="B10" s="8">
        <v>654</v>
      </c>
      <c r="C10" s="8">
        <v>668</v>
      </c>
      <c r="D10" s="8">
        <v>720</v>
      </c>
      <c r="E10" s="8">
        <v>824</v>
      </c>
      <c r="F10" s="4">
        <v>838</v>
      </c>
      <c r="G10" s="5">
        <v>916</v>
      </c>
      <c r="H10" s="5">
        <v>987</v>
      </c>
      <c r="I10" s="5">
        <v>1047</v>
      </c>
      <c r="J10" s="4">
        <v>1159</v>
      </c>
      <c r="K10" s="8">
        <v>1237</v>
      </c>
      <c r="L10" s="8">
        <v>1448</v>
      </c>
      <c r="M10" s="8">
        <v>1611</v>
      </c>
      <c r="N10" s="4">
        <v>1927</v>
      </c>
      <c r="O10" s="8">
        <v>2214</v>
      </c>
      <c r="P10" s="8">
        <v>2418</v>
      </c>
      <c r="Q10" s="9">
        <v>2796</v>
      </c>
    </row>
    <row r="11" spans="1:18" x14ac:dyDescent="0.15">
      <c r="A11" s="7" t="s">
        <v>6</v>
      </c>
      <c r="B11" s="21">
        <f>B9-B10</f>
        <v>2889</v>
      </c>
      <c r="C11" s="21">
        <f>C9-C10</f>
        <v>3374</v>
      </c>
      <c r="D11" s="21">
        <f>D9-D10</f>
        <v>3781</v>
      </c>
      <c r="E11" s="21">
        <f>E9-E10</f>
        <v>5017</v>
      </c>
      <c r="F11" s="22">
        <f>F9-F10</f>
        <v>4544</v>
      </c>
      <c r="G11" s="23">
        <f t="shared" ref="G11:L11" si="3">G9-G10</f>
        <v>5520</v>
      </c>
      <c r="H11" s="23">
        <f t="shared" si="3"/>
        <v>6024</v>
      </c>
      <c r="I11" s="23">
        <f t="shared" si="3"/>
        <v>7762</v>
      </c>
      <c r="J11" s="22">
        <f t="shared" si="3"/>
        <v>6873</v>
      </c>
      <c r="K11" s="21">
        <f t="shared" si="3"/>
        <v>8084</v>
      </c>
      <c r="L11" s="21">
        <f t="shared" si="3"/>
        <v>8880</v>
      </c>
      <c r="M11" s="21">
        <f t="shared" ref="M11:Q11" si="4">M9-M10</f>
        <v>11361</v>
      </c>
      <c r="N11" s="22">
        <f t="shared" si="4"/>
        <v>10039</v>
      </c>
      <c r="O11" s="21">
        <f t="shared" si="4"/>
        <v>11017</v>
      </c>
      <c r="P11" s="21">
        <f t="shared" si="4"/>
        <v>11309</v>
      </c>
      <c r="Q11" s="21">
        <f t="shared" si="4"/>
        <v>14118</v>
      </c>
    </row>
    <row r="12" spans="1:18" x14ac:dyDescent="0.15">
      <c r="A12" s="7" t="s">
        <v>7</v>
      </c>
      <c r="B12" s="8">
        <v>1062</v>
      </c>
      <c r="C12" s="8">
        <v>1170</v>
      </c>
      <c r="D12" s="8">
        <v>1271</v>
      </c>
      <c r="E12" s="8">
        <v>1314</v>
      </c>
      <c r="F12" s="4">
        <v>1343</v>
      </c>
      <c r="G12" s="5">
        <v>1463</v>
      </c>
      <c r="H12" s="5">
        <v>1539</v>
      </c>
      <c r="I12" s="5">
        <v>1563</v>
      </c>
      <c r="J12" s="4">
        <v>1834</v>
      </c>
      <c r="K12" s="8">
        <v>1919</v>
      </c>
      <c r="L12" s="8">
        <v>2052</v>
      </c>
      <c r="M12" s="8">
        <v>1949</v>
      </c>
      <c r="N12" s="4">
        <v>2238</v>
      </c>
      <c r="O12" s="8">
        <v>2523</v>
      </c>
      <c r="P12" s="8">
        <v>2657</v>
      </c>
      <c r="Q12" s="9">
        <v>2855</v>
      </c>
    </row>
    <row r="13" spans="1:18" x14ac:dyDescent="0.15">
      <c r="A13" s="7" t="s">
        <v>8</v>
      </c>
      <c r="B13" s="8">
        <v>620</v>
      </c>
      <c r="C13" s="8">
        <v>626</v>
      </c>
      <c r="D13" s="8">
        <v>706</v>
      </c>
      <c r="E13" s="8">
        <v>772</v>
      </c>
      <c r="F13" s="4">
        <v>826</v>
      </c>
      <c r="G13" s="5">
        <v>899</v>
      </c>
      <c r="H13" s="5">
        <v>925</v>
      </c>
      <c r="I13" s="5">
        <v>1118</v>
      </c>
      <c r="J13" s="4">
        <v>1057</v>
      </c>
      <c r="K13" s="8">
        <v>1124</v>
      </c>
      <c r="L13" s="8">
        <v>1170</v>
      </c>
      <c r="M13" s="8">
        <v>1374</v>
      </c>
      <c r="N13" s="4">
        <v>1595</v>
      </c>
      <c r="O13" s="8">
        <v>1855</v>
      </c>
      <c r="P13" s="8">
        <v>1928</v>
      </c>
      <c r="Q13" s="9">
        <v>2467</v>
      </c>
    </row>
    <row r="14" spans="1:18" x14ac:dyDescent="0.15">
      <c r="A14" s="7" t="s">
        <v>9</v>
      </c>
      <c r="B14" s="8">
        <v>274</v>
      </c>
      <c r="C14" s="8">
        <v>305</v>
      </c>
      <c r="D14" s="8">
        <v>345</v>
      </c>
      <c r="E14" s="8">
        <v>371</v>
      </c>
      <c r="F14" s="4">
        <v>366</v>
      </c>
      <c r="G14" s="5">
        <v>412</v>
      </c>
      <c r="H14" s="5">
        <v>438</v>
      </c>
      <c r="I14" s="5">
        <v>515</v>
      </c>
      <c r="J14" s="4">
        <v>655</v>
      </c>
      <c r="K14" s="8">
        <v>640</v>
      </c>
      <c r="L14" s="8">
        <v>536</v>
      </c>
      <c r="M14" s="8">
        <v>686</v>
      </c>
      <c r="N14" s="4">
        <v>757</v>
      </c>
      <c r="O14" s="8">
        <v>776</v>
      </c>
      <c r="P14" s="8">
        <v>943</v>
      </c>
      <c r="Q14" s="9">
        <v>976</v>
      </c>
    </row>
    <row r="15" spans="1:18" x14ac:dyDescent="0.15">
      <c r="A15" s="7" t="s">
        <v>10</v>
      </c>
      <c r="B15" s="21">
        <f>SUM(B12:B14)</f>
        <v>1956</v>
      </c>
      <c r="C15" s="21">
        <f>SUM(C12:C14)</f>
        <v>2101</v>
      </c>
      <c r="D15" s="21">
        <f>SUM(D12:D14)</f>
        <v>2322</v>
      </c>
      <c r="E15" s="21">
        <f>SUM(E12:E14)</f>
        <v>2457</v>
      </c>
      <c r="F15" s="22">
        <f>SUM(F12:F14)</f>
        <v>2535</v>
      </c>
      <c r="G15" s="23">
        <f t="shared" ref="G15:L15" si="5">SUM(G12:G14)</f>
        <v>2774</v>
      </c>
      <c r="H15" s="23">
        <f t="shared" si="5"/>
        <v>2902</v>
      </c>
      <c r="I15" s="23">
        <f t="shared" si="5"/>
        <v>3196</v>
      </c>
      <c r="J15" s="22">
        <f t="shared" si="5"/>
        <v>3546</v>
      </c>
      <c r="K15" s="21">
        <f t="shared" si="5"/>
        <v>3683</v>
      </c>
      <c r="L15" s="21">
        <f t="shared" si="5"/>
        <v>3758</v>
      </c>
      <c r="M15" s="21">
        <f>SUM(M12:M14)</f>
        <v>4009</v>
      </c>
      <c r="N15" s="22">
        <f t="shared" ref="N15:P15" si="6">SUM(N12:N14)</f>
        <v>4590</v>
      </c>
      <c r="O15" s="21">
        <f t="shared" si="6"/>
        <v>5154</v>
      </c>
      <c r="P15" s="21">
        <f t="shared" si="6"/>
        <v>5528</v>
      </c>
      <c r="Q15" s="21">
        <f t="shared" ref="Q15" si="7">SUM(Q12:Q14)</f>
        <v>6298</v>
      </c>
    </row>
    <row r="16" spans="1:18" x14ac:dyDescent="0.15">
      <c r="A16" s="7" t="s">
        <v>11</v>
      </c>
      <c r="B16" s="21">
        <f>B11-B15</f>
        <v>933</v>
      </c>
      <c r="C16" s="21">
        <f>C11-C15</f>
        <v>1273</v>
      </c>
      <c r="D16" s="21">
        <f>D11-D15</f>
        <v>1459</v>
      </c>
      <c r="E16" s="21">
        <f>E11-E15</f>
        <v>2560</v>
      </c>
      <c r="F16" s="22">
        <f>F11-F15</f>
        <v>2009</v>
      </c>
      <c r="G16" s="23">
        <f t="shared" ref="G16:H16" si="8">G11-G15</f>
        <v>2746</v>
      </c>
      <c r="H16" s="23">
        <f t="shared" si="8"/>
        <v>3122</v>
      </c>
      <c r="I16" s="23">
        <f t="shared" ref="I16:P16" si="9">I11-I15</f>
        <v>4566</v>
      </c>
      <c r="J16" s="22">
        <f t="shared" si="9"/>
        <v>3327</v>
      </c>
      <c r="K16" s="21">
        <f t="shared" si="9"/>
        <v>4401</v>
      </c>
      <c r="L16" s="21">
        <f t="shared" si="9"/>
        <v>5122</v>
      </c>
      <c r="M16" s="21">
        <f t="shared" si="9"/>
        <v>7352</v>
      </c>
      <c r="N16" s="22">
        <f t="shared" si="9"/>
        <v>5449</v>
      </c>
      <c r="O16" s="21">
        <f t="shared" si="9"/>
        <v>5863</v>
      </c>
      <c r="P16" s="21">
        <f t="shared" si="9"/>
        <v>5781</v>
      </c>
      <c r="Q16" s="21">
        <f t="shared" ref="Q16" si="10">Q11-Q15</f>
        <v>7820</v>
      </c>
    </row>
    <row r="17" spans="1:18" x14ac:dyDescent="0.15">
      <c r="A17" s="7" t="s">
        <v>12</v>
      </c>
      <c r="B17" s="8">
        <v>-1</v>
      </c>
      <c r="C17" s="8">
        <v>0</v>
      </c>
      <c r="D17" s="8">
        <v>-27</v>
      </c>
      <c r="E17" s="8">
        <v>-3</v>
      </c>
      <c r="F17" s="4">
        <v>56</v>
      </c>
      <c r="G17" s="5">
        <v>20</v>
      </c>
      <c r="H17" s="5">
        <v>47</v>
      </c>
      <c r="I17" s="5">
        <v>-33</v>
      </c>
      <c r="J17" s="4">
        <v>81</v>
      </c>
      <c r="K17" s="8">
        <v>87</v>
      </c>
      <c r="L17" s="8">
        <v>114</v>
      </c>
      <c r="M17" s="8">
        <v>110</v>
      </c>
      <c r="N17" s="4">
        <v>161</v>
      </c>
      <c r="O17" s="8">
        <v>5</v>
      </c>
      <c r="P17" s="8">
        <v>131</v>
      </c>
      <c r="Q17" s="9">
        <v>151</v>
      </c>
    </row>
    <row r="18" spans="1:18" x14ac:dyDescent="0.15">
      <c r="A18" s="7" t="s">
        <v>13</v>
      </c>
      <c r="B18" s="21">
        <f>B16+B17</f>
        <v>932</v>
      </c>
      <c r="C18" s="21">
        <f>C16+C17</f>
        <v>1273</v>
      </c>
      <c r="D18" s="21">
        <f>D16+D17</f>
        <v>1432</v>
      </c>
      <c r="E18" s="21">
        <f>E16+E17</f>
        <v>2557</v>
      </c>
      <c r="F18" s="22">
        <f>F16+F17</f>
        <v>2065</v>
      </c>
      <c r="G18" s="23">
        <f t="shared" ref="G18:I18" si="11">G16+G17</f>
        <v>2766</v>
      </c>
      <c r="H18" s="23">
        <f t="shared" si="11"/>
        <v>3169</v>
      </c>
      <c r="I18" s="23">
        <f t="shared" si="11"/>
        <v>4533</v>
      </c>
      <c r="J18" s="22">
        <f t="shared" ref="J18:K18" si="12">J16+J17</f>
        <v>3408</v>
      </c>
      <c r="K18" s="21">
        <f t="shared" si="12"/>
        <v>4488</v>
      </c>
      <c r="L18" s="21">
        <f t="shared" ref="L18:O18" si="13">L16+L17</f>
        <v>5236</v>
      </c>
      <c r="M18" s="21">
        <f t="shared" si="13"/>
        <v>7462</v>
      </c>
      <c r="N18" s="22">
        <f t="shared" si="13"/>
        <v>5610</v>
      </c>
      <c r="O18" s="21">
        <f t="shared" si="13"/>
        <v>5868</v>
      </c>
      <c r="P18" s="21">
        <f t="shared" ref="P18:Q18" si="14">P16+P17</f>
        <v>5912</v>
      </c>
      <c r="Q18" s="21">
        <f t="shared" si="14"/>
        <v>7971</v>
      </c>
    </row>
    <row r="19" spans="1:18" x14ac:dyDescent="0.15">
      <c r="A19" s="7" t="s">
        <v>14</v>
      </c>
      <c r="B19" s="8">
        <v>420</v>
      </c>
      <c r="C19" s="8">
        <v>554</v>
      </c>
      <c r="D19" s="8">
        <v>536</v>
      </c>
      <c r="E19" s="8">
        <v>995</v>
      </c>
      <c r="F19" s="4">
        <v>555</v>
      </c>
      <c r="G19" s="5">
        <v>711</v>
      </c>
      <c r="H19" s="5">
        <v>790</v>
      </c>
      <c r="I19" s="5">
        <v>965</v>
      </c>
      <c r="J19" s="4">
        <v>344</v>
      </c>
      <c r="K19" s="8">
        <v>594</v>
      </c>
      <c r="L19" s="8">
        <v>529</v>
      </c>
      <c r="M19" s="8">
        <v>3194</v>
      </c>
      <c r="N19" s="4">
        <v>622</v>
      </c>
      <c r="O19" s="8">
        <v>762</v>
      </c>
      <c r="P19" s="8">
        <v>775</v>
      </c>
      <c r="Q19" s="9">
        <v>1089</v>
      </c>
    </row>
    <row r="20" spans="1:18" s="15" customFormat="1" x14ac:dyDescent="0.15">
      <c r="A20" s="15" t="s">
        <v>15</v>
      </c>
      <c r="B20" s="16">
        <f>B18-B19</f>
        <v>512</v>
      </c>
      <c r="C20" s="16">
        <f>C18-C19</f>
        <v>719</v>
      </c>
      <c r="D20" s="16">
        <f>D18-D19</f>
        <v>896</v>
      </c>
      <c r="E20" s="16">
        <f>E18-E19</f>
        <v>1562</v>
      </c>
      <c r="F20" s="17">
        <f>F18-F19</f>
        <v>1510</v>
      </c>
      <c r="G20" s="18">
        <f t="shared" ref="G20:H20" si="15">G18-G19</f>
        <v>2055</v>
      </c>
      <c r="H20" s="18">
        <f t="shared" si="15"/>
        <v>2379</v>
      </c>
      <c r="I20" s="18">
        <f t="shared" ref="I20:P20" si="16">I18-I19</f>
        <v>3568</v>
      </c>
      <c r="J20" s="17">
        <f t="shared" si="16"/>
        <v>3064</v>
      </c>
      <c r="K20" s="16">
        <f t="shared" si="16"/>
        <v>3894</v>
      </c>
      <c r="L20" s="16">
        <f t="shared" si="16"/>
        <v>4707</v>
      </c>
      <c r="M20" s="16">
        <f t="shared" si="16"/>
        <v>4268</v>
      </c>
      <c r="N20" s="17">
        <f t="shared" si="16"/>
        <v>4988</v>
      </c>
      <c r="O20" s="16">
        <f t="shared" si="16"/>
        <v>5106</v>
      </c>
      <c r="P20" s="16">
        <f t="shared" si="16"/>
        <v>5137</v>
      </c>
      <c r="Q20" s="16">
        <f t="shared" ref="Q20" si="17">Q18-Q19</f>
        <v>6882</v>
      </c>
      <c r="R20" s="20"/>
    </row>
    <row r="21" spans="1:18" x14ac:dyDescent="0.15">
      <c r="A21" s="7" t="s">
        <v>16</v>
      </c>
      <c r="B21" s="24">
        <f t="shared" ref="B21:H21" si="18">IFERROR(B20/B22,0)</f>
        <v>0.18053596614950634</v>
      </c>
      <c r="C21" s="24">
        <f t="shared" si="18"/>
        <v>0.25228070175438594</v>
      </c>
      <c r="D21" s="24">
        <f t="shared" si="18"/>
        <v>0.31295843520782396</v>
      </c>
      <c r="E21" s="24">
        <f t="shared" si="18"/>
        <v>0.54273801250868658</v>
      </c>
      <c r="F21" s="12">
        <f t="shared" si="18"/>
        <v>0.52285318559556782</v>
      </c>
      <c r="G21" s="11">
        <f t="shared" si="18"/>
        <v>0.7076446280991735</v>
      </c>
      <c r="H21" s="11">
        <f t="shared" si="18"/>
        <v>0.81612349914236704</v>
      </c>
      <c r="I21" s="11">
        <f t="shared" ref="I21:L21" si="19">IFERROR(I20/I22,0)</f>
        <v>1.2144315861130019</v>
      </c>
      <c r="J21" s="12">
        <f t="shared" si="19"/>
        <v>1.0407608695652173</v>
      </c>
      <c r="K21" s="24">
        <f t="shared" si="19"/>
        <v>1.3195526940020332</v>
      </c>
      <c r="L21" s="24">
        <f t="shared" si="19"/>
        <v>1.5923545331529094</v>
      </c>
      <c r="M21" s="24">
        <f t="shared" ref="M21:P21" si="20">IFERROR(M20/M22,0)</f>
        <v>1.4691910499139416</v>
      </c>
      <c r="N21" s="12">
        <f t="shared" si="20"/>
        <v>1.6937181663837011</v>
      </c>
      <c r="O21" s="24">
        <f t="shared" si="20"/>
        <v>1.7426621160409557</v>
      </c>
      <c r="P21" s="24">
        <f t="shared" si="20"/>
        <v>1.7634740817027119</v>
      </c>
      <c r="Q21" s="24">
        <f t="shared" ref="Q21" si="21">IFERROR(Q20/Q22,0)</f>
        <v>2.3846153846153846</v>
      </c>
    </row>
    <row r="22" spans="1:18" x14ac:dyDescent="0.15">
      <c r="A22" s="7" t="s">
        <v>17</v>
      </c>
      <c r="B22" s="8">
        <v>2836</v>
      </c>
      <c r="C22" s="8">
        <v>2850</v>
      </c>
      <c r="D22" s="8">
        <v>2863</v>
      </c>
      <c r="E22" s="8">
        <v>2878</v>
      </c>
      <c r="F22" s="4">
        <v>2888</v>
      </c>
      <c r="G22" s="5">
        <v>2904</v>
      </c>
      <c r="H22" s="5">
        <v>2915</v>
      </c>
      <c r="I22" s="5">
        <v>2938</v>
      </c>
      <c r="J22" s="4">
        <v>2944</v>
      </c>
      <c r="K22" s="8">
        <v>2951</v>
      </c>
      <c r="L22" s="8">
        <v>2956</v>
      </c>
      <c r="M22" s="8">
        <f>2396+509</f>
        <v>2905</v>
      </c>
      <c r="N22" s="4">
        <v>2945</v>
      </c>
      <c r="O22" s="8">
        <v>2930</v>
      </c>
      <c r="P22" s="8">
        <v>2913</v>
      </c>
      <c r="Q22" s="9">
        <v>2886</v>
      </c>
    </row>
    <row r="23" spans="1:18" x14ac:dyDescent="0.15">
      <c r="B23" s="13"/>
      <c r="C23" s="13"/>
      <c r="D23" s="13"/>
      <c r="E23" s="13"/>
      <c r="K23" s="13"/>
      <c r="L23" s="13"/>
      <c r="M23" s="13"/>
      <c r="O23" s="13"/>
      <c r="P23" s="13"/>
      <c r="Q23" s="14"/>
    </row>
    <row r="24" spans="1:18" s="15" customFormat="1" x14ac:dyDescent="0.15">
      <c r="A24" s="15" t="s">
        <v>18</v>
      </c>
      <c r="B24" s="25"/>
      <c r="C24" s="25"/>
      <c r="D24" s="25"/>
      <c r="E24" s="25"/>
      <c r="F24" s="26">
        <f>F9/B9-1</f>
        <v>0.51905165114309915</v>
      </c>
      <c r="G24" s="25">
        <f t="shared" ref="G24:O24" si="22">G9/C9-1</f>
        <v>0.5922810489856507</v>
      </c>
      <c r="H24" s="25">
        <f t="shared" si="22"/>
        <v>0.55765385469895579</v>
      </c>
      <c r="I24" s="25">
        <f t="shared" si="22"/>
        <v>0.5081321691491183</v>
      </c>
      <c r="J24" s="26">
        <f t="shared" si="22"/>
        <v>0.49238201412114457</v>
      </c>
      <c r="K24" s="25">
        <f t="shared" si="22"/>
        <v>0.44825978868862637</v>
      </c>
      <c r="L24" s="25">
        <f t="shared" si="22"/>
        <v>0.47311367850520614</v>
      </c>
      <c r="M24" s="25">
        <f>M9/I9-1</f>
        <v>0.47258485639686687</v>
      </c>
      <c r="N24" s="26">
        <f t="shared" si="22"/>
        <v>0.48979083665338652</v>
      </c>
      <c r="O24" s="25">
        <f t="shared" si="22"/>
        <v>0.41948288810213485</v>
      </c>
      <c r="P24" s="25">
        <f>P9/L9-1</f>
        <v>0.32910534469403574</v>
      </c>
      <c r="Q24" s="25">
        <f>Q9/M9-1</f>
        <v>0.30388529139685483</v>
      </c>
      <c r="R24" s="20"/>
    </row>
    <row r="25" spans="1:18" s="15" customFormat="1" x14ac:dyDescent="0.15">
      <c r="A25" s="7" t="s">
        <v>72</v>
      </c>
      <c r="B25" s="25"/>
      <c r="C25" s="25"/>
      <c r="D25" s="25"/>
      <c r="E25" s="25"/>
      <c r="F25" s="27">
        <f>F12/B12-1</f>
        <v>0.26459510357815441</v>
      </c>
      <c r="G25" s="28">
        <f>G12/C12-1</f>
        <v>0.25042735042735043</v>
      </c>
      <c r="H25" s="28">
        <f t="shared" ref="H25" si="23">H12/D12-1</f>
        <v>0.21085759244689228</v>
      </c>
      <c r="I25" s="28">
        <f t="shared" ref="I25:I27" si="24">I12/E12-1</f>
        <v>0.18949771689497719</v>
      </c>
      <c r="J25" s="27">
        <f t="shared" ref="J25:J27" si="25">J12/F12-1</f>
        <v>0.36559940431868942</v>
      </c>
      <c r="K25" s="28">
        <f t="shared" ref="K25:K27" si="26">K12/G12-1</f>
        <v>0.31168831168831179</v>
      </c>
      <c r="L25" s="28">
        <f t="shared" ref="L25:L27" si="27">L12/H12-1</f>
        <v>0.33333333333333326</v>
      </c>
      <c r="M25" s="28">
        <f t="shared" ref="M25:M27" si="28">M12/I12-1</f>
        <v>0.24696097248880355</v>
      </c>
      <c r="N25" s="27">
        <f t="shared" ref="N25:N27" si="29">N12/J12-1</f>
        <v>0.22028353326063255</v>
      </c>
      <c r="O25" s="28">
        <f t="shared" ref="O25:O27" si="30">O12/K12-1</f>
        <v>0.31474726420010413</v>
      </c>
      <c r="P25" s="28">
        <f t="shared" ref="P25:P27" si="31">P12/L12-1</f>
        <v>0.29483430799220267</v>
      </c>
      <c r="Q25" s="28">
        <f>Q12/M12-1</f>
        <v>0.46485377116469984</v>
      </c>
      <c r="R25" s="20"/>
    </row>
    <row r="26" spans="1:18" s="15" customFormat="1" x14ac:dyDescent="0.15">
      <c r="A26" s="7" t="s">
        <v>73</v>
      </c>
      <c r="B26" s="29"/>
      <c r="C26" s="25"/>
      <c r="D26" s="25"/>
      <c r="E26" s="25"/>
      <c r="F26" s="27">
        <f>F13/B13-1</f>
        <v>0.33225806451612905</v>
      </c>
      <c r="G26" s="28">
        <f t="shared" ref="G26:H26" si="32">G13/C13-1</f>
        <v>0.4361022364217253</v>
      </c>
      <c r="H26" s="28">
        <f t="shared" si="32"/>
        <v>0.31019830028328621</v>
      </c>
      <c r="I26" s="28">
        <f t="shared" si="24"/>
        <v>0.44818652849740936</v>
      </c>
      <c r="J26" s="27">
        <f t="shared" si="25"/>
        <v>0.27966101694915246</v>
      </c>
      <c r="K26" s="28">
        <f t="shared" si="26"/>
        <v>0.25027808676307006</v>
      </c>
      <c r="L26" s="28">
        <f t="shared" si="27"/>
        <v>0.26486486486486482</v>
      </c>
      <c r="M26" s="28">
        <f t="shared" si="28"/>
        <v>0.22898032200357776</v>
      </c>
      <c r="N26" s="27">
        <f t="shared" si="29"/>
        <v>0.50898770104068114</v>
      </c>
      <c r="O26" s="28">
        <f t="shared" si="30"/>
        <v>0.6503558718861211</v>
      </c>
      <c r="P26" s="28">
        <f t="shared" si="31"/>
        <v>0.64786324786324778</v>
      </c>
      <c r="Q26" s="28">
        <f>Q13/M13-1</f>
        <v>0.79548762736535661</v>
      </c>
      <c r="R26" s="20"/>
    </row>
    <row r="27" spans="1:18" s="15" customFormat="1" x14ac:dyDescent="0.15">
      <c r="A27" s="7" t="s">
        <v>74</v>
      </c>
      <c r="B27" s="25"/>
      <c r="C27" s="25"/>
      <c r="D27" s="25"/>
      <c r="E27" s="25"/>
      <c r="F27" s="27">
        <f>F14/B14-1</f>
        <v>0.33576642335766427</v>
      </c>
      <c r="G27" s="28">
        <f t="shared" ref="G27:H27" si="33">G14/C14-1</f>
        <v>0.35081967213114762</v>
      </c>
      <c r="H27" s="28">
        <f t="shared" si="33"/>
        <v>0.26956521739130435</v>
      </c>
      <c r="I27" s="28">
        <f t="shared" si="24"/>
        <v>0.38814016172506749</v>
      </c>
      <c r="J27" s="27">
        <f t="shared" si="25"/>
        <v>0.78961748633879791</v>
      </c>
      <c r="K27" s="28">
        <f t="shared" si="26"/>
        <v>0.55339805825242716</v>
      </c>
      <c r="L27" s="28">
        <f t="shared" si="27"/>
        <v>0.22374429223744285</v>
      </c>
      <c r="M27" s="28">
        <f t="shared" si="28"/>
        <v>0.33203883495145625</v>
      </c>
      <c r="N27" s="27">
        <f t="shared" si="29"/>
        <v>0.1557251908396946</v>
      </c>
      <c r="O27" s="28">
        <f t="shared" si="30"/>
        <v>0.21249999999999991</v>
      </c>
      <c r="P27" s="28">
        <f t="shared" si="31"/>
        <v>0.75932835820895517</v>
      </c>
      <c r="Q27" s="28">
        <f>Q14/M14-1</f>
        <v>0.42274052478134116</v>
      </c>
      <c r="R27" s="20"/>
    </row>
    <row r="28" spans="1:18" x14ac:dyDescent="0.15">
      <c r="B28" s="14"/>
      <c r="C28" s="14"/>
      <c r="D28" s="14"/>
      <c r="E28" s="14"/>
      <c r="F28" s="30"/>
      <c r="G28" s="31"/>
      <c r="H28" s="31"/>
      <c r="I28" s="31"/>
      <c r="J28" s="30"/>
      <c r="K28" s="14"/>
      <c r="L28" s="14"/>
      <c r="M28" s="14"/>
      <c r="N28" s="30"/>
      <c r="O28" s="14"/>
      <c r="P28" s="14"/>
      <c r="Q28" s="14"/>
    </row>
    <row r="29" spans="1:18" x14ac:dyDescent="0.15">
      <c r="A29" s="7" t="s">
        <v>19</v>
      </c>
      <c r="B29" s="32">
        <f>IFERROR(B11/B9,0)</f>
        <v>0.81541066892464009</v>
      </c>
      <c r="C29" s="32">
        <f>IFERROR(C11/C9,0)</f>
        <v>0.83473527956457194</v>
      </c>
      <c r="D29" s="32">
        <f>IFERROR(D11/D9,0)</f>
        <v>0.84003554765607646</v>
      </c>
      <c r="E29" s="32">
        <f>IFERROR(E11/E9,0)</f>
        <v>0.85892826570792669</v>
      </c>
      <c r="F29" s="33">
        <f>IFERROR(F11/F9,0)</f>
        <v>0.84429580081753997</v>
      </c>
      <c r="G29" s="34">
        <f t="shared" ref="G29:K29" si="34">IFERROR(G11/G9,0)</f>
        <v>0.8576755748912368</v>
      </c>
      <c r="H29" s="34">
        <f t="shared" si="34"/>
        <v>0.85922122379118526</v>
      </c>
      <c r="I29" s="34">
        <f t="shared" si="34"/>
        <v>0.88114428425473945</v>
      </c>
      <c r="J29" s="33">
        <f>IFERROR(J11/J9,0)</f>
        <v>0.85570219123505975</v>
      </c>
      <c r="K29" s="32">
        <f t="shared" si="34"/>
        <v>0.86728891749812254</v>
      </c>
      <c r="L29" s="32">
        <f>IFERROR(L11/L9,0)</f>
        <v>0.85979860573199074</v>
      </c>
      <c r="M29" s="32">
        <f t="shared" ref="M29" si="35">IFERROR(M11/M9,0)</f>
        <v>0.87580943570767811</v>
      </c>
      <c r="N29" s="33">
        <f>IFERROR(N11/N9,0)</f>
        <v>0.8389603877653351</v>
      </c>
      <c r="O29" s="32">
        <f t="shared" ref="O29" si="36">IFERROR(O11/O9,0)</f>
        <v>0.83266570931902351</v>
      </c>
      <c r="P29" s="32">
        <f>IFERROR(P11/P9,0)</f>
        <v>0.82385080498288044</v>
      </c>
      <c r="Q29" s="32">
        <f>IFERROR(Q11/Q9,0)</f>
        <v>0.83469315360056762</v>
      </c>
    </row>
    <row r="30" spans="1:18" x14ac:dyDescent="0.15">
      <c r="A30" s="7" t="s">
        <v>20</v>
      </c>
      <c r="B30" s="35">
        <f>IFERROR(B16/B9,0)</f>
        <v>0.26333615580016934</v>
      </c>
      <c r="C30" s="35">
        <f>IFERROR(C16/C9,0)</f>
        <v>0.31494309747649679</v>
      </c>
      <c r="D30" s="35">
        <f>IFERROR(D16/D9,0)</f>
        <v>0.32415018884692293</v>
      </c>
      <c r="E30" s="35">
        <f>IFERROR(E16/E9,0)</f>
        <v>0.43828111624721794</v>
      </c>
      <c r="F30" s="36">
        <f>IFERROR(F16/F9,0)</f>
        <v>0.37328130806391674</v>
      </c>
      <c r="G30" s="37">
        <f t="shared" ref="G30:L30" si="37">IFERROR(G16/G9,0)</f>
        <v>0.42666252330640148</v>
      </c>
      <c r="H30" s="37">
        <f t="shared" si="37"/>
        <v>0.445300242476109</v>
      </c>
      <c r="I30" s="37">
        <f t="shared" si="37"/>
        <v>0.5183335225337723</v>
      </c>
      <c r="J30" s="36">
        <f t="shared" si="37"/>
        <v>0.41421812749003983</v>
      </c>
      <c r="K30" s="35">
        <f t="shared" si="37"/>
        <v>0.47215963952365625</v>
      </c>
      <c r="L30" s="35">
        <f t="shared" si="37"/>
        <v>0.49593338497288925</v>
      </c>
      <c r="M30" s="35">
        <f t="shared" ref="M30:P30" si="38">IFERROR(M16/M9,0)</f>
        <v>0.56675917360468697</v>
      </c>
      <c r="N30" s="36">
        <f t="shared" si="38"/>
        <v>0.45537355841551064</v>
      </c>
      <c r="O30" s="35">
        <f t="shared" si="38"/>
        <v>0.44312599198851182</v>
      </c>
      <c r="P30" s="35">
        <f t="shared" si="38"/>
        <v>0.42114081736723247</v>
      </c>
      <c r="Q30" s="35">
        <f>IFERROR(Q16/Q9,0)</f>
        <v>0.46233889085964291</v>
      </c>
    </row>
    <row r="31" spans="1:18" x14ac:dyDescent="0.15">
      <c r="A31" s="7" t="s">
        <v>21</v>
      </c>
      <c r="B31" s="35">
        <f>IFERROR(B19/B18,0)</f>
        <v>0.45064377682403434</v>
      </c>
      <c r="C31" s="35">
        <f t="shared" ref="C31" si="39">IFERROR(C19/C18,0)</f>
        <v>0.43519245875883739</v>
      </c>
      <c r="D31" s="35">
        <f t="shared" ref="D31:E31" si="40">IFERROR(D19/D18,0)</f>
        <v>0.37430167597765363</v>
      </c>
      <c r="E31" s="35">
        <f t="shared" si="40"/>
        <v>0.38912788423934297</v>
      </c>
      <c r="F31" s="36">
        <f>IFERROR(F19/F18,0)</f>
        <v>0.26876513317191281</v>
      </c>
      <c r="G31" s="37">
        <f>IFERROR(G19/G18,0)</f>
        <v>0.25704989154013014</v>
      </c>
      <c r="H31" s="37">
        <f>IFERROR(H19/H18,0)</f>
        <v>0.24928999684443043</v>
      </c>
      <c r="I31" s="37">
        <f t="shared" ref="I31:K31" si="41">IFERROR(I19/I18,0)</f>
        <v>0.21288330024266491</v>
      </c>
      <c r="J31" s="36">
        <f t="shared" si="41"/>
        <v>0.10093896713615023</v>
      </c>
      <c r="K31" s="35">
        <f t="shared" si="41"/>
        <v>0.13235294117647059</v>
      </c>
      <c r="L31" s="35">
        <f>IFERROR(L19/L18,0)</f>
        <v>0.10103132161955691</v>
      </c>
      <c r="M31" s="35">
        <f>IFERROR(M19/M18,0)</f>
        <v>0.42803537925489143</v>
      </c>
      <c r="N31" s="36">
        <f t="shared" ref="N31:O31" si="42">IFERROR(N19/N18,0)</f>
        <v>0.11087344028520499</v>
      </c>
      <c r="O31" s="35">
        <f t="shared" si="42"/>
        <v>0.12985685071574643</v>
      </c>
      <c r="P31" s="35">
        <f>IFERROR(P19/P18,0)</f>
        <v>0.13108930987821379</v>
      </c>
      <c r="Q31" s="35">
        <f>IFERROR(Q19/Q18,0)</f>
        <v>0.13662024840045164</v>
      </c>
    </row>
    <row r="32" spans="1:18" x14ac:dyDescent="0.15">
      <c r="B32" s="13"/>
      <c r="C32" s="13"/>
      <c r="D32" s="13"/>
      <c r="E32" s="13"/>
      <c r="K32" s="13"/>
      <c r="L32" s="13"/>
      <c r="M32" s="13"/>
      <c r="O32" s="13"/>
      <c r="P32" s="13"/>
      <c r="Q32" s="14"/>
    </row>
    <row r="33" spans="1:18" s="15" customFormat="1" x14ac:dyDescent="0.15">
      <c r="A33" s="15" t="s">
        <v>33</v>
      </c>
      <c r="B33" s="16">
        <f>B34-B35</f>
        <v>12413</v>
      </c>
      <c r="C33" s="16">
        <f>C34-C35</f>
        <v>14125</v>
      </c>
      <c r="D33" s="16">
        <f>D34-D35</f>
        <v>15834</v>
      </c>
      <c r="E33" s="16">
        <f>E34-E35</f>
        <v>18434</v>
      </c>
      <c r="F33" s="17">
        <f>F34-F35</f>
        <v>20621</v>
      </c>
      <c r="G33" s="18">
        <f t="shared" ref="G33:K33" si="43">G34-G35</f>
        <v>23293</v>
      </c>
      <c r="H33" s="18">
        <f t="shared" si="43"/>
        <v>26140</v>
      </c>
      <c r="I33" s="18">
        <f t="shared" si="43"/>
        <v>29449</v>
      </c>
      <c r="J33" s="17">
        <f t="shared" si="43"/>
        <v>32306</v>
      </c>
      <c r="K33" s="16">
        <f t="shared" si="43"/>
        <v>35452</v>
      </c>
      <c r="L33" s="16">
        <f>L34-L35</f>
        <v>38289</v>
      </c>
      <c r="M33" s="16">
        <f>M34-M35</f>
        <v>41711</v>
      </c>
      <c r="N33" s="17">
        <f t="shared" ref="N33" si="44">N34-N35</f>
        <v>43956</v>
      </c>
      <c r="O33" s="16">
        <f>O34-O35</f>
        <v>42309</v>
      </c>
      <c r="P33" s="16">
        <f>P34-P35</f>
        <v>41206</v>
      </c>
      <c r="Q33" s="16">
        <f>Q34-Q35</f>
        <v>41114</v>
      </c>
      <c r="R33" s="20"/>
    </row>
    <row r="34" spans="1:18" x14ac:dyDescent="0.15">
      <c r="A34" s="7" t="s">
        <v>34</v>
      </c>
      <c r="B34" s="8">
        <f>3419+8994</f>
        <v>12413</v>
      </c>
      <c r="C34" s="8">
        <f>5123+9002</f>
        <v>14125</v>
      </c>
      <c r="D34" s="8">
        <f>4308+11526</f>
        <v>15834</v>
      </c>
      <c r="E34" s="8">
        <f>4907+13527</f>
        <v>18434</v>
      </c>
      <c r="F34" s="4">
        <f>6456+14165</f>
        <v>20621</v>
      </c>
      <c r="G34" s="5">
        <f>5108+18185</f>
        <v>23293</v>
      </c>
      <c r="H34" s="5">
        <f>6038+20102</f>
        <v>26140</v>
      </c>
      <c r="I34" s="5">
        <f>8903+20546</f>
        <v>29449</v>
      </c>
      <c r="J34" s="4">
        <f>7104+25202</f>
        <v>32306</v>
      </c>
      <c r="K34" s="8">
        <f>6252+29200</f>
        <v>35452</v>
      </c>
      <c r="L34" s="8">
        <f>7201+31088</f>
        <v>38289</v>
      </c>
      <c r="M34" s="8">
        <f>8079+33632</f>
        <v>41711</v>
      </c>
      <c r="N34" s="4">
        <f>12082+31874</f>
        <v>43956</v>
      </c>
      <c r="O34" s="8">
        <f>11552+30757</f>
        <v>42309</v>
      </c>
      <c r="P34" s="8">
        <f>9637+31569</f>
        <v>41206</v>
      </c>
      <c r="Q34" s="9">
        <f>10019+31095</f>
        <v>41114</v>
      </c>
    </row>
    <row r="35" spans="1:18" x14ac:dyDescent="0.15">
      <c r="A35" s="7" t="s">
        <v>35</v>
      </c>
      <c r="B35" s="8">
        <v>0</v>
      </c>
      <c r="C35" s="8">
        <v>0</v>
      </c>
      <c r="D35" s="8">
        <v>0</v>
      </c>
      <c r="E35" s="8">
        <v>0</v>
      </c>
      <c r="F35" s="4">
        <v>0</v>
      </c>
      <c r="G35" s="5">
        <v>0</v>
      </c>
      <c r="H35" s="5">
        <v>0</v>
      </c>
      <c r="I35" s="5">
        <v>0</v>
      </c>
      <c r="J35" s="4">
        <v>0</v>
      </c>
      <c r="K35" s="8">
        <v>0</v>
      </c>
      <c r="L35" s="8">
        <v>0</v>
      </c>
      <c r="M35" s="8">
        <v>0</v>
      </c>
      <c r="N35" s="4">
        <v>0</v>
      </c>
      <c r="O35" s="8">
        <v>0</v>
      </c>
      <c r="P35" s="8">
        <v>0</v>
      </c>
      <c r="Q35" s="9">
        <v>0</v>
      </c>
    </row>
    <row r="36" spans="1:18" x14ac:dyDescent="0.15">
      <c r="B36" s="8"/>
      <c r="C36" s="8"/>
      <c r="D36" s="8"/>
      <c r="E36" s="8"/>
      <c r="F36" s="4"/>
      <c r="G36" s="5"/>
      <c r="H36" s="5"/>
      <c r="I36" s="5"/>
      <c r="J36" s="4"/>
      <c r="K36" s="8"/>
      <c r="L36" s="8"/>
      <c r="M36" s="8"/>
      <c r="N36" s="4"/>
      <c r="O36" s="8"/>
      <c r="P36" s="8"/>
      <c r="Q36" s="9"/>
    </row>
    <row r="37" spans="1:18" x14ac:dyDescent="0.15">
      <c r="A37" s="7" t="s">
        <v>86</v>
      </c>
      <c r="B37" s="8"/>
      <c r="C37" s="8"/>
      <c r="D37" s="8"/>
      <c r="E37" s="8"/>
      <c r="F37" s="4"/>
      <c r="G37" s="5"/>
      <c r="H37" s="5"/>
      <c r="I37" s="5"/>
      <c r="J37" s="4"/>
      <c r="K37" s="8"/>
      <c r="L37" s="8"/>
      <c r="M37" s="8">
        <f>1884+18221</f>
        <v>20105</v>
      </c>
      <c r="N37" s="4">
        <f>1735+18268</f>
        <v>20003</v>
      </c>
      <c r="O37" s="8">
        <f>1573+18263</f>
        <v>19836</v>
      </c>
      <c r="P37" s="8">
        <f>1451+18304</f>
        <v>19755</v>
      </c>
      <c r="Q37" s="9">
        <f>1294+18301</f>
        <v>19595</v>
      </c>
    </row>
    <row r="38" spans="1:18" x14ac:dyDescent="0.15">
      <c r="A38" s="7" t="s">
        <v>87</v>
      </c>
      <c r="B38" s="8"/>
      <c r="C38" s="8"/>
      <c r="D38" s="8"/>
      <c r="E38" s="8"/>
      <c r="F38" s="4"/>
      <c r="G38" s="5"/>
      <c r="H38" s="5"/>
      <c r="I38" s="5"/>
      <c r="J38" s="4"/>
      <c r="K38" s="8"/>
      <c r="L38" s="8"/>
      <c r="M38" s="8">
        <v>84524</v>
      </c>
      <c r="N38" s="4">
        <v>88945</v>
      </c>
      <c r="O38" s="8">
        <v>90291</v>
      </c>
      <c r="P38" s="8">
        <v>92452</v>
      </c>
      <c r="Q38" s="9">
        <v>97334</v>
      </c>
    </row>
    <row r="39" spans="1:18" x14ac:dyDescent="0.15">
      <c r="A39" s="7" t="s">
        <v>88</v>
      </c>
      <c r="B39" s="8"/>
      <c r="C39" s="8"/>
      <c r="D39" s="8"/>
      <c r="E39" s="8"/>
      <c r="F39" s="4"/>
      <c r="G39" s="5"/>
      <c r="H39" s="5"/>
      <c r="I39" s="5"/>
      <c r="J39" s="4"/>
      <c r="K39" s="8"/>
      <c r="L39" s="8"/>
      <c r="M39" s="8">
        <v>10177</v>
      </c>
      <c r="N39" s="4">
        <v>11325</v>
      </c>
      <c r="O39" s="8">
        <v>10909</v>
      </c>
      <c r="P39" s="8">
        <v>12110</v>
      </c>
      <c r="Q39" s="9">
        <v>13207</v>
      </c>
    </row>
    <row r="40" spans="1:18" x14ac:dyDescent="0.15">
      <c r="B40" s="8"/>
      <c r="C40" s="8"/>
      <c r="D40" s="8"/>
      <c r="E40" s="8"/>
      <c r="F40" s="4"/>
      <c r="G40" s="5"/>
      <c r="H40" s="5"/>
      <c r="I40" s="5"/>
      <c r="J40" s="4"/>
      <c r="K40" s="8"/>
      <c r="L40" s="8"/>
      <c r="M40" s="8"/>
      <c r="N40" s="4"/>
      <c r="O40" s="8"/>
      <c r="P40" s="8"/>
      <c r="Q40" s="9"/>
    </row>
    <row r="41" spans="1:18" x14ac:dyDescent="0.15">
      <c r="A41" s="7" t="s">
        <v>89</v>
      </c>
      <c r="B41" s="8"/>
      <c r="C41" s="8"/>
      <c r="D41" s="8"/>
      <c r="E41" s="8"/>
      <c r="F41" s="4"/>
      <c r="G41" s="5"/>
      <c r="H41" s="5"/>
      <c r="I41" s="5"/>
      <c r="J41" s="4"/>
      <c r="K41" s="8"/>
      <c r="L41" s="8"/>
      <c r="M41" s="21">
        <f>M38-M37-M34</f>
        <v>22708</v>
      </c>
      <c r="N41" s="22">
        <f>N38-N37-N34</f>
        <v>24986</v>
      </c>
      <c r="O41" s="21">
        <f>O38-O37-O34</f>
        <v>28146</v>
      </c>
      <c r="P41" s="21">
        <f>P38-P37-P34</f>
        <v>31491</v>
      </c>
      <c r="Q41" s="21">
        <f>Q38-Q37-Q34</f>
        <v>36625</v>
      </c>
    </row>
    <row r="42" spans="1:18" x14ac:dyDescent="0.15">
      <c r="A42" s="7" t="s">
        <v>90</v>
      </c>
      <c r="B42" s="8"/>
      <c r="C42" s="8"/>
      <c r="D42" s="8"/>
      <c r="E42" s="8"/>
      <c r="F42" s="4"/>
      <c r="G42" s="5"/>
      <c r="H42" s="5"/>
      <c r="I42" s="5"/>
      <c r="J42" s="4"/>
      <c r="K42" s="8"/>
      <c r="L42" s="8"/>
      <c r="M42" s="21">
        <f>M38-M39</f>
        <v>74347</v>
      </c>
      <c r="N42" s="22">
        <f>N38-N39</f>
        <v>77620</v>
      </c>
      <c r="O42" s="21">
        <f>O38-O39</f>
        <v>79382</v>
      </c>
      <c r="P42" s="21">
        <f>P38-P39</f>
        <v>80342</v>
      </c>
      <c r="Q42" s="21">
        <f>Q38-Q39</f>
        <v>84127</v>
      </c>
    </row>
    <row r="43" spans="1:18" x14ac:dyDescent="0.15">
      <c r="B43" s="8"/>
      <c r="C43" s="8"/>
      <c r="D43" s="8"/>
      <c r="E43" s="8"/>
      <c r="F43" s="4"/>
      <c r="G43" s="5"/>
      <c r="H43" s="5"/>
      <c r="I43" s="5"/>
      <c r="J43" s="4"/>
      <c r="K43" s="8"/>
      <c r="L43" s="8"/>
      <c r="M43" s="8"/>
      <c r="N43" s="4"/>
      <c r="O43" s="8"/>
      <c r="P43" s="8"/>
      <c r="Q43" s="9"/>
    </row>
    <row r="44" spans="1:18" s="15" customFormat="1" x14ac:dyDescent="0.15">
      <c r="A44" s="15" t="s">
        <v>81</v>
      </c>
      <c r="B44" s="76"/>
      <c r="C44" s="76"/>
      <c r="D44" s="76"/>
      <c r="E44" s="16">
        <f t="shared" ref="E44:P44" si="45">SUM(B20:E20)</f>
        <v>3689</v>
      </c>
      <c r="F44" s="17">
        <f t="shared" si="45"/>
        <v>4687</v>
      </c>
      <c r="G44" s="16">
        <f t="shared" si="45"/>
        <v>6023</v>
      </c>
      <c r="H44" s="16">
        <f t="shared" si="45"/>
        <v>7506</v>
      </c>
      <c r="I44" s="16">
        <f t="shared" si="45"/>
        <v>9512</v>
      </c>
      <c r="J44" s="17">
        <f t="shared" si="45"/>
        <v>11066</v>
      </c>
      <c r="K44" s="16">
        <f t="shared" si="45"/>
        <v>12905</v>
      </c>
      <c r="L44" s="16">
        <f t="shared" si="45"/>
        <v>15233</v>
      </c>
      <c r="M44" s="16">
        <f t="shared" si="45"/>
        <v>15933</v>
      </c>
      <c r="N44" s="17">
        <f t="shared" si="45"/>
        <v>17857</v>
      </c>
      <c r="O44" s="16">
        <f t="shared" si="45"/>
        <v>19069</v>
      </c>
      <c r="P44" s="16">
        <f t="shared" si="45"/>
        <v>19499</v>
      </c>
      <c r="Q44" s="16">
        <f>SUM(N20:Q20)</f>
        <v>22113</v>
      </c>
      <c r="R44" s="20"/>
    </row>
    <row r="45" spans="1:18" x14ac:dyDescent="0.15">
      <c r="A45" s="7" t="s">
        <v>82</v>
      </c>
      <c r="B45" s="8"/>
      <c r="C45" s="8"/>
      <c r="D45" s="8"/>
      <c r="E45" s="8"/>
      <c r="F45" s="4"/>
      <c r="G45" s="5"/>
      <c r="H45" s="5"/>
      <c r="I45" s="5"/>
      <c r="J45" s="4"/>
      <c r="K45" s="8"/>
      <c r="L45" s="8"/>
      <c r="M45" s="77">
        <f>M44/M42</f>
        <v>0.21430588994848482</v>
      </c>
      <c r="N45" s="78">
        <f>N44/N42</f>
        <v>0.2300566864210255</v>
      </c>
      <c r="O45" s="77">
        <f>O44/O42</f>
        <v>0.24021818548285506</v>
      </c>
      <c r="P45" s="77">
        <f>P44/P42</f>
        <v>0.2426999576809141</v>
      </c>
      <c r="Q45" s="77">
        <f>Q44/Q42</f>
        <v>0.2628525919146053</v>
      </c>
    </row>
    <row r="46" spans="1:18" x14ac:dyDescent="0.15">
      <c r="A46" s="7" t="s">
        <v>83</v>
      </c>
      <c r="B46" s="8"/>
      <c r="C46" s="8"/>
      <c r="D46" s="8"/>
      <c r="E46" s="8"/>
      <c r="F46" s="4"/>
      <c r="G46" s="5"/>
      <c r="H46" s="5"/>
      <c r="I46" s="5"/>
      <c r="J46" s="4"/>
      <c r="K46" s="8"/>
      <c r="L46" s="8"/>
      <c r="M46" s="77">
        <f>M44/M38</f>
        <v>0.18850267379679145</v>
      </c>
      <c r="N46" s="78">
        <f>N44/N38</f>
        <v>0.20076451739839227</v>
      </c>
      <c r="O46" s="77">
        <f>O44/O38</f>
        <v>0.21119491422179398</v>
      </c>
      <c r="P46" s="77">
        <f>P44/P38</f>
        <v>0.21090944490113789</v>
      </c>
      <c r="Q46" s="77">
        <f>Q44/Q38</f>
        <v>0.22718680009041034</v>
      </c>
    </row>
    <row r="47" spans="1:18" x14ac:dyDescent="0.15">
      <c r="A47" s="7" t="s">
        <v>84</v>
      </c>
      <c r="B47" s="8"/>
      <c r="C47" s="8"/>
      <c r="D47" s="8"/>
      <c r="E47" s="8"/>
      <c r="F47" s="4"/>
      <c r="G47" s="5"/>
      <c r="H47" s="5"/>
      <c r="I47" s="5"/>
      <c r="J47" s="4"/>
      <c r="K47" s="8"/>
      <c r="L47" s="8"/>
      <c r="M47" s="77">
        <f>M44/(M42-M37)</f>
        <v>0.29373916890970098</v>
      </c>
      <c r="N47" s="78">
        <f>N44/(N42-N37)</f>
        <v>0.30992588992831976</v>
      </c>
      <c r="O47" s="77">
        <f>O44/(O42-O37)</f>
        <v>0.3202398145971182</v>
      </c>
      <c r="P47" s="77">
        <f>P44/(P42-P37)</f>
        <v>0.3218347170185023</v>
      </c>
      <c r="Q47" s="77">
        <f>Q44/(Q42-Q37)</f>
        <v>0.34266720386784849</v>
      </c>
    </row>
    <row r="48" spans="1:18" x14ac:dyDescent="0.15">
      <c r="A48" s="7" t="s">
        <v>85</v>
      </c>
      <c r="B48" s="8"/>
      <c r="C48" s="8"/>
      <c r="D48" s="8"/>
      <c r="E48" s="8"/>
      <c r="F48" s="4"/>
      <c r="G48" s="5"/>
      <c r="H48" s="5"/>
      <c r="I48" s="5"/>
      <c r="J48" s="4"/>
      <c r="K48" s="8"/>
      <c r="L48" s="8"/>
      <c r="M48" s="77">
        <f>M44/M41</f>
        <v>0.70164699665316188</v>
      </c>
      <c r="N48" s="78">
        <f>N44/N41</f>
        <v>0.7146802209237173</v>
      </c>
      <c r="O48" s="77">
        <f>O44/O41</f>
        <v>0.67750301996731332</v>
      </c>
      <c r="P48" s="77">
        <f>P44/P41</f>
        <v>0.61919278524022736</v>
      </c>
      <c r="Q48" s="77">
        <f>Q44/Q41</f>
        <v>0.6037679180887372</v>
      </c>
    </row>
    <row r="49" spans="1:17" x14ac:dyDescent="0.15">
      <c r="Q49" s="31"/>
    </row>
    <row r="50" spans="1:17" x14ac:dyDescent="0.15">
      <c r="A50" s="7" t="s">
        <v>76</v>
      </c>
      <c r="B50" s="31"/>
      <c r="C50" s="34"/>
      <c r="D50" s="34"/>
      <c r="E50" s="34"/>
      <c r="F50" s="33">
        <f t="shared" ref="F50:Q50" si="46">F6/B6-1</f>
        <v>0.16452991452991461</v>
      </c>
      <c r="G50" s="34">
        <f t="shared" si="46"/>
        <v>0.1673553719008265</v>
      </c>
      <c r="H50" s="34">
        <f t="shared" si="46"/>
        <v>0.16831683168316824</v>
      </c>
      <c r="I50" s="34">
        <f t="shared" si="46"/>
        <v>0.18269230769230771</v>
      </c>
      <c r="J50" s="33">
        <f t="shared" si="46"/>
        <v>0.17431192660550465</v>
      </c>
      <c r="K50" s="34">
        <f t="shared" si="46"/>
        <v>0.16814159292035402</v>
      </c>
      <c r="L50" s="34">
        <f t="shared" si="46"/>
        <v>0.16101694915254239</v>
      </c>
      <c r="M50" s="34">
        <f t="shared" si="46"/>
        <v>0.13821138211382111</v>
      </c>
      <c r="N50" s="33">
        <f t="shared" si="46"/>
        <v>0.1328125</v>
      </c>
      <c r="O50" s="34">
        <f t="shared" si="46"/>
        <v>0.11363636363636354</v>
      </c>
      <c r="P50" s="34">
        <f t="shared" si="46"/>
        <v>8.7591240875912302E-2</v>
      </c>
      <c r="Q50" s="34">
        <f t="shared" si="46"/>
        <v>8.5714285714285632E-2</v>
      </c>
    </row>
    <row r="51" spans="1:17" x14ac:dyDescent="0.15">
      <c r="A51" s="7" t="s">
        <v>78</v>
      </c>
      <c r="B51" s="31"/>
      <c r="C51" s="10"/>
      <c r="D51" s="31"/>
      <c r="E51" s="31"/>
      <c r="F51" s="33">
        <f>F7/B7-1</f>
        <v>0.30443334446783554</v>
      </c>
      <c r="G51" s="32">
        <f>G7/C7-1</f>
        <v>0.36400712868859286</v>
      </c>
      <c r="H51" s="32">
        <f t="shared" ref="H51:P51" si="47">H7/D7-1</f>
        <v>0.33324609597114008</v>
      </c>
      <c r="I51" s="32">
        <f t="shared" si="47"/>
        <v>0.27516866334559609</v>
      </c>
      <c r="J51" s="33">
        <f t="shared" si="47"/>
        <v>0.27085655890003713</v>
      </c>
      <c r="K51" s="32">
        <f t="shared" si="47"/>
        <v>0.23979815243799085</v>
      </c>
      <c r="L51" s="32">
        <f t="shared" si="47"/>
        <v>0.26881324134025064</v>
      </c>
      <c r="M51" s="32">
        <f t="shared" si="47"/>
        <v>0.29377098097724708</v>
      </c>
      <c r="N51" s="33">
        <f t="shared" si="47"/>
        <v>0.31512570408023066</v>
      </c>
      <c r="O51" s="32">
        <f t="shared" si="47"/>
        <v>0.2746376954386518</v>
      </c>
      <c r="P51" s="32">
        <f t="shared" si="47"/>
        <v>0.22206330351062342</v>
      </c>
      <c r="Q51" s="32">
        <f>Q7/M7-1</f>
        <v>0.20094697891815594</v>
      </c>
    </row>
    <row r="52" spans="1:17" x14ac:dyDescent="0.15">
      <c r="F52" s="4"/>
      <c r="Q52" s="31"/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2019-12-31T13:00:06Z</dcterms:modified>
</cp:coreProperties>
</file>