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F9E0E51-C07B-184B-B863-1CEF3B5EF3A5}" xr6:coauthVersionLast="45" xr6:coauthVersionMax="45" xr10:uidLastSave="{00000000-0000-0000-0000-000000000000}"/>
  <bookViews>
    <workbookView xWindow="0" yWindow="460" windowWidth="2352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W55" i="1"/>
  <c r="W57" i="1"/>
  <c r="W56" i="1"/>
  <c r="W54" i="1"/>
  <c r="W48" i="1"/>
  <c r="W51" i="1" s="1"/>
  <c r="W46" i="1"/>
  <c r="W45" i="1"/>
  <c r="W41" i="1"/>
  <c r="W38" i="1"/>
  <c r="W37" i="1"/>
  <c r="W35" i="1"/>
  <c r="W34" i="1"/>
  <c r="W33" i="1"/>
  <c r="W32" i="1"/>
  <c r="W31" i="1"/>
  <c r="W29" i="1"/>
  <c r="W28" i="1"/>
  <c r="W27" i="1"/>
  <c r="W23" i="1"/>
  <c r="W24" i="1" s="1"/>
  <c r="W6" i="1"/>
  <c r="S6" i="1"/>
  <c r="W11" i="1"/>
  <c r="W13" i="1" s="1"/>
  <c r="W17" i="1"/>
  <c r="W52" i="1" l="1"/>
  <c r="W50" i="1"/>
  <c r="W49" i="1"/>
  <c r="W18" i="1"/>
  <c r="W20" i="1" s="1"/>
  <c r="H21" i="2"/>
  <c r="I21" i="2" s="1"/>
  <c r="J21" i="2" s="1"/>
  <c r="K21" i="2" s="1"/>
  <c r="G21" i="2"/>
  <c r="K23" i="2"/>
  <c r="K22" i="2"/>
  <c r="V41" i="1"/>
  <c r="V38" i="1"/>
  <c r="V37" i="1" s="1"/>
  <c r="V57" i="1"/>
  <c r="V56" i="1"/>
  <c r="V55" i="1"/>
  <c r="V54" i="1"/>
  <c r="V46" i="1"/>
  <c r="V35" i="1"/>
  <c r="V34" i="1"/>
  <c r="V33" i="1"/>
  <c r="V32" i="1"/>
  <c r="V31" i="1"/>
  <c r="V29" i="1"/>
  <c r="V28" i="1"/>
  <c r="V27" i="1"/>
  <c r="V23" i="1"/>
  <c r="V24" i="1" s="1"/>
  <c r="V20" i="1"/>
  <c r="V17" i="1"/>
  <c r="V18" i="1" s="1"/>
  <c r="V13" i="1"/>
  <c r="V11" i="1"/>
  <c r="R6" i="1"/>
  <c r="F13" i="2" s="1"/>
  <c r="V6" i="1"/>
  <c r="U31" i="2"/>
  <c r="U9" i="2"/>
  <c r="T31" i="2"/>
  <c r="T9" i="2"/>
  <c r="S31" i="2"/>
  <c r="S9" i="2"/>
  <c r="R31" i="2"/>
  <c r="R9" i="2"/>
  <c r="F49" i="2"/>
  <c r="F48" i="2"/>
  <c r="F47" i="2"/>
  <c r="F45" i="2"/>
  <c r="F44" i="2"/>
  <c r="F31" i="2"/>
  <c r="F12" i="2"/>
  <c r="G12" i="2" s="1"/>
  <c r="H12" i="2" s="1"/>
  <c r="I12" i="2" s="1"/>
  <c r="J12" i="2" s="1"/>
  <c r="K12" i="2" s="1"/>
  <c r="F11" i="2"/>
  <c r="G11" i="2" s="1"/>
  <c r="E13" i="2"/>
  <c r="E12" i="2"/>
  <c r="E11" i="2"/>
  <c r="U41" i="1"/>
  <c r="U38" i="1"/>
  <c r="U17" i="1"/>
  <c r="U56" i="1"/>
  <c r="U55" i="1"/>
  <c r="U54" i="1"/>
  <c r="U6" i="1"/>
  <c r="U11" i="1" s="1"/>
  <c r="U13" i="1" s="1"/>
  <c r="R11" i="1"/>
  <c r="Q6" i="1"/>
  <c r="Q11" i="1" s="1"/>
  <c r="V45" i="1" l="1"/>
  <c r="G65" i="2"/>
  <c r="H11" i="2"/>
  <c r="I11" i="2" s="1"/>
  <c r="J11" i="2" s="1"/>
  <c r="F65" i="2"/>
  <c r="U57" i="1"/>
  <c r="U18" i="1"/>
  <c r="U20" i="1" s="1"/>
  <c r="U23" i="1" s="1"/>
  <c r="U24" i="1" s="1"/>
  <c r="F21" i="2"/>
  <c r="B19" i="2"/>
  <c r="B21" i="2"/>
  <c r="I65" i="2" l="1"/>
  <c r="H65" i="2"/>
  <c r="K11" i="2"/>
  <c r="K65" i="2" s="1"/>
  <c r="J65" i="2"/>
  <c r="F26" i="2"/>
  <c r="U33" i="1"/>
  <c r="U34" i="1"/>
  <c r="G13" i="2"/>
  <c r="H13" i="2" s="1"/>
  <c r="T41" i="1"/>
  <c r="F59" i="2" s="1"/>
  <c r="T38" i="1"/>
  <c r="T45" i="1" s="1"/>
  <c r="T57" i="1"/>
  <c r="T56" i="1"/>
  <c r="T54" i="1"/>
  <c r="T46" i="1"/>
  <c r="T34" i="1"/>
  <c r="T33" i="1"/>
  <c r="T32" i="1"/>
  <c r="T17" i="1"/>
  <c r="T11" i="1"/>
  <c r="S57" i="1"/>
  <c r="S56" i="1"/>
  <c r="S54" i="1"/>
  <c r="S41" i="1"/>
  <c r="S38" i="1"/>
  <c r="S37" i="1" s="1"/>
  <c r="S11" i="1"/>
  <c r="S46" i="1"/>
  <c r="S33" i="1"/>
  <c r="S32" i="1"/>
  <c r="S17" i="1"/>
  <c r="F22" i="2" l="1"/>
  <c r="T37" i="1"/>
  <c r="U32" i="1"/>
  <c r="F43" i="2"/>
  <c r="F10" i="2"/>
  <c r="F18" i="2" s="1"/>
  <c r="I13" i="2"/>
  <c r="H67" i="2"/>
  <c r="F52" i="2"/>
  <c r="U46" i="1"/>
  <c r="T13" i="1"/>
  <c r="S13" i="1"/>
  <c r="S45" i="1"/>
  <c r="F4" i="2"/>
  <c r="G10" i="2" l="1"/>
  <c r="U37" i="1"/>
  <c r="U45" i="1"/>
  <c r="F51" i="2"/>
  <c r="J13" i="2"/>
  <c r="I67" i="2"/>
  <c r="T27" i="1"/>
  <c r="F19" i="2" s="1"/>
  <c r="T18" i="1"/>
  <c r="S18" i="1"/>
  <c r="S27" i="1"/>
  <c r="R13" i="1"/>
  <c r="R16" i="1"/>
  <c r="R34" i="1" s="1"/>
  <c r="R41" i="1"/>
  <c r="R38" i="1"/>
  <c r="R45" i="1" s="1"/>
  <c r="R25" i="1"/>
  <c r="C4" i="2" s="1"/>
  <c r="R57" i="1"/>
  <c r="R56" i="1"/>
  <c r="R54" i="1"/>
  <c r="R46" i="1"/>
  <c r="R33" i="1"/>
  <c r="R32" i="1"/>
  <c r="E49" i="2"/>
  <c r="E48" i="2"/>
  <c r="E45" i="2"/>
  <c r="E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E28" i="2"/>
  <c r="E26" i="2"/>
  <c r="E22" i="2"/>
  <c r="E21" i="2"/>
  <c r="E19" i="2"/>
  <c r="E10" i="2"/>
  <c r="Q41" i="1"/>
  <c r="E47" i="2" s="1"/>
  <c r="Q38" i="1"/>
  <c r="Q46" i="1"/>
  <c r="Q17" i="1"/>
  <c r="U35" i="1" s="1"/>
  <c r="C10" i="2"/>
  <c r="C12" i="2"/>
  <c r="C13" i="2"/>
  <c r="M11" i="1"/>
  <c r="M13" i="1" s="1"/>
  <c r="M17" i="1"/>
  <c r="I11" i="1"/>
  <c r="I31" i="1" s="1"/>
  <c r="I13" i="1"/>
  <c r="I27" i="1" s="1"/>
  <c r="I17" i="1"/>
  <c r="D10" i="2"/>
  <c r="D12" i="2"/>
  <c r="D13" i="2"/>
  <c r="P11" i="1"/>
  <c r="O16" i="1"/>
  <c r="S34" i="1" s="1"/>
  <c r="M38" i="1"/>
  <c r="D44" i="2" s="1"/>
  <c r="D45" i="2"/>
  <c r="P17" i="1"/>
  <c r="T35" i="1" s="1"/>
  <c r="P38" i="1"/>
  <c r="P37" i="1"/>
  <c r="Q57" i="1"/>
  <c r="P57" i="1"/>
  <c r="O57" i="1"/>
  <c r="N57" i="1"/>
  <c r="M57" i="1"/>
  <c r="L57" i="1"/>
  <c r="K57" i="1"/>
  <c r="J57" i="1"/>
  <c r="I57" i="1"/>
  <c r="H57" i="1"/>
  <c r="G57" i="1"/>
  <c r="Q56" i="1"/>
  <c r="P56" i="1"/>
  <c r="O56" i="1"/>
  <c r="N56" i="1"/>
  <c r="M56" i="1"/>
  <c r="L56" i="1"/>
  <c r="K56" i="1"/>
  <c r="J56" i="1"/>
  <c r="I56" i="1"/>
  <c r="H56" i="1"/>
  <c r="G56" i="1"/>
  <c r="Q54" i="1"/>
  <c r="P54" i="1"/>
  <c r="O54" i="1"/>
  <c r="N54" i="1"/>
  <c r="M54" i="1"/>
  <c r="L54" i="1"/>
  <c r="K54" i="1"/>
  <c r="J54" i="1"/>
  <c r="I54" i="1"/>
  <c r="H54" i="1"/>
  <c r="G54" i="1"/>
  <c r="F57" i="1"/>
  <c r="F56" i="1"/>
  <c r="F54" i="1"/>
  <c r="B13" i="2"/>
  <c r="B12" i="2"/>
  <c r="B10" i="2"/>
  <c r="B22" i="2"/>
  <c r="B23" i="2"/>
  <c r="B26" i="2"/>
  <c r="E11" i="1"/>
  <c r="E13" i="1" s="1"/>
  <c r="E17" i="1"/>
  <c r="E38" i="1"/>
  <c r="E41" i="1"/>
  <c r="B47" i="2" s="1"/>
  <c r="E43" i="1"/>
  <c r="E46" i="1" s="1"/>
  <c r="B28" i="2"/>
  <c r="B48" i="2"/>
  <c r="N11" i="1"/>
  <c r="N13" i="1" s="1"/>
  <c r="N17" i="1"/>
  <c r="O11" i="1"/>
  <c r="P46" i="1"/>
  <c r="C19" i="2"/>
  <c r="C21" i="2"/>
  <c r="C22" i="2"/>
  <c r="C23" i="2"/>
  <c r="C26" i="2"/>
  <c r="C28" i="2"/>
  <c r="C48" i="2"/>
  <c r="C49" i="2"/>
  <c r="D26" i="2"/>
  <c r="I38" i="1"/>
  <c r="C44" i="2"/>
  <c r="E39" i="1"/>
  <c r="B45" i="2" s="1"/>
  <c r="E25" i="1"/>
  <c r="B31" i="2" s="1"/>
  <c r="I39" i="1"/>
  <c r="C45" i="2" s="1"/>
  <c r="D48" i="2"/>
  <c r="M41" i="1"/>
  <c r="I41" i="1"/>
  <c r="C47" i="2" s="1"/>
  <c r="P41" i="1"/>
  <c r="D19" i="2"/>
  <c r="D21" i="2"/>
  <c r="D22" i="2"/>
  <c r="K16" i="1"/>
  <c r="K17" i="1" s="1"/>
  <c r="D49" i="2"/>
  <c r="J11" i="1"/>
  <c r="J13" i="1"/>
  <c r="J27" i="1" s="1"/>
  <c r="J17" i="1"/>
  <c r="K11" i="1"/>
  <c r="K13" i="1" s="1"/>
  <c r="L11" i="1"/>
  <c r="L17" i="1"/>
  <c r="L46" i="1"/>
  <c r="L41" i="1"/>
  <c r="I46" i="1"/>
  <c r="H46" i="1"/>
  <c r="P25" i="1"/>
  <c r="F11" i="1"/>
  <c r="F13" i="1" s="1"/>
  <c r="F17" i="1"/>
  <c r="G11" i="1"/>
  <c r="G13" i="1"/>
  <c r="G27" i="1" s="1"/>
  <c r="G17" i="1"/>
  <c r="H11" i="1"/>
  <c r="H13" i="1" s="1"/>
  <c r="H17" i="1"/>
  <c r="M46" i="1"/>
  <c r="B11" i="1"/>
  <c r="B13" i="1" s="1"/>
  <c r="B17" i="1"/>
  <c r="C11" i="1"/>
  <c r="C13" i="1" s="1"/>
  <c r="C17" i="1"/>
  <c r="D11" i="1"/>
  <c r="D13" i="1"/>
  <c r="D27" i="1" s="1"/>
  <c r="D17" i="1"/>
  <c r="O41" i="1"/>
  <c r="O38" i="1"/>
  <c r="O46" i="1"/>
  <c r="N41" i="1"/>
  <c r="N38" i="1"/>
  <c r="N37" i="1" s="1"/>
  <c r="N46" i="1"/>
  <c r="L38" i="1"/>
  <c r="K41" i="1"/>
  <c r="K38" i="1"/>
  <c r="K37" i="1" s="1"/>
  <c r="K46" i="1"/>
  <c r="J41" i="1"/>
  <c r="J38" i="1"/>
  <c r="J46" i="1"/>
  <c r="H41" i="1"/>
  <c r="H38" i="1"/>
  <c r="H45" i="1" s="1"/>
  <c r="G46" i="1"/>
  <c r="G38" i="1"/>
  <c r="G45" i="1" s="1"/>
  <c r="G41" i="1"/>
  <c r="F38" i="1"/>
  <c r="F41" i="1"/>
  <c r="F45" i="1" s="1"/>
  <c r="F46" i="1"/>
  <c r="F25" i="1"/>
  <c r="G25" i="1"/>
  <c r="H25" i="1"/>
  <c r="Q34" i="1"/>
  <c r="Q33" i="1"/>
  <c r="Q32" i="1"/>
  <c r="N25" i="1"/>
  <c r="N34" i="1"/>
  <c r="N33" i="1"/>
  <c r="N32" i="1"/>
  <c r="O37" i="1"/>
  <c r="O33" i="1"/>
  <c r="O32" i="1"/>
  <c r="O25" i="1"/>
  <c r="L25" i="1"/>
  <c r="P34" i="1"/>
  <c r="P33" i="1"/>
  <c r="P32" i="1"/>
  <c r="D31" i="2"/>
  <c r="I25" i="1"/>
  <c r="C31" i="2" s="1"/>
  <c r="F32" i="1"/>
  <c r="I32" i="1"/>
  <c r="M32" i="1"/>
  <c r="K32" i="1"/>
  <c r="J32" i="1"/>
  <c r="H32" i="1"/>
  <c r="L32" i="1"/>
  <c r="H33" i="1"/>
  <c r="I33" i="1"/>
  <c r="J33" i="1"/>
  <c r="K33" i="1"/>
  <c r="L33" i="1"/>
  <c r="M33" i="1"/>
  <c r="H34" i="1"/>
  <c r="I34" i="1"/>
  <c r="J34" i="1"/>
  <c r="L34" i="1"/>
  <c r="M34" i="1"/>
  <c r="G33" i="1"/>
  <c r="G34" i="1"/>
  <c r="G32" i="1"/>
  <c r="F33" i="1"/>
  <c r="F34" i="1"/>
  <c r="K25" i="1"/>
  <c r="J25" i="1"/>
  <c r="H39" i="1"/>
  <c r="F39" i="1"/>
  <c r="G39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7" i="1"/>
  <c r="H10" i="2" l="1"/>
  <c r="G18" i="2"/>
  <c r="C52" i="2"/>
  <c r="H35" i="1"/>
  <c r="G37" i="1"/>
  <c r="O45" i="1"/>
  <c r="B62" i="2"/>
  <c r="F62" i="2"/>
  <c r="B59" i="2"/>
  <c r="E62" i="2"/>
  <c r="D62" i="2"/>
  <c r="C62" i="2"/>
  <c r="Q35" i="1"/>
  <c r="P35" i="1"/>
  <c r="F18" i="1"/>
  <c r="F20" i="1" s="1"/>
  <c r="P31" i="1"/>
  <c r="C59" i="2"/>
  <c r="M45" i="1"/>
  <c r="O31" i="1"/>
  <c r="J45" i="1"/>
  <c r="L35" i="1"/>
  <c r="I35" i="1"/>
  <c r="M37" i="1"/>
  <c r="B49" i="2"/>
  <c r="B52" i="2" s="1"/>
  <c r="U27" i="1"/>
  <c r="K45" i="1"/>
  <c r="I37" i="1"/>
  <c r="G31" i="1"/>
  <c r="F35" i="1"/>
  <c r="I18" i="1"/>
  <c r="I20" i="1" s="1"/>
  <c r="G35" i="1"/>
  <c r="E23" i="2"/>
  <c r="E24" i="2" s="1"/>
  <c r="C40" i="2"/>
  <c r="R17" i="1"/>
  <c r="R18" i="1" s="1"/>
  <c r="F23" i="2"/>
  <c r="F24" i="2" s="1"/>
  <c r="P13" i="1"/>
  <c r="P27" i="1" s="1"/>
  <c r="T31" i="1"/>
  <c r="O17" i="1"/>
  <c r="S35" i="1" s="1"/>
  <c r="D18" i="1"/>
  <c r="D20" i="1" s="1"/>
  <c r="D23" i="1" s="1"/>
  <c r="Q31" i="1"/>
  <c r="U31" i="1"/>
  <c r="I10" i="2"/>
  <c r="H64" i="2"/>
  <c r="O13" i="1"/>
  <c r="O27" i="1" s="1"/>
  <c r="S31" i="1"/>
  <c r="F20" i="2"/>
  <c r="E59" i="2"/>
  <c r="K13" i="2"/>
  <c r="K67" i="2" s="1"/>
  <c r="J67" i="2"/>
  <c r="D64" i="2"/>
  <c r="U28" i="1"/>
  <c r="T28" i="1"/>
  <c r="T20" i="1"/>
  <c r="E67" i="2"/>
  <c r="C64" i="2"/>
  <c r="S28" i="1"/>
  <c r="S20" i="1"/>
  <c r="H27" i="1"/>
  <c r="H18" i="1"/>
  <c r="H20" i="1" s="1"/>
  <c r="H29" i="1" s="1"/>
  <c r="Q37" i="1"/>
  <c r="E44" i="2"/>
  <c r="E43" i="2" s="1"/>
  <c r="M35" i="1"/>
  <c r="K31" i="1"/>
  <c r="J37" i="1"/>
  <c r="L45" i="1"/>
  <c r="E45" i="1"/>
  <c r="P45" i="1"/>
  <c r="I45" i="1"/>
  <c r="O34" i="1"/>
  <c r="F37" i="1"/>
  <c r="N45" i="1"/>
  <c r="D47" i="2"/>
  <c r="D59" i="2" s="1"/>
  <c r="C38" i="2"/>
  <c r="K34" i="1"/>
  <c r="L31" i="1"/>
  <c r="Q13" i="1"/>
  <c r="Q27" i="1" s="1"/>
  <c r="J35" i="1"/>
  <c r="G18" i="1"/>
  <c r="G28" i="1" s="1"/>
  <c r="J18" i="1"/>
  <c r="J20" i="1" s="1"/>
  <c r="I28" i="1"/>
  <c r="H31" i="1"/>
  <c r="J31" i="1"/>
  <c r="R35" i="1"/>
  <c r="Q45" i="1"/>
  <c r="D23" i="2"/>
  <c r="D40" i="2" s="1"/>
  <c r="D38" i="2"/>
  <c r="B18" i="2"/>
  <c r="B20" i="2" s="1"/>
  <c r="B33" i="2" s="1"/>
  <c r="C66" i="2"/>
  <c r="E64" i="2"/>
  <c r="C51" i="2"/>
  <c r="C18" i="2"/>
  <c r="B24" i="2"/>
  <c r="C20" i="2"/>
  <c r="C39" i="2"/>
  <c r="C43" i="2"/>
  <c r="D39" i="2"/>
  <c r="C67" i="2"/>
  <c r="F64" i="2"/>
  <c r="E18" i="2"/>
  <c r="F39" i="2"/>
  <c r="G22" i="2"/>
  <c r="E38" i="2"/>
  <c r="E39" i="2"/>
  <c r="D67" i="2"/>
  <c r="D43" i="2"/>
  <c r="C24" i="2"/>
  <c r="D66" i="2"/>
  <c r="E52" i="2"/>
  <c r="D52" i="2"/>
  <c r="D18" i="2"/>
  <c r="D20" i="2" s="1"/>
  <c r="N18" i="1"/>
  <c r="N27" i="1"/>
  <c r="B18" i="1"/>
  <c r="B27" i="1"/>
  <c r="F66" i="2"/>
  <c r="K27" i="1"/>
  <c r="K18" i="1"/>
  <c r="K35" i="1"/>
  <c r="G62" i="2"/>
  <c r="F38" i="2"/>
  <c r="M18" i="1"/>
  <c r="M27" i="1"/>
  <c r="C27" i="1"/>
  <c r="C18" i="1"/>
  <c r="E27" i="1"/>
  <c r="E18" i="1"/>
  <c r="I23" i="1"/>
  <c r="I29" i="1"/>
  <c r="R27" i="1"/>
  <c r="N31" i="1"/>
  <c r="N35" i="1"/>
  <c r="R31" i="1"/>
  <c r="M31" i="1"/>
  <c r="L13" i="1"/>
  <c r="F31" i="1"/>
  <c r="E66" i="2"/>
  <c r="R37" i="1"/>
  <c r="E37" i="1"/>
  <c r="H37" i="1"/>
  <c r="F27" i="1"/>
  <c r="B44" i="2"/>
  <c r="G20" i="1" l="1"/>
  <c r="F28" i="1"/>
  <c r="H23" i="1"/>
  <c r="C25" i="2"/>
  <c r="C34" i="2" s="1"/>
  <c r="R20" i="1"/>
  <c r="R29" i="1" s="1"/>
  <c r="R28" i="1"/>
  <c r="O18" i="1"/>
  <c r="O28" i="1" s="1"/>
  <c r="F40" i="2"/>
  <c r="G23" i="2"/>
  <c r="D29" i="1"/>
  <c r="O35" i="1"/>
  <c r="F25" i="2"/>
  <c r="F27" i="2" s="1"/>
  <c r="Q18" i="1"/>
  <c r="Q20" i="1" s="1"/>
  <c r="H28" i="1"/>
  <c r="I64" i="2"/>
  <c r="J10" i="2"/>
  <c r="D28" i="1"/>
  <c r="P18" i="1"/>
  <c r="P20" i="1" s="1"/>
  <c r="H66" i="2"/>
  <c r="C37" i="2"/>
  <c r="E40" i="2"/>
  <c r="T29" i="1"/>
  <c r="T23" i="1"/>
  <c r="S29" i="1"/>
  <c r="S23" i="1"/>
  <c r="V48" i="1" s="1"/>
  <c r="J28" i="1"/>
  <c r="D24" i="2"/>
  <c r="D25" i="2" s="1"/>
  <c r="D51" i="2"/>
  <c r="C6" i="2"/>
  <c r="C7" i="2" s="1"/>
  <c r="C41" i="2"/>
  <c r="F37" i="2"/>
  <c r="C33" i="2"/>
  <c r="G64" i="2"/>
  <c r="F41" i="2"/>
  <c r="B25" i="2"/>
  <c r="B27" i="2" s="1"/>
  <c r="B29" i="2" s="1"/>
  <c r="B61" i="2" s="1"/>
  <c r="D37" i="2"/>
  <c r="E51" i="2"/>
  <c r="G39" i="2"/>
  <c r="H22" i="2"/>
  <c r="J23" i="1"/>
  <c r="J29" i="1"/>
  <c r="B43" i="2"/>
  <c r="B51" i="2"/>
  <c r="L18" i="1"/>
  <c r="L27" i="1"/>
  <c r="E28" i="1"/>
  <c r="E20" i="1"/>
  <c r="I24" i="1"/>
  <c r="H24" i="1"/>
  <c r="F67" i="2"/>
  <c r="F29" i="1"/>
  <c r="F23" i="1"/>
  <c r="E37" i="2"/>
  <c r="E20" i="2"/>
  <c r="G29" i="1"/>
  <c r="G23" i="1"/>
  <c r="C28" i="1"/>
  <c r="C20" i="1"/>
  <c r="B20" i="1"/>
  <c r="B28" i="1"/>
  <c r="H23" i="2"/>
  <c r="G40" i="2"/>
  <c r="G66" i="2"/>
  <c r="M28" i="1"/>
  <c r="M20" i="1"/>
  <c r="K28" i="1"/>
  <c r="K20" i="1"/>
  <c r="N20" i="1"/>
  <c r="N28" i="1"/>
  <c r="H62" i="2"/>
  <c r="G38" i="2"/>
  <c r="G24" i="2"/>
  <c r="G41" i="2" s="1"/>
  <c r="D33" i="2"/>
  <c r="V51" i="1" l="1"/>
  <c r="V49" i="1"/>
  <c r="V50" i="1"/>
  <c r="V52" i="1"/>
  <c r="C27" i="2"/>
  <c r="R23" i="1"/>
  <c r="R24" i="1" s="1"/>
  <c r="Q28" i="1"/>
  <c r="B55" i="2"/>
  <c r="O20" i="1"/>
  <c r="P28" i="1"/>
  <c r="K10" i="2"/>
  <c r="K64" i="2" s="1"/>
  <c r="J64" i="2"/>
  <c r="F28" i="2"/>
  <c r="F29" i="2" s="1"/>
  <c r="D41" i="2"/>
  <c r="I66" i="2"/>
  <c r="E41" i="2"/>
  <c r="T48" i="1"/>
  <c r="T24" i="1"/>
  <c r="S24" i="1"/>
  <c r="S48" i="1"/>
  <c r="B34" i="2"/>
  <c r="H39" i="2"/>
  <c r="I22" i="2"/>
  <c r="Q29" i="1"/>
  <c r="Q23" i="1"/>
  <c r="Q24" i="1" s="1"/>
  <c r="M21" i="1"/>
  <c r="G37" i="2"/>
  <c r="B35" i="2"/>
  <c r="G67" i="2"/>
  <c r="O29" i="1"/>
  <c r="O23" i="1"/>
  <c r="D34" i="2"/>
  <c r="D27" i="2"/>
  <c r="C35" i="2"/>
  <c r="C29" i="2"/>
  <c r="C61" i="2" s="1"/>
  <c r="I23" i="2"/>
  <c r="H40" i="2"/>
  <c r="K29" i="1"/>
  <c r="K23" i="1"/>
  <c r="I48" i="1"/>
  <c r="F24" i="1"/>
  <c r="P29" i="1"/>
  <c r="P23" i="1"/>
  <c r="P24" i="1" s="1"/>
  <c r="B23" i="1"/>
  <c r="B29" i="1"/>
  <c r="E29" i="1"/>
  <c r="E23" i="1"/>
  <c r="E24" i="1" s="1"/>
  <c r="C23" i="1"/>
  <c r="C29" i="1"/>
  <c r="J48" i="1"/>
  <c r="G24" i="1"/>
  <c r="L28" i="1"/>
  <c r="L20" i="1"/>
  <c r="I62" i="2"/>
  <c r="H38" i="2"/>
  <c r="H24" i="2"/>
  <c r="H41" i="2" s="1"/>
  <c r="E33" i="2"/>
  <c r="E25" i="2"/>
  <c r="N23" i="1"/>
  <c r="N29" i="1"/>
  <c r="J24" i="1"/>
  <c r="F61" i="2" l="1"/>
  <c r="F30" i="2"/>
  <c r="F55" i="2"/>
  <c r="F54" i="2"/>
  <c r="F56" i="2"/>
  <c r="F57" i="2"/>
  <c r="U29" i="1"/>
  <c r="J66" i="2"/>
  <c r="T49" i="1"/>
  <c r="T52" i="1"/>
  <c r="T51" i="1"/>
  <c r="T50" i="1"/>
  <c r="S50" i="1"/>
  <c r="S49" i="1"/>
  <c r="S52" i="1"/>
  <c r="S51" i="1"/>
  <c r="E48" i="1"/>
  <c r="F48" i="1"/>
  <c r="I39" i="2"/>
  <c r="J22" i="2"/>
  <c r="M29" i="1"/>
  <c r="D28" i="2"/>
  <c r="D35" i="2" s="1"/>
  <c r="J51" i="1"/>
  <c r="J52" i="1"/>
  <c r="J49" i="1"/>
  <c r="J50" i="1"/>
  <c r="R48" i="1"/>
  <c r="R49" i="1" s="1"/>
  <c r="O24" i="1"/>
  <c r="B30" i="2"/>
  <c r="B54" i="2"/>
  <c r="B57" i="2"/>
  <c r="B56" i="2"/>
  <c r="M23" i="1"/>
  <c r="Q48" i="1"/>
  <c r="Q49" i="1" s="1"/>
  <c r="N24" i="1"/>
  <c r="I38" i="2"/>
  <c r="I24" i="2"/>
  <c r="I41" i="2" s="1"/>
  <c r="I51" i="1"/>
  <c r="I49" i="1"/>
  <c r="I52" i="1"/>
  <c r="I50" i="1"/>
  <c r="K24" i="1"/>
  <c r="K48" i="1"/>
  <c r="J23" i="2"/>
  <c r="I40" i="2"/>
  <c r="F52" i="1"/>
  <c r="F51" i="1"/>
  <c r="F50" i="1"/>
  <c r="F49" i="1"/>
  <c r="H48" i="1"/>
  <c r="E52" i="1"/>
  <c r="E51" i="1"/>
  <c r="E50" i="1"/>
  <c r="E49" i="1"/>
  <c r="G48" i="1"/>
  <c r="E34" i="2"/>
  <c r="E27" i="2"/>
  <c r="L29" i="1"/>
  <c r="L23" i="1"/>
  <c r="C57" i="2"/>
  <c r="C56" i="2"/>
  <c r="C55" i="2"/>
  <c r="C30" i="2"/>
  <c r="C54" i="2"/>
  <c r="H18" i="2"/>
  <c r="J62" i="2" l="1"/>
  <c r="N48" i="1"/>
  <c r="M48" i="1"/>
  <c r="M49" i="1" s="1"/>
  <c r="U48" i="1"/>
  <c r="U51" i="1" s="1"/>
  <c r="L48" i="1"/>
  <c r="K66" i="2"/>
  <c r="K18" i="2"/>
  <c r="D29" i="2"/>
  <c r="J39" i="2"/>
  <c r="L51" i="1"/>
  <c r="L52" i="1"/>
  <c r="L50" i="1"/>
  <c r="L49" i="1"/>
  <c r="K51" i="1"/>
  <c r="K50" i="1"/>
  <c r="K49" i="1"/>
  <c r="K52" i="1"/>
  <c r="N52" i="1"/>
  <c r="N51" i="1"/>
  <c r="N50" i="1"/>
  <c r="N49" i="1"/>
  <c r="H51" i="1"/>
  <c r="H50" i="1"/>
  <c r="H49" i="1"/>
  <c r="H52" i="1"/>
  <c r="G51" i="1"/>
  <c r="G49" i="1"/>
  <c r="G52" i="1"/>
  <c r="G50" i="1"/>
  <c r="M50" i="1"/>
  <c r="M52" i="1"/>
  <c r="M51" i="1"/>
  <c r="J38" i="2"/>
  <c r="K62" i="2"/>
  <c r="J24" i="2"/>
  <c r="J41" i="2" s="1"/>
  <c r="R52" i="1"/>
  <c r="R51" i="1"/>
  <c r="R50" i="1"/>
  <c r="E29" i="2"/>
  <c r="E61" i="2" s="1"/>
  <c r="E35" i="2"/>
  <c r="F33" i="2"/>
  <c r="G20" i="2" s="1"/>
  <c r="Q50" i="1"/>
  <c r="Q52" i="1"/>
  <c r="Q51" i="1"/>
  <c r="H37" i="2"/>
  <c r="J40" i="2"/>
  <c r="P48" i="1"/>
  <c r="M24" i="1"/>
  <c r="L24" i="1"/>
  <c r="O48" i="1"/>
  <c r="O49" i="1" s="1"/>
  <c r="I18" i="2"/>
  <c r="D30" i="2" l="1"/>
  <c r="D61" i="2"/>
  <c r="U52" i="1"/>
  <c r="U50" i="1"/>
  <c r="U49" i="1"/>
  <c r="E57" i="2"/>
  <c r="E54" i="2"/>
  <c r="D57" i="2"/>
  <c r="D54" i="2"/>
  <c r="D55" i="2"/>
  <c r="D56" i="2"/>
  <c r="K39" i="2"/>
  <c r="L22" i="2"/>
  <c r="F34" i="2"/>
  <c r="O51" i="1"/>
  <c r="O52" i="1"/>
  <c r="O50" i="1"/>
  <c r="G33" i="2"/>
  <c r="H20" i="2" s="1"/>
  <c r="G25" i="2"/>
  <c r="G19" i="2"/>
  <c r="I37" i="2"/>
  <c r="E30" i="2"/>
  <c r="E56" i="2"/>
  <c r="E55" i="2"/>
  <c r="P49" i="1"/>
  <c r="P51" i="1"/>
  <c r="P50" i="1"/>
  <c r="P52" i="1"/>
  <c r="J18" i="2"/>
  <c r="L23" i="2"/>
  <c r="K40" i="2"/>
  <c r="L21" i="2"/>
  <c r="K38" i="2"/>
  <c r="K24" i="2"/>
  <c r="K41" i="2" l="1"/>
  <c r="M22" i="2"/>
  <c r="L39" i="2"/>
  <c r="G34" i="2"/>
  <c r="M21" i="2"/>
  <c r="L38" i="2"/>
  <c r="L24" i="2"/>
  <c r="L41" i="2" s="1"/>
  <c r="L40" i="2"/>
  <c r="M23" i="2"/>
  <c r="J37" i="2"/>
  <c r="H25" i="2"/>
  <c r="H33" i="2"/>
  <c r="I20" i="2" s="1"/>
  <c r="H19" i="2"/>
  <c r="F35" i="2"/>
  <c r="M39" i="2" l="1"/>
  <c r="N22" i="2"/>
  <c r="I25" i="2"/>
  <c r="I33" i="2"/>
  <c r="J20" i="2" s="1"/>
  <c r="I19" i="2"/>
  <c r="H34" i="2"/>
  <c r="K37" i="2"/>
  <c r="L18" i="2"/>
  <c r="M40" i="2"/>
  <c r="N23" i="2"/>
  <c r="M38" i="2"/>
  <c r="N21" i="2"/>
  <c r="M24" i="2"/>
  <c r="M41" i="2" s="1"/>
  <c r="N39" i="2" l="1"/>
  <c r="O22" i="2"/>
  <c r="N40" i="2"/>
  <c r="O23" i="2"/>
  <c r="N38" i="2"/>
  <c r="N24" i="2"/>
  <c r="N41" i="2" s="1"/>
  <c r="O21" i="2"/>
  <c r="L37" i="2"/>
  <c r="M18" i="2"/>
  <c r="J33" i="2"/>
  <c r="K20" i="2" s="1"/>
  <c r="K25" i="2" s="1"/>
  <c r="J25" i="2"/>
  <c r="J19" i="2"/>
  <c r="G26" i="2"/>
  <c r="G27" i="2" s="1"/>
  <c r="I34" i="2"/>
  <c r="O39" i="2" l="1"/>
  <c r="P22" i="2"/>
  <c r="G28" i="2"/>
  <c r="G35" i="2" s="1"/>
  <c r="J34" i="2"/>
  <c r="K33" i="2"/>
  <c r="L20" i="2" s="1"/>
  <c r="K19" i="2"/>
  <c r="N18" i="2"/>
  <c r="M37" i="2"/>
  <c r="P21" i="2"/>
  <c r="O24" i="2"/>
  <c r="O41" i="2" s="1"/>
  <c r="O38" i="2"/>
  <c r="O40" i="2"/>
  <c r="P23" i="2"/>
  <c r="G29" i="2" l="1"/>
  <c r="P39" i="2"/>
  <c r="Q22" i="2"/>
  <c r="P40" i="2"/>
  <c r="Q23" i="2"/>
  <c r="Q21" i="2"/>
  <c r="R21" i="2" s="1"/>
  <c r="P24" i="2"/>
  <c r="P41" i="2" s="1"/>
  <c r="P38" i="2"/>
  <c r="O18" i="2"/>
  <c r="N37" i="2"/>
  <c r="K34" i="2"/>
  <c r="L33" i="2"/>
  <c r="M20" i="2" s="1"/>
  <c r="L25" i="2"/>
  <c r="L19" i="2"/>
  <c r="S21" i="2" l="1"/>
  <c r="R38" i="2"/>
  <c r="Q40" i="2"/>
  <c r="R23" i="2"/>
  <c r="Q39" i="2"/>
  <c r="R22" i="2"/>
  <c r="G30" i="2"/>
  <c r="G43" i="2"/>
  <c r="H26" i="2" s="1"/>
  <c r="H27" i="2" s="1"/>
  <c r="G61" i="2"/>
  <c r="L34" i="2"/>
  <c r="P18" i="2"/>
  <c r="O37" i="2"/>
  <c r="M25" i="2"/>
  <c r="M33" i="2"/>
  <c r="N20" i="2" s="1"/>
  <c r="M19" i="2"/>
  <c r="Q38" i="2"/>
  <c r="Q24" i="2"/>
  <c r="Q41" i="2" s="1"/>
  <c r="S22" i="2" l="1"/>
  <c r="R39" i="2"/>
  <c r="R40" i="2"/>
  <c r="S23" i="2"/>
  <c r="S24" i="2"/>
  <c r="T21" i="2"/>
  <c r="S38" i="2"/>
  <c r="R24" i="2"/>
  <c r="R41" i="2" s="1"/>
  <c r="N33" i="2"/>
  <c r="O20" i="2" s="1"/>
  <c r="N25" i="2"/>
  <c r="N19" i="2"/>
  <c r="H28" i="2"/>
  <c r="H35" i="2" s="1"/>
  <c r="Q18" i="2"/>
  <c r="R18" i="2" s="1"/>
  <c r="P37" i="2"/>
  <c r="M34" i="2"/>
  <c r="U21" i="2" l="1"/>
  <c r="T38" i="2"/>
  <c r="S41" i="2"/>
  <c r="S40" i="2"/>
  <c r="T23" i="2"/>
  <c r="T22" i="2"/>
  <c r="S39" i="2"/>
  <c r="S18" i="2"/>
  <c r="R37" i="2"/>
  <c r="H29" i="2"/>
  <c r="N34" i="2"/>
  <c r="Q37" i="2"/>
  <c r="O25" i="2"/>
  <c r="O33" i="2"/>
  <c r="P20" i="2" s="1"/>
  <c r="O19" i="2"/>
  <c r="U22" i="2" l="1"/>
  <c r="U39" i="2" s="1"/>
  <c r="T39" i="2"/>
  <c r="U23" i="2"/>
  <c r="U40" i="2" s="1"/>
  <c r="T40" i="2"/>
  <c r="U24" i="2"/>
  <c r="U38" i="2"/>
  <c r="T24" i="2"/>
  <c r="T41" i="2" s="1"/>
  <c r="T18" i="2"/>
  <c r="S37" i="2"/>
  <c r="H30" i="2"/>
  <c r="H61" i="2"/>
  <c r="H43" i="2"/>
  <c r="I26" i="2" s="1"/>
  <c r="I27" i="2" s="1"/>
  <c r="O34" i="2"/>
  <c r="P33" i="2"/>
  <c r="Q20" i="2" s="1"/>
  <c r="P25" i="2"/>
  <c r="P19" i="2"/>
  <c r="U41" i="2" l="1"/>
  <c r="U18" i="2"/>
  <c r="T37" i="2"/>
  <c r="I28" i="2"/>
  <c r="I35" i="2" s="1"/>
  <c r="P34" i="2"/>
  <c r="Q33" i="2"/>
  <c r="R20" i="2" s="1"/>
  <c r="Q25" i="2"/>
  <c r="Q19" i="2"/>
  <c r="R33" i="2" l="1"/>
  <c r="S20" i="2" s="1"/>
  <c r="R25" i="2"/>
  <c r="R19" i="2"/>
  <c r="U37" i="2"/>
  <c r="I29" i="2"/>
  <c r="Q34" i="2"/>
  <c r="I43" i="2" l="1"/>
  <c r="R34" i="2"/>
  <c r="S25" i="2"/>
  <c r="S33" i="2"/>
  <c r="T20" i="2" s="1"/>
  <c r="S19" i="2"/>
  <c r="I30" i="2"/>
  <c r="I61" i="2"/>
  <c r="J26" i="2"/>
  <c r="J27" i="2" s="1"/>
  <c r="T33" i="2" l="1"/>
  <c r="U20" i="2" s="1"/>
  <c r="T25" i="2"/>
  <c r="T19" i="2"/>
  <c r="S34" i="2"/>
  <c r="J28" i="2"/>
  <c r="J35" i="2" s="1"/>
  <c r="T34" i="2" l="1"/>
  <c r="U25" i="2"/>
  <c r="U33" i="2"/>
  <c r="U19" i="2"/>
  <c r="J29" i="2"/>
  <c r="J43" i="2"/>
  <c r="J61" i="2" l="1"/>
  <c r="J30" i="2"/>
  <c r="U34" i="2"/>
  <c r="K26" i="2"/>
  <c r="K27" i="2" s="1"/>
  <c r="K28" i="2" l="1"/>
  <c r="K35" i="2" s="1"/>
  <c r="K29" i="2" l="1"/>
  <c r="K43" i="2"/>
  <c r="K30" i="2" l="1"/>
  <c r="K61" i="2"/>
  <c r="L26" i="2"/>
  <c r="L27" i="2" s="1"/>
  <c r="L28" i="2" l="1"/>
  <c r="L35" i="2" s="1"/>
  <c r="L29" i="2" l="1"/>
  <c r="L30" i="2" s="1"/>
  <c r="L43" i="2" l="1"/>
  <c r="M26" i="2" s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 l="1"/>
  <c r="N43" i="2"/>
  <c r="O26" i="2" l="1"/>
  <c r="O27" i="2" s="1"/>
  <c r="O28" i="2" l="1"/>
  <c r="O35" i="2" s="1"/>
  <c r="O29" i="2" l="1"/>
  <c r="O30" i="2"/>
  <c r="O43" i="2"/>
  <c r="P26" i="2" l="1"/>
  <c r="P27" i="2" s="1"/>
  <c r="P28" i="2" l="1"/>
  <c r="P35" i="2" s="1"/>
  <c r="P29" i="2" l="1"/>
  <c r="P30" i="2"/>
  <c r="P43" i="2"/>
  <c r="Q26" i="2" l="1"/>
  <c r="Q27" i="2" s="1"/>
  <c r="Q28" i="2" l="1"/>
  <c r="Q35" i="2" s="1"/>
  <c r="Q29" i="2" l="1"/>
  <c r="Q30" i="2" l="1"/>
  <c r="Q43" i="2"/>
  <c r="R26" i="2" l="1"/>
  <c r="R27" i="2" s="1"/>
  <c r="R28" i="2" l="1"/>
  <c r="R35" i="2" s="1"/>
  <c r="R29" i="2"/>
  <c r="R30" i="2" l="1"/>
  <c r="R43" i="2"/>
  <c r="S26" i="2" l="1"/>
  <c r="S27" i="2" s="1"/>
  <c r="S28" i="2" l="1"/>
  <c r="S35" i="2" s="1"/>
  <c r="S29" i="2"/>
  <c r="S30" i="2" l="1"/>
  <c r="S43" i="2"/>
  <c r="T26" i="2" l="1"/>
  <c r="T27" i="2" s="1"/>
  <c r="T28" i="2" l="1"/>
  <c r="T35" i="2" s="1"/>
  <c r="T29" i="2"/>
  <c r="T30" i="2" l="1"/>
  <c r="T43" i="2"/>
  <c r="U26" i="2" l="1"/>
  <c r="U27" i="2" s="1"/>
  <c r="U28" i="2" l="1"/>
  <c r="U35" i="2" s="1"/>
  <c r="U29" i="2"/>
  <c r="V29" i="2" l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U30" i="2"/>
  <c r="U43" i="2"/>
  <c r="DS29" i="2" l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F5" i="2" s="1"/>
  <c r="F6" i="2" s="1"/>
  <c r="F7" i="2" s="1"/>
  <c r="G7" i="2" s="1"/>
</calcChain>
</file>

<file path=xl/sharedStrings.xml><?xml version="1.0" encoding="utf-8"?>
<sst xmlns="http://schemas.openxmlformats.org/spreadsheetml/2006/main" count="190" uniqueCount="138">
  <si>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</si>
  <si>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</si>
  <si>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</si>
  <si>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</si>
  <si>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</si>
  <si>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</si>
  <si>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</si>
  <si>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</si>
  <si>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</si>
  <si>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</si>
  <si>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</si>
  <si>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</si>
  <si>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</si>
  <si>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</si>
  <si>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</si>
  <si>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</si>
  <si>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</si>
  <si>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</si>
  <si>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</si>
  <si>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</si>
  <si>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</si>
  <si>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</si>
  <si>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</si>
  <si>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</si>
  <si>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</si>
  <si>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</si>
  <si>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</si>
  <si>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</si>
  <si>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</si>
  <si>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</si>
  <si>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</si>
  <si>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</si>
  <si>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</si>
  <si>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</si>
  <si>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</si>
  <si>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</si>
  <si>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</si>
  <si>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</si>
  <si>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</si>
  <si>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</si>
  <si>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</si>
  <si>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</si>
  <si>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</si>
  <si>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</si>
  <si>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</si>
  <si>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</si>
  <si>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</si>
  <si>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</si>
  <si>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</si>
  <si>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</si>
  <si>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</si>
  <si>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</si>
  <si>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</si>
  <si>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</si>
  <si>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</si>
  <si>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</si>
  <si>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</si>
  <si>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</si>
  <si>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Google other</t>
  </si>
  <si>
    <t>Google advertising</t>
  </si>
  <si>
    <t>Other bets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</si>
  <si>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</si>
  <si>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</si>
  <si>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</si>
  <si>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</si>
  <si>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</si>
  <si>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</si>
  <si>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</si>
  <si>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</si>
  <si>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</si>
  <si>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</si>
  <si>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Larry Page</t>
  </si>
  <si>
    <t>Sergey Brin</t>
  </si>
  <si>
    <t>Q119</t>
  </si>
  <si>
    <t>Q219</t>
  </si>
  <si>
    <t>Q319</t>
  </si>
  <si>
    <t>Q419</t>
  </si>
  <si>
    <t>Other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</si>
  <si>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</si>
  <si>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</si>
  <si>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</si>
  <si>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</si>
  <si>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</si>
  <si>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</si>
  <si>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</si>
  <si>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</si>
  <si>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</si>
  <si>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</si>
  <si>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</si>
  <si>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Alphabet Inc (GOOGL)</t>
  </si>
  <si>
    <t>Expected return on invested capital (innovation grade)</t>
  </si>
  <si>
    <t>Google advertising y/y</t>
  </si>
  <si>
    <t>Google other y/y</t>
  </si>
  <si>
    <t>Other bets y/y</t>
  </si>
  <si>
    <t>DAU</t>
  </si>
  <si>
    <t>ARPU</t>
  </si>
  <si>
    <t>DAU y/y</t>
  </si>
  <si>
    <t>Google</t>
  </si>
  <si>
    <t>Android</t>
  </si>
  <si>
    <t>Chrome</t>
  </si>
  <si>
    <t>Google Maps</t>
  </si>
  <si>
    <t>Google Play</t>
  </si>
  <si>
    <t>Nest</t>
  </si>
  <si>
    <t>Search</t>
  </si>
  <si>
    <t>YouTube</t>
  </si>
  <si>
    <t>Access</t>
  </si>
  <si>
    <t>Calico</t>
  </si>
  <si>
    <t>CapitalG</t>
  </si>
  <si>
    <t>Chronicle</t>
  </si>
  <si>
    <t>GV</t>
  </si>
  <si>
    <t>Verily</t>
  </si>
  <si>
    <t>Waymo</t>
  </si>
  <si>
    <t>X</t>
  </si>
  <si>
    <t>ARPU y/y</t>
  </si>
  <si>
    <t>Tax anomaly &amp; fines</t>
  </si>
  <si>
    <t>31/3/2019</t>
  </si>
  <si>
    <t>31/12/2019</t>
  </si>
  <si>
    <t>Risk-free rate + market premium (opportunity cost)</t>
  </si>
  <si>
    <t>Net present value on future net income (terminal value)</t>
  </si>
  <si>
    <t>OE y/y</t>
  </si>
  <si>
    <t>http://www.worldgovernmentbonds.com/country/united-states/</t>
  </si>
  <si>
    <t>BADWILL</t>
  </si>
  <si>
    <t>30/6/2019</t>
  </si>
  <si>
    <t>30/9/2019</t>
  </si>
  <si>
    <t>Advertising</t>
  </si>
  <si>
    <t>Google Cloud</t>
  </si>
  <si>
    <t>Discontinued?</t>
  </si>
  <si>
    <t>PRODUCTS</t>
  </si>
  <si>
    <t>Life science</t>
  </si>
  <si>
    <t>RORC</t>
  </si>
  <si>
    <t>PRR</t>
  </si>
  <si>
    <t>Intangibles per share</t>
  </si>
  <si>
    <t>Price to R&amp;D ratio</t>
  </si>
  <si>
    <t>Return on research capital</t>
  </si>
  <si>
    <t>Google cloud</t>
  </si>
  <si>
    <t>Google cloud y/y</t>
  </si>
  <si>
    <t>Q120</t>
  </si>
  <si>
    <t>Q220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</si>
</sst>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3" fontId="0" fillId="0" borderId="0" xfId="0"/>
    <xf numFmtId="0" fontId="4" fillId="0" borderId="0" xfId="4" applyFont="1" applyBorder="1"/>
    <xf numFmtId="3" fontId="5" fillId="0" borderId="0" xfId="0" applyFont="1"/>
    <xf numFmtId="3" fontId="6" fillId="0" borderId="0" xfId="0" applyFont="1"/>
    <xf numFmtId="4" fontId="6" fillId="0" borderId="0" xfId="0" applyNumberFormat="1" applyFont="1" applyBorder="1"/>
    <xf numFmtId="3" fontId="7" fillId="0" borderId="0" xfId="0" applyFont="1"/>
    <xf numFmtId="3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3" fontId="5" fillId="0" borderId="0" xfId="0" applyFont="1" applyBorder="1"/>
    <xf numFmtId="164" fontId="5" fillId="2" borderId="0" xfId="0" applyNumberFormat="1" applyFont="1" applyFill="1"/>
    <xf numFmtId="3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/>
    <xf numFmtId="3" fontId="6" fillId="0" borderId="0" xfId="0" applyFont="1" applyFill="1" applyBorder="1"/>
    <xf numFmtId="9" fontId="6" fillId="0" borderId="0" xfId="0" applyNumberFormat="1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6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3" fontId="0" fillId="0" borderId="0" xfId="0" applyFont="1"/>
    <xf numFmtId="0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 applyFill="1" applyAlignment="1">
      <alignment horizontal="right"/>
    </xf>
    <xf numFmtId="3" fontId="5" fillId="0" borderId="2" xfId="0" applyFont="1" applyBorder="1"/>
    <xf numFmtId="3" fontId="6" fillId="0" borderId="2" xfId="0" applyFont="1" applyBorder="1"/>
    <xf numFmtId="3" fontId="8" fillId="0" borderId="0" xfId="0" applyFont="1"/>
    <xf numFmtId="1" fontId="6" fillId="2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left"/>
    </xf>
    <xf numFmtId="9" fontId="7" fillId="0" borderId="0" xfId="0" applyNumberFormat="1" applyFont="1" applyAlignment="1">
      <alignment horizontal="left"/>
    </xf>
    <xf numFmtId="3" fontId="0" fillId="0" borderId="0" xfId="0" applyFont="1" applyFill="1" applyBorder="1"/>
    <xf numFmtId="14" fontId="6" fillId="0" borderId="0" xfId="0" applyNumberFormat="1" applyFont="1" applyAlignment="1">
      <alignment horizontal="left"/>
    </xf>
    <xf numFmtId="0" fontId="4" fillId="0" borderId="0" xfId="4" applyNumberFormat="1" applyFont="1" applyBorder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0" fontId="0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6" fillId="0" borderId="1" xfId="0" applyFont="1" applyBorder="1"/>
    <xf numFmtId="3" fontId="0" fillId="0" borderId="1" xfId="0" applyNumberFormat="1" applyFont="1" applyFill="1" applyBorder="1" applyAlignment="1">
      <alignment horizontal="right"/>
    </xf>
    <xf numFmtId="3" fontId="7" fillId="0" borderId="1" xfId="0" applyFont="1" applyBorder="1"/>
    <xf numFmtId="9" fontId="6" fillId="0" borderId="1" xfId="0" applyNumberFormat="1" applyFont="1" applyBorder="1"/>
    <xf numFmtId="0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7</xdr:row>
      <xdr:rowOff>152400</xdr:rowOff>
    </xdr:from>
    <xdr:to>
      <xdr:col>6</xdr:col>
      <xdr:colOff>215900</xdr:colOff>
      <xdr:row>71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53100" y="1308100"/>
          <a:ext cx="0" cy="102616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0</xdr:row>
      <xdr:rowOff>139700</xdr:rowOff>
    </xdr:from>
    <xdr:to>
      <xdr:col>23</xdr:col>
      <xdr:colOff>190500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761200" y="139700"/>
          <a:ext cx="0" cy="9918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ergey_Brin" TargetMode="External"/><Relationship Id="rId2" Type="http://schemas.openxmlformats.org/officeDocument/2006/relationships/hyperlink" Target="https://en.wikipedia.org/wiki/Larry_Page" TargetMode="External"/><Relationship Id="rId1" Type="http://schemas.openxmlformats.org/officeDocument/2006/relationships/hyperlink" Target="https://en.wikipedia.org/wiki/Larry_Pag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abc.xyz/inves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52044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70"/>
  <sheetViews>
    <sheetView tabSelected="1" workbookViewId="0">
      <pane xSplit="1" ySplit="9" topLeftCell="F10" activePane="bottomRight" state="frozen"/>
      <selection pane="topRight" activeCell="B1" sqref="B1"/>
      <selection pane="bottomLeft" activeCell="A11" sqref="A11"/>
      <selection pane="bottomRight" activeCell="K6" sqref="K6"/>
    </sheetView>
  </sheetViews>
  <sheetFormatPr baseColWidth="10" defaultRowHeight="13" x14ac:dyDescent="0.15"/>
  <cols>
    <col min="1" max="1" width="18.5" style="3" bestFit="1" customWidth="1"/>
    <col min="2" max="16384" width="10.83203125" style="3"/>
  </cols>
  <sheetData>
    <row r="1" spans="1:122" x14ac:dyDescent="0.15">
      <c r="A1" s="1" t="s">
        <v>88</v>
      </c>
      <c r="B1" s="2" t="s">
        <v>89</v>
      </c>
    </row>
    <row r="2" spans="1:122" x14ac:dyDescent="0.15">
      <c r="B2" s="3" t="s">
        <v>67</v>
      </c>
      <c r="C2" s="4">
        <v>1438.77</v>
      </c>
      <c r="D2" s="80">
        <v>44099</v>
      </c>
      <c r="E2" s="6" t="s">
        <v>37</v>
      </c>
      <c r="F2" s="7">
        <v>-0.02</v>
      </c>
      <c r="I2" s="16"/>
      <c r="L2" s="2"/>
    </row>
    <row r="3" spans="1:122" x14ac:dyDescent="0.15">
      <c r="A3" s="2" t="s">
        <v>65</v>
      </c>
      <c r="B3" s="3" t="s">
        <v>17</v>
      </c>
      <c r="C3" s="8">
        <f>Reports!W25</f>
        <v>687.024</v>
      </c>
      <c r="D3" s="58" t="s">
        <v>137</v>
      </c>
      <c r="E3" s="6" t="s">
        <v>38</v>
      </c>
      <c r="F3" s="7">
        <v>0.05</v>
      </c>
      <c r="G3" s="5" t="s">
        <v>90</v>
      </c>
      <c r="I3" s="16"/>
    </row>
    <row r="4" spans="1:122" x14ac:dyDescent="0.15">
      <c r="A4" s="9" t="s">
        <v>71</v>
      </c>
      <c r="B4" s="3" t="s">
        <v>68</v>
      </c>
      <c r="C4" s="10">
        <f>C2*C3</f>
        <v>988469.52047999995</v>
      </c>
      <c r="D4" s="58"/>
      <c r="E4" s="6" t="s">
        <v>39</v>
      </c>
      <c r="F4" s="7">
        <f>5%</f>
        <v>0.05</v>
      </c>
      <c r="G4" s="5" t="s">
        <v>117</v>
      </c>
      <c r="I4" s="25"/>
      <c r="L4" s="9" t="s">
        <v>120</v>
      </c>
    </row>
    <row r="5" spans="1:122" x14ac:dyDescent="0.15">
      <c r="B5" s="3" t="s">
        <v>33</v>
      </c>
      <c r="C5" s="8">
        <f>Reports!W37</f>
        <v>117062</v>
      </c>
      <c r="D5" s="58" t="s">
        <v>137</v>
      </c>
      <c r="E5" s="6" t="s">
        <v>40</v>
      </c>
      <c r="F5" s="11">
        <f>NPV(F4,G29:GF29)</f>
        <v>2485676.2006388796</v>
      </c>
      <c r="G5" s="5" t="s">
        <v>118</v>
      </c>
      <c r="I5" s="25"/>
    </row>
    <row r="6" spans="1:122" x14ac:dyDescent="0.15">
      <c r="A6" s="2" t="s">
        <v>66</v>
      </c>
      <c r="B6" s="3" t="s">
        <v>69</v>
      </c>
      <c r="C6" s="10">
        <f>C4-C5</f>
        <v>871407.52047999995</v>
      </c>
      <c r="D6" s="58"/>
      <c r="E6" s="12" t="s">
        <v>41</v>
      </c>
      <c r="F6" s="13">
        <f>F5+C5</f>
        <v>2602738.2006388796</v>
      </c>
      <c r="I6" s="25"/>
    </row>
    <row r="7" spans="1:122" x14ac:dyDescent="0.15">
      <c r="A7" s="9" t="s">
        <v>71</v>
      </c>
      <c r="B7" s="5" t="s">
        <v>70</v>
      </c>
      <c r="C7" s="55">
        <f>C6/C3</f>
        <v>1268.3800281795104</v>
      </c>
      <c r="D7" s="58"/>
      <c r="E7" s="14" t="s">
        <v>70</v>
      </c>
      <c r="F7" s="51">
        <f>F6/C3</f>
        <v>3788.4239861182136</v>
      </c>
      <c r="G7" s="78">
        <f>F7/C2-1</f>
        <v>1.6330990958375651</v>
      </c>
    </row>
    <row r="8" spans="1:122" x14ac:dyDescent="0.15">
      <c r="A8" s="9" t="s">
        <v>72</v>
      </c>
      <c r="E8" s="6"/>
      <c r="F8" s="15"/>
    </row>
    <row r="9" spans="1:122" s="59" customFormat="1" x14ac:dyDescent="0.15">
      <c r="B9" s="61">
        <v>2015</v>
      </c>
      <c r="C9" s="61">
        <v>2016</v>
      </c>
      <c r="D9" s="61">
        <v>2017</v>
      </c>
      <c r="E9" s="61">
        <f>D9+1</f>
        <v>2018</v>
      </c>
      <c r="F9" s="61">
        <f t="shared" ref="F9:U9" si="0">E9+1</f>
        <v>2019</v>
      </c>
      <c r="G9" s="61">
        <f t="shared" si="0"/>
        <v>2020</v>
      </c>
      <c r="H9" s="61">
        <f t="shared" si="0"/>
        <v>2021</v>
      </c>
      <c r="I9" s="61">
        <f t="shared" si="0"/>
        <v>2022</v>
      </c>
      <c r="J9" s="61">
        <f t="shared" si="0"/>
        <v>2023</v>
      </c>
      <c r="K9" s="61">
        <f t="shared" si="0"/>
        <v>2024</v>
      </c>
      <c r="L9" s="61">
        <f t="shared" si="0"/>
        <v>2025</v>
      </c>
      <c r="M9" s="61">
        <f t="shared" si="0"/>
        <v>2026</v>
      </c>
      <c r="N9" s="61">
        <f t="shared" si="0"/>
        <v>2027</v>
      </c>
      <c r="O9" s="61">
        <f t="shared" si="0"/>
        <v>2028</v>
      </c>
      <c r="P9" s="61">
        <f t="shared" si="0"/>
        <v>2029</v>
      </c>
      <c r="Q9" s="61">
        <f t="shared" si="0"/>
        <v>2030</v>
      </c>
      <c r="R9" s="61">
        <f t="shared" si="0"/>
        <v>2031</v>
      </c>
      <c r="S9" s="61">
        <f t="shared" si="0"/>
        <v>2032</v>
      </c>
      <c r="T9" s="61">
        <f t="shared" si="0"/>
        <v>2033</v>
      </c>
      <c r="U9" s="61">
        <f t="shared" si="0"/>
        <v>2034</v>
      </c>
    </row>
    <row r="10" spans="1:122" x14ac:dyDescent="0.15">
      <c r="A10" s="3" t="s">
        <v>59</v>
      </c>
      <c r="B10" s="29">
        <f>SUM(Reports!B3:E3)</f>
        <v>67390</v>
      </c>
      <c r="C10" s="29">
        <f>SUM(Reports!F3:I3)</f>
        <v>79383</v>
      </c>
      <c r="D10" s="46">
        <f>SUM(Reports!J3:M3)</f>
        <v>95375</v>
      </c>
      <c r="E10" s="46">
        <f>SUM(Reports!N3:Q3)</f>
        <v>116201</v>
      </c>
      <c r="F10" s="46">
        <f>SUM(Reports!R3:U3)</f>
        <v>134931</v>
      </c>
      <c r="G10" s="46">
        <f>F10*1.15</f>
        <v>155170.65</v>
      </c>
      <c r="H10" s="46">
        <f t="shared" ref="H10:K10" si="1">G10*1.15</f>
        <v>178446.24749999997</v>
      </c>
      <c r="I10" s="46">
        <f t="shared" si="1"/>
        <v>205213.18462499994</v>
      </c>
      <c r="J10" s="46">
        <f t="shared" si="1"/>
        <v>235995.16231874991</v>
      </c>
      <c r="K10" s="46">
        <f t="shared" si="1"/>
        <v>271394.4366665624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A11" s="3" t="s">
        <v>134</v>
      </c>
      <c r="B11" s="29"/>
      <c r="C11" s="29"/>
      <c r="D11" s="46"/>
      <c r="E11" s="46">
        <f>SUM(Reports!N4:Q4)</f>
        <v>1709</v>
      </c>
      <c r="F11" s="46">
        <f>SUM(Reports!R4:U4)</f>
        <v>6539</v>
      </c>
      <c r="G11" s="46">
        <f>F11*1.5</f>
        <v>9808.5</v>
      </c>
      <c r="H11" s="46">
        <f t="shared" ref="H11:K11" si="2">G11*1.5</f>
        <v>14712.75</v>
      </c>
      <c r="I11" s="46">
        <f t="shared" si="2"/>
        <v>22069.125</v>
      </c>
      <c r="J11" s="46">
        <f t="shared" si="2"/>
        <v>33103.6875</v>
      </c>
      <c r="K11" s="46">
        <f t="shared" si="2"/>
        <v>49655.53125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x14ac:dyDescent="0.15">
      <c r="A12" s="3" t="s">
        <v>58</v>
      </c>
      <c r="B12" s="29">
        <f>SUM(Reports!B5:E5)</f>
        <v>7154</v>
      </c>
      <c r="C12" s="29">
        <f>SUM(Reports!F5:I5)</f>
        <v>10079</v>
      </c>
      <c r="D12" s="46">
        <f>SUM(Reports!J5:M5)</f>
        <v>14277</v>
      </c>
      <c r="E12" s="46">
        <f>SUM(Reports!N5:Q5)</f>
        <v>18190</v>
      </c>
      <c r="F12" s="46">
        <f>SUM(Reports!R5:U5)</f>
        <v>19392</v>
      </c>
      <c r="G12" s="46">
        <f>F12*1.25</f>
        <v>24240</v>
      </c>
      <c r="H12" s="46">
        <f t="shared" ref="H12:K12" si="3">G12*1.25</f>
        <v>30300</v>
      </c>
      <c r="I12" s="46">
        <f t="shared" si="3"/>
        <v>37875</v>
      </c>
      <c r="J12" s="46">
        <f t="shared" si="3"/>
        <v>47343.75</v>
      </c>
      <c r="K12" s="46">
        <f t="shared" si="3"/>
        <v>59179.6875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x14ac:dyDescent="0.15">
      <c r="A13" s="3" t="s">
        <v>60</v>
      </c>
      <c r="B13" s="29">
        <f>SUM(Reports!B6:E6)</f>
        <v>445</v>
      </c>
      <c r="C13" s="29">
        <f>SUM(Reports!F6:I6)</f>
        <v>810</v>
      </c>
      <c r="D13" s="46">
        <f>SUM(Reports!J6:M6)</f>
        <v>1203</v>
      </c>
      <c r="E13" s="46">
        <f>SUM(Reports!N6:Q6)</f>
        <v>719</v>
      </c>
      <c r="F13" s="46">
        <f>SUM(Reports!R6:U6)</f>
        <v>995</v>
      </c>
      <c r="G13" s="46">
        <f>F13*1.05</f>
        <v>1044.75</v>
      </c>
      <c r="H13" s="46">
        <f t="shared" ref="H13:K13" si="4">G13*1.05</f>
        <v>1096.9875</v>
      </c>
      <c r="I13" s="46">
        <f t="shared" si="4"/>
        <v>1151.836875</v>
      </c>
      <c r="J13" s="46">
        <f t="shared" si="4"/>
        <v>1209.4287187499999</v>
      </c>
      <c r="K13" s="46">
        <f t="shared" si="4"/>
        <v>1269.9001546874999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x14ac:dyDescent="0.15">
      <c r="B14" s="29"/>
      <c r="C14" s="29"/>
      <c r="D14" s="46"/>
      <c r="E14" s="46"/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122" s="16" customFormat="1" x14ac:dyDescent="0.15">
      <c r="A15" s="16" t="s">
        <v>94</v>
      </c>
      <c r="B15" s="29"/>
      <c r="C15" s="29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122" s="52" customFormat="1" x14ac:dyDescent="0.15">
      <c r="A16" s="52" t="s">
        <v>95</v>
      </c>
      <c r="B16" s="53"/>
      <c r="C16" s="53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</row>
    <row r="17" spans="1:188" x14ac:dyDescent="0.15">
      <c r="B17" s="47"/>
      <c r="C17" s="47"/>
      <c r="D17" s="47"/>
      <c r="E17" s="47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188" x14ac:dyDescent="0.15">
      <c r="A18" s="2" t="s">
        <v>4</v>
      </c>
      <c r="B18" s="31">
        <f t="shared" ref="B18:G18" si="5">SUM(B10:B13)</f>
        <v>74989</v>
      </c>
      <c r="C18" s="31">
        <f t="shared" si="5"/>
        <v>90272</v>
      </c>
      <c r="D18" s="31">
        <f t="shared" si="5"/>
        <v>110855</v>
      </c>
      <c r="E18" s="31">
        <f t="shared" si="5"/>
        <v>136819</v>
      </c>
      <c r="F18" s="31">
        <f t="shared" si="5"/>
        <v>161857</v>
      </c>
      <c r="G18" s="63">
        <f t="shared" si="5"/>
        <v>190263.9</v>
      </c>
      <c r="H18" s="63">
        <f t="shared" ref="H18:I18" si="6">SUM(H10:H13)</f>
        <v>224555.98499999996</v>
      </c>
      <c r="I18" s="63">
        <f t="shared" si="6"/>
        <v>266309.14649999992</v>
      </c>
      <c r="J18" s="63">
        <f>SUM(J10:J13)</f>
        <v>317652.02853749995</v>
      </c>
      <c r="K18" s="63">
        <f>SUM(K10:K13)</f>
        <v>381499.55557124992</v>
      </c>
      <c r="L18" s="63">
        <f t="shared" ref="L18:U18" si="7">K18*1.05</f>
        <v>400574.53334981244</v>
      </c>
      <c r="M18" s="63">
        <f t="shared" si="7"/>
        <v>420603.26001730305</v>
      </c>
      <c r="N18" s="63">
        <f t="shared" si="7"/>
        <v>441633.42301816825</v>
      </c>
      <c r="O18" s="63">
        <f t="shared" si="7"/>
        <v>463715.09416907671</v>
      </c>
      <c r="P18" s="63">
        <f t="shared" si="7"/>
        <v>486900.84887753054</v>
      </c>
      <c r="Q18" s="63">
        <f t="shared" si="7"/>
        <v>511245.89132140711</v>
      </c>
      <c r="R18" s="63">
        <f t="shared" si="7"/>
        <v>536808.18588747748</v>
      </c>
      <c r="S18" s="63">
        <f t="shared" si="7"/>
        <v>563648.59518185141</v>
      </c>
      <c r="T18" s="63">
        <f t="shared" si="7"/>
        <v>591831.02494094404</v>
      </c>
      <c r="U18" s="63">
        <f t="shared" si="7"/>
        <v>621422.5761879913</v>
      </c>
      <c r="V18" s="18"/>
    </row>
    <row r="19" spans="1:188" x14ac:dyDescent="0.15">
      <c r="A19" s="3" t="s">
        <v>5</v>
      </c>
      <c r="B19" s="29">
        <f>SUM(Reports!B12:E12)</f>
        <v>28164</v>
      </c>
      <c r="C19" s="29">
        <f>SUM(Reports!F12:I12)</f>
        <v>35138</v>
      </c>
      <c r="D19" s="46">
        <f>SUM(Reports!J12:M12)</f>
        <v>45583</v>
      </c>
      <c r="E19" s="29">
        <f>SUM(Reports!N12:Q12)</f>
        <v>59549</v>
      </c>
      <c r="F19" s="46">
        <f>SUM(Reports!R12:U12)</f>
        <v>71896</v>
      </c>
      <c r="G19" s="29">
        <f t="shared" ref="G19:H19" si="8">G18-G20</f>
        <v>84514.190639885826</v>
      </c>
      <c r="H19" s="29">
        <f t="shared" si="8"/>
        <v>99746.548481437305</v>
      </c>
      <c r="I19" s="29">
        <f t="shared" ref="I19:Q19" si="9">I18-I20</f>
        <v>118293.07596683491</v>
      </c>
      <c r="J19" s="29">
        <f t="shared" si="9"/>
        <v>141099.30521220644</v>
      </c>
      <c r="K19" s="29">
        <f t="shared" si="9"/>
        <v>169460.02982478723</v>
      </c>
      <c r="L19" s="29">
        <f t="shared" si="9"/>
        <v>177933.03131602661</v>
      </c>
      <c r="M19" s="29">
        <f t="shared" si="9"/>
        <v>186829.68288182793</v>
      </c>
      <c r="N19" s="29">
        <f t="shared" si="9"/>
        <v>196171.16702591933</v>
      </c>
      <c r="O19" s="29">
        <f t="shared" si="9"/>
        <v>205979.72537721533</v>
      </c>
      <c r="P19" s="29">
        <f t="shared" si="9"/>
        <v>216278.71164607612</v>
      </c>
      <c r="Q19" s="29">
        <f t="shared" si="9"/>
        <v>227092.64722837991</v>
      </c>
      <c r="R19" s="29">
        <f t="shared" ref="R19:U19" si="10">R18-R20</f>
        <v>238447.27958979894</v>
      </c>
      <c r="S19" s="29">
        <f t="shared" si="10"/>
        <v>250369.64356928889</v>
      </c>
      <c r="T19" s="29">
        <f t="shared" si="10"/>
        <v>262888.12574775337</v>
      </c>
      <c r="U19" s="29">
        <f t="shared" si="10"/>
        <v>276032.53203514108</v>
      </c>
      <c r="V19" s="8"/>
    </row>
    <row r="20" spans="1:188" x14ac:dyDescent="0.15">
      <c r="A20" s="3" t="s">
        <v>6</v>
      </c>
      <c r="B20" s="34">
        <f>B18-B19</f>
        <v>46825</v>
      </c>
      <c r="C20" s="34">
        <f>C18-C19</f>
        <v>55134</v>
      </c>
      <c r="D20" s="34">
        <f>D18-D19</f>
        <v>65272</v>
      </c>
      <c r="E20" s="34">
        <f>E18-E19</f>
        <v>77270</v>
      </c>
      <c r="F20" s="34">
        <f>F18-F19</f>
        <v>89961</v>
      </c>
      <c r="G20" s="29">
        <f t="shared" ref="G20:U20" si="11">G18*F33</f>
        <v>105749.70936011417</v>
      </c>
      <c r="H20" s="29">
        <f t="shared" si="11"/>
        <v>124809.43651856265</v>
      </c>
      <c r="I20" s="29">
        <f t="shared" si="11"/>
        <v>148016.07053316501</v>
      </c>
      <c r="J20" s="29">
        <f t="shared" si="11"/>
        <v>176552.72332529351</v>
      </c>
      <c r="K20" s="29">
        <f t="shared" si="11"/>
        <v>212039.52574646269</v>
      </c>
      <c r="L20" s="29">
        <f t="shared" si="11"/>
        <v>222641.50203378583</v>
      </c>
      <c r="M20" s="29">
        <f t="shared" si="11"/>
        <v>233773.57713547512</v>
      </c>
      <c r="N20" s="29">
        <f t="shared" si="11"/>
        <v>245462.25599224892</v>
      </c>
      <c r="O20" s="29">
        <f t="shared" si="11"/>
        <v>257735.36879186137</v>
      </c>
      <c r="P20" s="29">
        <f t="shared" si="11"/>
        <v>270622.13723145443</v>
      </c>
      <c r="Q20" s="29">
        <f t="shared" si="11"/>
        <v>284153.2440930272</v>
      </c>
      <c r="R20" s="29">
        <f t="shared" si="11"/>
        <v>298360.90629767854</v>
      </c>
      <c r="S20" s="29">
        <f t="shared" si="11"/>
        <v>313278.95161256252</v>
      </c>
      <c r="T20" s="29">
        <f t="shared" si="11"/>
        <v>328942.89919319068</v>
      </c>
      <c r="U20" s="29">
        <f t="shared" si="11"/>
        <v>345390.04415285023</v>
      </c>
      <c r="V20" s="8"/>
    </row>
    <row r="21" spans="1:188" x14ac:dyDescent="0.15">
      <c r="A21" s="3" t="s">
        <v>7</v>
      </c>
      <c r="B21" s="29">
        <f>SUM(Reports!B14:E14)</f>
        <v>12282</v>
      </c>
      <c r="C21" s="29">
        <f>SUM(Reports!F14:I14)</f>
        <v>13948</v>
      </c>
      <c r="D21" s="46">
        <f>SUM(Reports!J14:M14)</f>
        <v>16625</v>
      </c>
      <c r="E21" s="29">
        <f>SUM(Reports!N14:Q14)</f>
        <v>21419</v>
      </c>
      <c r="F21" s="46">
        <f>SUM(Reports!R14:U14)</f>
        <v>26018</v>
      </c>
      <c r="G21" s="29">
        <f>F21*1.2</f>
        <v>31221.599999999999</v>
      </c>
      <c r="H21" s="29">
        <f t="shared" ref="H21:K21" si="12">G21*1.2</f>
        <v>37465.919999999998</v>
      </c>
      <c r="I21" s="29">
        <f t="shared" si="12"/>
        <v>44959.103999999999</v>
      </c>
      <c r="J21" s="29">
        <f t="shared" si="12"/>
        <v>53950.924800000001</v>
      </c>
      <c r="K21" s="29">
        <f t="shared" si="12"/>
        <v>64741.109759999999</v>
      </c>
      <c r="L21" s="29">
        <f t="shared" ref="L21:U21" si="13">K21*1.05</f>
        <v>67978.165248000005</v>
      </c>
      <c r="M21" s="29">
        <f t="shared" si="13"/>
        <v>71377.073510400005</v>
      </c>
      <c r="N21" s="29">
        <f t="shared" si="13"/>
        <v>74945.927185920009</v>
      </c>
      <c r="O21" s="29">
        <f t="shared" si="13"/>
        <v>78693.223545216009</v>
      </c>
      <c r="P21" s="29">
        <f t="shared" si="13"/>
        <v>82627.884722476811</v>
      </c>
      <c r="Q21" s="29">
        <f t="shared" si="13"/>
        <v>86759.278958600655</v>
      </c>
      <c r="R21" s="29">
        <f t="shared" si="13"/>
        <v>91097.242906530693</v>
      </c>
      <c r="S21" s="29">
        <f t="shared" si="13"/>
        <v>95652.10505185723</v>
      </c>
      <c r="T21" s="29">
        <f t="shared" si="13"/>
        <v>100434.7103044501</v>
      </c>
      <c r="U21" s="29">
        <f t="shared" si="13"/>
        <v>105456.4458196726</v>
      </c>
      <c r="V21" s="8"/>
    </row>
    <row r="22" spans="1:188" x14ac:dyDescent="0.15">
      <c r="A22" s="3" t="s">
        <v>8</v>
      </c>
      <c r="B22" s="29">
        <f>SUM(Reports!B15:E15)</f>
        <v>9047</v>
      </c>
      <c r="C22" s="29">
        <f>SUM(Reports!F15:I15)</f>
        <v>10485</v>
      </c>
      <c r="D22" s="46">
        <f>SUM(Reports!J15:M15)</f>
        <v>12893</v>
      </c>
      <c r="E22" s="29">
        <f>SUM(Reports!N15:Q15)</f>
        <v>16333</v>
      </c>
      <c r="F22" s="46">
        <f>SUM(Reports!R15:U15)</f>
        <v>18464</v>
      </c>
      <c r="G22" s="29">
        <f t="shared" ref="G22:K22" si="14">F22*1.2</f>
        <v>22156.799999999999</v>
      </c>
      <c r="H22" s="29">
        <f t="shared" si="14"/>
        <v>26588.16</v>
      </c>
      <c r="I22" s="29">
        <f t="shared" si="14"/>
        <v>31905.791999999998</v>
      </c>
      <c r="J22" s="29">
        <f t="shared" si="14"/>
        <v>38286.950399999994</v>
      </c>
      <c r="K22" s="29">
        <f t="shared" si="14"/>
        <v>45944.340479999992</v>
      </c>
      <c r="L22" s="29">
        <f t="shared" ref="L22:U22" si="15">K22*0.98</f>
        <v>45025.453670399991</v>
      </c>
      <c r="M22" s="29">
        <f t="shared" si="15"/>
        <v>44124.944596991991</v>
      </c>
      <c r="N22" s="29">
        <f t="shared" si="15"/>
        <v>43242.445705052152</v>
      </c>
      <c r="O22" s="29">
        <f t="shared" si="15"/>
        <v>42377.596790951109</v>
      </c>
      <c r="P22" s="29">
        <f t="shared" si="15"/>
        <v>41530.044855132088</v>
      </c>
      <c r="Q22" s="29">
        <f t="shared" si="15"/>
        <v>40699.443958029442</v>
      </c>
      <c r="R22" s="29">
        <f t="shared" si="15"/>
        <v>39885.45507886885</v>
      </c>
      <c r="S22" s="29">
        <f t="shared" si="15"/>
        <v>39087.745977291474</v>
      </c>
      <c r="T22" s="29">
        <f t="shared" si="15"/>
        <v>38305.991057745647</v>
      </c>
      <c r="U22" s="29">
        <f t="shared" si="15"/>
        <v>37539.871236590734</v>
      </c>
      <c r="V22" s="8"/>
    </row>
    <row r="23" spans="1:188" x14ac:dyDescent="0.15">
      <c r="A23" s="3" t="s">
        <v>9</v>
      </c>
      <c r="B23" s="29">
        <f>SUM(Reports!B16:E16)</f>
        <v>6136</v>
      </c>
      <c r="C23" s="29">
        <f>SUM(Reports!F16:I16)</f>
        <v>6985</v>
      </c>
      <c r="D23" s="46">
        <f>SUM(Reports!J16:M16)</f>
        <v>9608</v>
      </c>
      <c r="E23" s="29">
        <f>SUM(Reports!N16:Q16)</f>
        <v>13197</v>
      </c>
      <c r="F23" s="46">
        <f>SUM(Reports!R16:U16)</f>
        <v>9551</v>
      </c>
      <c r="G23" s="29">
        <f t="shared" ref="G23:K23" si="16">F23*1.3</f>
        <v>12416.300000000001</v>
      </c>
      <c r="H23" s="29">
        <f t="shared" si="16"/>
        <v>16141.190000000002</v>
      </c>
      <c r="I23" s="29">
        <f t="shared" si="16"/>
        <v>20983.547000000002</v>
      </c>
      <c r="J23" s="29">
        <f t="shared" si="16"/>
        <v>27278.611100000006</v>
      </c>
      <c r="K23" s="29">
        <f t="shared" si="16"/>
        <v>35462.19443000001</v>
      </c>
      <c r="L23" s="29">
        <f t="shared" ref="L23:U23" si="17">K23*0.98</f>
        <v>34752.950541400009</v>
      </c>
      <c r="M23" s="29">
        <f t="shared" si="17"/>
        <v>34057.891530572007</v>
      </c>
      <c r="N23" s="29">
        <f t="shared" si="17"/>
        <v>33376.733699960569</v>
      </c>
      <c r="O23" s="29">
        <f t="shared" si="17"/>
        <v>32709.199025961356</v>
      </c>
      <c r="P23" s="29">
        <f t="shared" si="17"/>
        <v>32055.015045442127</v>
      </c>
      <c r="Q23" s="29">
        <f t="shared" si="17"/>
        <v>31413.914744533286</v>
      </c>
      <c r="R23" s="29">
        <f t="shared" si="17"/>
        <v>30785.636449642618</v>
      </c>
      <c r="S23" s="29">
        <f t="shared" si="17"/>
        <v>30169.923720649764</v>
      </c>
      <c r="T23" s="29">
        <f t="shared" si="17"/>
        <v>29566.525246236768</v>
      </c>
      <c r="U23" s="29">
        <f t="shared" si="17"/>
        <v>28975.194741312032</v>
      </c>
      <c r="V23" s="8"/>
    </row>
    <row r="24" spans="1:188" x14ac:dyDescent="0.15">
      <c r="A24" s="3" t="s">
        <v>10</v>
      </c>
      <c r="B24" s="34">
        <f>SUM(B21:B23)</f>
        <v>27465</v>
      </c>
      <c r="C24" s="34">
        <f>SUM(C21:C23)</f>
        <v>31418</v>
      </c>
      <c r="D24" s="34">
        <f>SUM(D21:D23)</f>
        <v>39126</v>
      </c>
      <c r="E24" s="34">
        <f>SUM(E21:E23)</f>
        <v>50949</v>
      </c>
      <c r="F24" s="34">
        <f>SUM(F21:F23)</f>
        <v>54033</v>
      </c>
      <c r="G24" s="29">
        <f t="shared" ref="G24:H24" si="18">SUM(G21:G23)</f>
        <v>65794.7</v>
      </c>
      <c r="H24" s="29">
        <f t="shared" si="18"/>
        <v>80195.27</v>
      </c>
      <c r="I24" s="29">
        <f t="shared" ref="I24:Q24" si="19">SUM(I21:I23)</f>
        <v>97848.442999999999</v>
      </c>
      <c r="J24" s="29">
        <f t="shared" si="19"/>
        <v>119516.4863</v>
      </c>
      <c r="K24" s="29">
        <f t="shared" si="19"/>
        <v>146147.64467000001</v>
      </c>
      <c r="L24" s="29">
        <f t="shared" si="19"/>
        <v>147756.5694598</v>
      </c>
      <c r="M24" s="29">
        <f t="shared" si="19"/>
        <v>149559.90963796401</v>
      </c>
      <c r="N24" s="29">
        <f t="shared" si="19"/>
        <v>151565.10659093273</v>
      </c>
      <c r="O24" s="29">
        <f t="shared" si="19"/>
        <v>153780.01936212849</v>
      </c>
      <c r="P24" s="29">
        <f t="shared" si="19"/>
        <v>156212.94462305104</v>
      </c>
      <c r="Q24" s="29">
        <f t="shared" si="19"/>
        <v>158872.63766116338</v>
      </c>
      <c r="R24" s="29">
        <f t="shared" ref="R24:U24" si="20">SUM(R21:R23)</f>
        <v>161768.33443504217</v>
      </c>
      <c r="S24" s="29">
        <f t="shared" si="20"/>
        <v>164909.77474979847</v>
      </c>
      <c r="T24" s="29">
        <f t="shared" si="20"/>
        <v>168307.22660843251</v>
      </c>
      <c r="U24" s="29">
        <f t="shared" si="20"/>
        <v>171971.51179757537</v>
      </c>
      <c r="V24" s="8"/>
    </row>
    <row r="25" spans="1:188" x14ac:dyDescent="0.15">
      <c r="A25" s="3" t="s">
        <v>11</v>
      </c>
      <c r="B25" s="34">
        <f>B20-B24</f>
        <v>19360</v>
      </c>
      <c r="C25" s="34">
        <f>C20-C24</f>
        <v>23716</v>
      </c>
      <c r="D25" s="34">
        <f>D20-D24</f>
        <v>26146</v>
      </c>
      <c r="E25" s="34">
        <f>E20-E24</f>
        <v>26321</v>
      </c>
      <c r="F25" s="34">
        <f>F20-F24</f>
        <v>35928</v>
      </c>
      <c r="G25" s="29">
        <f t="shared" ref="G25:H25" si="21">G20-G24</f>
        <v>39955.009360114171</v>
      </c>
      <c r="H25" s="29">
        <f t="shared" si="21"/>
        <v>44614.166518562648</v>
      </c>
      <c r="I25" s="29">
        <f t="shared" ref="I25:Q25" si="22">I20-I24</f>
        <v>50167.62753316501</v>
      </c>
      <c r="J25" s="29">
        <f t="shared" si="22"/>
        <v>57036.237025293507</v>
      </c>
      <c r="K25" s="29">
        <f>K20-K24</f>
        <v>65891.881076462683</v>
      </c>
      <c r="L25" s="29">
        <f t="shared" si="22"/>
        <v>74884.932573985832</v>
      </c>
      <c r="M25" s="29">
        <f t="shared" si="22"/>
        <v>84213.667497511109</v>
      </c>
      <c r="N25" s="29">
        <f t="shared" si="22"/>
        <v>93897.149401316186</v>
      </c>
      <c r="O25" s="29">
        <f t="shared" si="22"/>
        <v>103955.34942973289</v>
      </c>
      <c r="P25" s="29">
        <f t="shared" si="22"/>
        <v>114409.19260840339</v>
      </c>
      <c r="Q25" s="29">
        <f t="shared" si="22"/>
        <v>125280.60643186382</v>
      </c>
      <c r="R25" s="29">
        <f t="shared" ref="R25:U25" si="23">R20-R24</f>
        <v>136592.57186263637</v>
      </c>
      <c r="S25" s="29">
        <f t="shared" si="23"/>
        <v>148369.17686276406</v>
      </c>
      <c r="T25" s="29">
        <f t="shared" si="23"/>
        <v>160635.67258475817</v>
      </c>
      <c r="U25" s="29">
        <f t="shared" si="23"/>
        <v>173418.53235527486</v>
      </c>
      <c r="V25" s="8"/>
    </row>
    <row r="26" spans="1:188" x14ac:dyDescent="0.15">
      <c r="A26" s="3" t="s">
        <v>12</v>
      </c>
      <c r="B26" s="29">
        <f>SUM(Reports!B19:E19)</f>
        <v>291</v>
      </c>
      <c r="C26" s="29">
        <f>SUM(Reports!F19:I19)</f>
        <v>434</v>
      </c>
      <c r="D26" s="46">
        <f>SUM(Reports!J19:M19)</f>
        <v>1047</v>
      </c>
      <c r="E26" s="29">
        <f>SUM(Reports!N19:Q19)</f>
        <v>8592</v>
      </c>
      <c r="F26" s="46">
        <f>SUM(Reports!R19:U19)</f>
        <v>5394</v>
      </c>
      <c r="G26" s="29">
        <f t="shared" ref="G26:U26" si="24">F43*$F$3</f>
        <v>5756.05</v>
      </c>
      <c r="H26" s="29">
        <f t="shared" si="24"/>
        <v>7698.7700228048525</v>
      </c>
      <c r="I26" s="29">
        <f t="shared" si="24"/>
        <v>9922.0698258129705</v>
      </c>
      <c r="J26" s="29">
        <f t="shared" si="24"/>
        <v>12475.881963569534</v>
      </c>
      <c r="K26" s="29">
        <f t="shared" si="24"/>
        <v>15430.147020596214</v>
      </c>
      <c r="L26" s="29">
        <f t="shared" si="24"/>
        <v>18886.333214721217</v>
      </c>
      <c r="M26" s="29">
        <f t="shared" si="24"/>
        <v>22871.612010741272</v>
      </c>
      <c r="N26" s="29">
        <f t="shared" si="24"/>
        <v>27422.736389841997</v>
      </c>
      <c r="O26" s="29">
        <f t="shared" si="24"/>
        <v>32578.831535966219</v>
      </c>
      <c r="P26" s="29">
        <f t="shared" si="24"/>
        <v>38381.534227008429</v>
      </c>
      <c r="Q26" s="29">
        <f t="shared" si="24"/>
        <v>44875.140117513438</v>
      </c>
      <c r="R26" s="29">
        <f t="shared" si="24"/>
        <v>52106.759345861967</v>
      </c>
      <c r="S26" s="29">
        <f t="shared" si="24"/>
        <v>60126.480922223156</v>
      </c>
      <c r="T26" s="29">
        <f t="shared" si="24"/>
        <v>68987.546378085113</v>
      </c>
      <c r="U26" s="29">
        <f t="shared" si="24"/>
        <v>78746.533184005952</v>
      </c>
      <c r="V26" s="8"/>
    </row>
    <row r="27" spans="1:188" x14ac:dyDescent="0.15">
      <c r="A27" s="3" t="s">
        <v>13</v>
      </c>
      <c r="B27" s="34">
        <f>B25+B26</f>
        <v>19651</v>
      </c>
      <c r="C27" s="34">
        <f>C25+C26</f>
        <v>24150</v>
      </c>
      <c r="D27" s="34">
        <f>D25+D26</f>
        <v>27193</v>
      </c>
      <c r="E27" s="34">
        <f>E25+E26</f>
        <v>34913</v>
      </c>
      <c r="F27" s="34">
        <f>F25+F26</f>
        <v>41322</v>
      </c>
      <c r="G27" s="29">
        <f t="shared" ref="G27:H27" si="25">G25+G26</f>
        <v>45711.059360114174</v>
      </c>
      <c r="H27" s="29">
        <f t="shared" si="25"/>
        <v>52312.936541367497</v>
      </c>
      <c r="I27" s="29">
        <f t="shared" ref="I27" si="26">I25+I26</f>
        <v>60089.697358977981</v>
      </c>
      <c r="J27" s="29">
        <f t="shared" ref="J27" si="27">J25+J26</f>
        <v>69512.118988863047</v>
      </c>
      <c r="K27" s="29">
        <f>K25+K26</f>
        <v>81322.028097058894</v>
      </c>
      <c r="L27" s="29">
        <f t="shared" ref="L27" si="28">L25+L26</f>
        <v>93771.265788707053</v>
      </c>
      <c r="M27" s="29">
        <f t="shared" ref="M27" si="29">M25+M26</f>
        <v>107085.27950825238</v>
      </c>
      <c r="N27" s="29">
        <f t="shared" ref="N27" si="30">N25+N26</f>
        <v>121319.88579115819</v>
      </c>
      <c r="O27" s="29">
        <f t="shared" ref="O27" si="31">O25+O26</f>
        <v>136534.18096569911</v>
      </c>
      <c r="P27" s="29">
        <f t="shared" ref="P27" si="32">P25+P26</f>
        <v>152790.72683541183</v>
      </c>
      <c r="Q27" s="29">
        <f t="shared" ref="Q27:R27" si="33">Q25+Q26</f>
        <v>170155.74654937728</v>
      </c>
      <c r="R27" s="29">
        <f t="shared" si="33"/>
        <v>188699.33120849833</v>
      </c>
      <c r="S27" s="29">
        <f t="shared" ref="S27:U27" si="34">S25+S26</f>
        <v>208495.65778498721</v>
      </c>
      <c r="T27" s="29">
        <f t="shared" si="34"/>
        <v>229623.2189628433</v>
      </c>
      <c r="U27" s="29">
        <f t="shared" si="34"/>
        <v>252165.06553928083</v>
      </c>
      <c r="V27" s="8"/>
    </row>
    <row r="28" spans="1:188" x14ac:dyDescent="0.15">
      <c r="A28" s="3" t="s">
        <v>14</v>
      </c>
      <c r="B28" s="29">
        <f>SUM(Reports!B21:E21)</f>
        <v>3303</v>
      </c>
      <c r="C28" s="29">
        <f>SUM(Reports!F21:I21)</f>
        <v>4672</v>
      </c>
      <c r="D28" s="46">
        <f>SUM(Reports!J21:M21)</f>
        <v>5275.0376257838707</v>
      </c>
      <c r="E28" s="29">
        <f>SUM(Reports!N21:Q21)</f>
        <v>4177</v>
      </c>
      <c r="F28" s="46">
        <f>SUM(Reports!R21:U21)</f>
        <v>5282</v>
      </c>
      <c r="G28" s="29">
        <f t="shared" ref="G28:Q28" si="35">G27*0.15</f>
        <v>6856.6589040171257</v>
      </c>
      <c r="H28" s="29">
        <f t="shared" si="35"/>
        <v>7846.9404812051243</v>
      </c>
      <c r="I28" s="29">
        <f t="shared" si="35"/>
        <v>9013.454603846696</v>
      </c>
      <c r="J28" s="29">
        <f t="shared" si="35"/>
        <v>10426.817848329456</v>
      </c>
      <c r="K28" s="29">
        <f t="shared" si="35"/>
        <v>12198.304214558833</v>
      </c>
      <c r="L28" s="29">
        <f t="shared" si="35"/>
        <v>14065.689868306057</v>
      </c>
      <c r="M28" s="29">
        <f t="shared" si="35"/>
        <v>16062.791926237856</v>
      </c>
      <c r="N28" s="29">
        <f t="shared" si="35"/>
        <v>18197.982868673727</v>
      </c>
      <c r="O28" s="29">
        <f t="shared" si="35"/>
        <v>20480.127144854865</v>
      </c>
      <c r="P28" s="29">
        <f t="shared" si="35"/>
        <v>22918.609025311773</v>
      </c>
      <c r="Q28" s="29">
        <f t="shared" si="35"/>
        <v>25523.36198240659</v>
      </c>
      <c r="R28" s="29">
        <f t="shared" ref="R28:U28" si="36">R27*0.15</f>
        <v>28304.89968127475</v>
      </c>
      <c r="S28" s="29">
        <f t="shared" si="36"/>
        <v>31274.34866774808</v>
      </c>
      <c r="T28" s="29">
        <f t="shared" si="36"/>
        <v>34443.482844426493</v>
      </c>
      <c r="U28" s="29">
        <f t="shared" si="36"/>
        <v>37824.759830892122</v>
      </c>
      <c r="V28" s="8"/>
    </row>
    <row r="29" spans="1:188" s="2" customFormat="1" x14ac:dyDescent="0.15">
      <c r="A29" s="2" t="s">
        <v>15</v>
      </c>
      <c r="B29" s="31">
        <f t="shared" ref="B29:G29" si="37">B27-B28</f>
        <v>16348</v>
      </c>
      <c r="C29" s="31">
        <f t="shared" si="37"/>
        <v>19478</v>
      </c>
      <c r="D29" s="31">
        <f t="shared" si="37"/>
        <v>21917.962374216128</v>
      </c>
      <c r="E29" s="31">
        <f t="shared" si="37"/>
        <v>30736</v>
      </c>
      <c r="F29" s="31">
        <f t="shared" si="37"/>
        <v>36040</v>
      </c>
      <c r="G29" s="31">
        <f t="shared" si="37"/>
        <v>38854.40045609705</v>
      </c>
      <c r="H29" s="31">
        <f t="shared" ref="H29" si="38">H27-H28</f>
        <v>44465.996060162375</v>
      </c>
      <c r="I29" s="31">
        <f t="shared" ref="I29:Q29" si="39">I27-I28</f>
        <v>51076.242755131287</v>
      </c>
      <c r="J29" s="31">
        <f t="shared" si="39"/>
        <v>59085.301140533593</v>
      </c>
      <c r="K29" s="31">
        <f t="shared" si="39"/>
        <v>69123.723882500053</v>
      </c>
      <c r="L29" s="31">
        <f t="shared" si="39"/>
        <v>79705.575920400996</v>
      </c>
      <c r="M29" s="31">
        <f t="shared" si="39"/>
        <v>91022.487582014524</v>
      </c>
      <c r="N29" s="31">
        <f t="shared" si="39"/>
        <v>103121.90292248446</v>
      </c>
      <c r="O29" s="31">
        <f t="shared" si="39"/>
        <v>116054.05382084424</v>
      </c>
      <c r="P29" s="31">
        <f t="shared" si="39"/>
        <v>129872.11781010006</v>
      </c>
      <c r="Q29" s="31">
        <f t="shared" si="39"/>
        <v>144632.38456697069</v>
      </c>
      <c r="R29" s="31">
        <f t="shared" ref="R29:U29" si="40">R27-R28</f>
        <v>160394.43152722358</v>
      </c>
      <c r="S29" s="31">
        <f t="shared" si="40"/>
        <v>177221.30911723914</v>
      </c>
      <c r="T29" s="31">
        <f t="shared" si="40"/>
        <v>195179.7361184168</v>
      </c>
      <c r="U29" s="31">
        <f t="shared" si="40"/>
        <v>214340.30570838871</v>
      </c>
      <c r="V29" s="17">
        <f>U29*($F$2+1)</f>
        <v>210053.49959422092</v>
      </c>
      <c r="W29" s="17">
        <f t="shared" ref="W29:CD29" si="41">V29*($F$2+1)</f>
        <v>205852.42960233649</v>
      </c>
      <c r="X29" s="17">
        <f t="shared" si="41"/>
        <v>201735.38101028974</v>
      </c>
      <c r="Y29" s="17">
        <f t="shared" si="41"/>
        <v>197700.67339008395</v>
      </c>
      <c r="Z29" s="17">
        <f t="shared" si="41"/>
        <v>193746.65992228227</v>
      </c>
      <c r="AA29" s="17">
        <f t="shared" si="41"/>
        <v>189871.72672383662</v>
      </c>
      <c r="AB29" s="17">
        <f t="shared" si="41"/>
        <v>186074.29218935987</v>
      </c>
      <c r="AC29" s="17">
        <f t="shared" si="41"/>
        <v>182352.80634557267</v>
      </c>
      <c r="AD29" s="17">
        <f t="shared" si="41"/>
        <v>178705.75021866121</v>
      </c>
      <c r="AE29" s="17">
        <f t="shared" si="41"/>
        <v>175131.63521428799</v>
      </c>
      <c r="AF29" s="17">
        <f t="shared" si="41"/>
        <v>171629.00251000223</v>
      </c>
      <c r="AG29" s="17">
        <f t="shared" si="41"/>
        <v>168196.42245980218</v>
      </c>
      <c r="AH29" s="17">
        <f t="shared" si="41"/>
        <v>164832.49401060614</v>
      </c>
      <c r="AI29" s="17">
        <f t="shared" si="41"/>
        <v>161535.84413039402</v>
      </c>
      <c r="AJ29" s="17">
        <f t="shared" si="41"/>
        <v>158305.12724778615</v>
      </c>
      <c r="AK29" s="17">
        <f t="shared" si="41"/>
        <v>155139.02470283041</v>
      </c>
      <c r="AL29" s="17">
        <f t="shared" si="41"/>
        <v>152036.2442087738</v>
      </c>
      <c r="AM29" s="17">
        <f t="shared" si="41"/>
        <v>148995.51932459831</v>
      </c>
      <c r="AN29" s="17">
        <f t="shared" si="41"/>
        <v>146015.60893810634</v>
      </c>
      <c r="AO29" s="17">
        <f t="shared" si="41"/>
        <v>143095.2967593442</v>
      </c>
      <c r="AP29" s="17">
        <f t="shared" si="41"/>
        <v>140233.39082415731</v>
      </c>
      <c r="AQ29" s="17">
        <f t="shared" si="41"/>
        <v>137428.72300767415</v>
      </c>
      <c r="AR29" s="17">
        <f t="shared" si="41"/>
        <v>134680.14854752066</v>
      </c>
      <c r="AS29" s="17">
        <f t="shared" si="41"/>
        <v>131986.54557657024</v>
      </c>
      <c r="AT29" s="17">
        <f t="shared" si="41"/>
        <v>129346.81466503882</v>
      </c>
      <c r="AU29" s="17">
        <f t="shared" si="41"/>
        <v>126759.87837173804</v>
      </c>
      <c r="AV29" s="17">
        <f t="shared" si="41"/>
        <v>124224.68080430328</v>
      </c>
      <c r="AW29" s="17">
        <f t="shared" si="41"/>
        <v>121740.18718821721</v>
      </c>
      <c r="AX29" s="17">
        <f t="shared" si="41"/>
        <v>119305.38344445286</v>
      </c>
      <c r="AY29" s="17">
        <f t="shared" si="41"/>
        <v>116919.2757755638</v>
      </c>
      <c r="AZ29" s="17">
        <f t="shared" si="41"/>
        <v>114580.89026005252</v>
      </c>
      <c r="BA29" s="17">
        <f t="shared" si="41"/>
        <v>112289.27245485147</v>
      </c>
      <c r="BB29" s="17">
        <f t="shared" si="41"/>
        <v>110043.48700575443</v>
      </c>
      <c r="BC29" s="17">
        <f t="shared" si="41"/>
        <v>107842.61726563935</v>
      </c>
      <c r="BD29" s="17">
        <f t="shared" si="41"/>
        <v>105685.76492032656</v>
      </c>
      <c r="BE29" s="17">
        <f t="shared" si="41"/>
        <v>103572.04962192003</v>
      </c>
      <c r="BF29" s="17">
        <f t="shared" si="41"/>
        <v>101500.60862948162</v>
      </c>
      <c r="BG29" s="17">
        <f t="shared" si="41"/>
        <v>99470.596456891988</v>
      </c>
      <c r="BH29" s="17">
        <f t="shared" si="41"/>
        <v>97481.184527754143</v>
      </c>
      <c r="BI29" s="17">
        <f t="shared" si="41"/>
        <v>95531.560837199053</v>
      </c>
      <c r="BJ29" s="17">
        <f t="shared" si="41"/>
        <v>93620.929620455077</v>
      </c>
      <c r="BK29" s="17">
        <f t="shared" si="41"/>
        <v>91748.511028045978</v>
      </c>
      <c r="BL29" s="17">
        <f t="shared" si="41"/>
        <v>89913.540807485057</v>
      </c>
      <c r="BM29" s="17">
        <f t="shared" si="41"/>
        <v>88115.269991335357</v>
      </c>
      <c r="BN29" s="17">
        <f t="shared" si="41"/>
        <v>86352.964591508644</v>
      </c>
      <c r="BO29" s="17">
        <f t="shared" si="41"/>
        <v>84625.905299678474</v>
      </c>
      <c r="BP29" s="17">
        <f t="shared" si="41"/>
        <v>82933.387193684903</v>
      </c>
      <c r="BQ29" s="17">
        <f t="shared" si="41"/>
        <v>81274.719449811208</v>
      </c>
      <c r="BR29" s="17">
        <f t="shared" si="41"/>
        <v>79649.225060814977</v>
      </c>
      <c r="BS29" s="17">
        <f t="shared" si="41"/>
        <v>78056.240559598678</v>
      </c>
      <c r="BT29" s="17">
        <f t="shared" si="41"/>
        <v>76495.115748406708</v>
      </c>
      <c r="BU29" s="17">
        <f t="shared" si="41"/>
        <v>74965.213433438577</v>
      </c>
      <c r="BV29" s="17">
        <f t="shared" si="41"/>
        <v>73465.909164769808</v>
      </c>
      <c r="BW29" s="17">
        <f t="shared" si="41"/>
        <v>71996.590981474408</v>
      </c>
      <c r="BX29" s="17">
        <f t="shared" si="41"/>
        <v>70556.659161844917</v>
      </c>
      <c r="BY29" s="17">
        <f t="shared" si="41"/>
        <v>69145.525978608013</v>
      </c>
      <c r="BZ29" s="17">
        <f t="shared" si="41"/>
        <v>67762.615459035849</v>
      </c>
      <c r="CA29" s="17">
        <f t="shared" si="41"/>
        <v>66407.363149855126</v>
      </c>
      <c r="CB29" s="17">
        <f t="shared" si="41"/>
        <v>65079.215886858023</v>
      </c>
      <c r="CC29" s="17">
        <f t="shared" si="41"/>
        <v>63777.631569120858</v>
      </c>
      <c r="CD29" s="17">
        <f t="shared" si="41"/>
        <v>62502.078937738443</v>
      </c>
      <c r="CE29" s="17">
        <f t="shared" ref="CE29:DR29" si="42">CD29*($F$2+1)</f>
        <v>61252.037358983674</v>
      </c>
      <c r="CF29" s="17">
        <f t="shared" si="42"/>
        <v>60026.996611804003</v>
      </c>
      <c r="CG29" s="17">
        <f t="shared" si="42"/>
        <v>58826.45667956792</v>
      </c>
      <c r="CH29" s="17">
        <f t="shared" si="42"/>
        <v>57649.927545976563</v>
      </c>
      <c r="CI29" s="17">
        <f t="shared" si="42"/>
        <v>56496.928995057031</v>
      </c>
      <c r="CJ29" s="17">
        <f t="shared" si="42"/>
        <v>55366.990415155888</v>
      </c>
      <c r="CK29" s="17">
        <f t="shared" si="42"/>
        <v>54259.650606852767</v>
      </c>
      <c r="CL29" s="17">
        <f t="shared" si="42"/>
        <v>53174.457594715714</v>
      </c>
      <c r="CM29" s="17">
        <f t="shared" si="42"/>
        <v>52110.968442821395</v>
      </c>
      <c r="CN29" s="17">
        <f t="shared" si="42"/>
        <v>51068.749073964966</v>
      </c>
      <c r="CO29" s="17">
        <f t="shared" si="42"/>
        <v>50047.374092485668</v>
      </c>
      <c r="CP29" s="17">
        <f t="shared" si="42"/>
        <v>49046.426610635957</v>
      </c>
      <c r="CQ29" s="17">
        <f t="shared" si="42"/>
        <v>48065.498078423239</v>
      </c>
      <c r="CR29" s="17">
        <f t="shared" si="42"/>
        <v>47104.188116854777</v>
      </c>
      <c r="CS29" s="17">
        <f t="shared" si="42"/>
        <v>46162.10435451768</v>
      </c>
      <c r="CT29" s="17">
        <f t="shared" si="42"/>
        <v>45238.862267427328</v>
      </c>
      <c r="CU29" s="17">
        <f t="shared" si="42"/>
        <v>44334.085022078783</v>
      </c>
      <c r="CV29" s="17">
        <f t="shared" si="42"/>
        <v>43447.403321637204</v>
      </c>
      <c r="CW29" s="17">
        <f t="shared" si="42"/>
        <v>42578.455255204462</v>
      </c>
      <c r="CX29" s="17">
        <f t="shared" si="42"/>
        <v>41726.88615010037</v>
      </c>
      <c r="CY29" s="17">
        <f t="shared" si="42"/>
        <v>40892.348427098361</v>
      </c>
      <c r="CZ29" s="17">
        <f t="shared" si="42"/>
        <v>40074.501458556391</v>
      </c>
      <c r="DA29" s="17">
        <f t="shared" si="42"/>
        <v>39273.01142938526</v>
      </c>
      <c r="DB29" s="17">
        <f t="shared" si="42"/>
        <v>38487.551200797556</v>
      </c>
      <c r="DC29" s="17">
        <f t="shared" si="42"/>
        <v>37717.800176781602</v>
      </c>
      <c r="DD29" s="17">
        <f t="shared" si="42"/>
        <v>36963.444173245967</v>
      </c>
      <c r="DE29" s="17">
        <f t="shared" si="42"/>
        <v>36224.175289781044</v>
      </c>
      <c r="DF29" s="17">
        <f t="shared" si="42"/>
        <v>35499.691783985421</v>
      </c>
      <c r="DG29" s="17">
        <f t="shared" si="42"/>
        <v>34789.697948305715</v>
      </c>
      <c r="DH29" s="17">
        <f t="shared" si="42"/>
        <v>34093.903989339597</v>
      </c>
      <c r="DI29" s="17">
        <f t="shared" si="42"/>
        <v>33412.025909552802</v>
      </c>
      <c r="DJ29" s="17">
        <f t="shared" si="42"/>
        <v>32743.785391361744</v>
      </c>
      <c r="DK29" s="17">
        <f t="shared" si="42"/>
        <v>32088.909683534508</v>
      </c>
      <c r="DL29" s="17">
        <f t="shared" si="42"/>
        <v>31447.131489863816</v>
      </c>
      <c r="DM29" s="17">
        <f t="shared" si="42"/>
        <v>30818.188860066537</v>
      </c>
      <c r="DN29" s="17">
        <f t="shared" si="42"/>
        <v>30201.825082865205</v>
      </c>
      <c r="DO29" s="17">
        <f t="shared" si="42"/>
        <v>29597.7885812079</v>
      </c>
      <c r="DP29" s="17">
        <f t="shared" si="42"/>
        <v>29005.832809583742</v>
      </c>
      <c r="DQ29" s="17">
        <f t="shared" si="42"/>
        <v>28425.716153392066</v>
      </c>
      <c r="DR29" s="17">
        <f t="shared" si="42"/>
        <v>27857.201830324226</v>
      </c>
      <c r="DS29" s="17">
        <f t="shared" ref="DS29" si="43">DR29*($F$2+1)</f>
        <v>27300.05779371774</v>
      </c>
      <c r="DT29" s="17">
        <f t="shared" ref="DT29" si="44">DS29*($F$2+1)</f>
        <v>26754.056637843387</v>
      </c>
      <c r="DU29" s="17">
        <f t="shared" ref="DU29" si="45">DT29*($F$2+1)</f>
        <v>26218.975505086517</v>
      </c>
      <c r="DV29" s="17">
        <f t="shared" ref="DV29" si="46">DU29*($F$2+1)</f>
        <v>25694.595994984786</v>
      </c>
      <c r="DW29" s="17">
        <f t="shared" ref="DW29" si="47">DV29*($F$2+1)</f>
        <v>25180.70407508509</v>
      </c>
      <c r="DX29" s="17">
        <f t="shared" ref="DX29" si="48">DW29*($F$2+1)</f>
        <v>24677.089993583388</v>
      </c>
      <c r="DY29" s="17">
        <f t="shared" ref="DY29" si="49">DX29*($F$2+1)</f>
        <v>24183.548193711718</v>
      </c>
      <c r="DZ29" s="17">
        <f t="shared" ref="DZ29" si="50">DY29*($F$2+1)</f>
        <v>23699.877229837482</v>
      </c>
      <c r="EA29" s="17">
        <f t="shared" ref="EA29" si="51">DZ29*($F$2+1)</f>
        <v>23225.879685240732</v>
      </c>
      <c r="EB29" s="17">
        <f t="shared" ref="EB29" si="52">EA29*($F$2+1)</f>
        <v>22761.362091535917</v>
      </c>
      <c r="EC29" s="17">
        <f t="shared" ref="EC29" si="53">EB29*($F$2+1)</f>
        <v>22306.134849705199</v>
      </c>
      <c r="ED29" s="17">
        <f t="shared" ref="ED29" si="54">EC29*($F$2+1)</f>
        <v>21860.012152711093</v>
      </c>
      <c r="EE29" s="17">
        <f t="shared" ref="EE29" si="55">ED29*($F$2+1)</f>
        <v>21422.81190965687</v>
      </c>
      <c r="EF29" s="17">
        <f t="shared" ref="EF29" si="56">EE29*($F$2+1)</f>
        <v>20994.355671463731</v>
      </c>
      <c r="EG29" s="17">
        <f t="shared" ref="EG29" si="57">EF29*($F$2+1)</f>
        <v>20574.468558034456</v>
      </c>
      <c r="EH29" s="17">
        <f t="shared" ref="EH29" si="58">EG29*($F$2+1)</f>
        <v>20162.979186873767</v>
      </c>
      <c r="EI29" s="17">
        <f t="shared" ref="EI29" si="59">EH29*($F$2+1)</f>
        <v>19759.719603136291</v>
      </c>
      <c r="EJ29" s="17">
        <f t="shared" ref="EJ29" si="60">EI29*($F$2+1)</f>
        <v>19364.525211073564</v>
      </c>
      <c r="EK29" s="17">
        <f t="shared" ref="EK29" si="61">EJ29*($F$2+1)</f>
        <v>18977.23470685209</v>
      </c>
      <c r="EL29" s="17">
        <f t="shared" ref="EL29" si="62">EK29*($F$2+1)</f>
        <v>18597.690012715047</v>
      </c>
      <c r="EM29" s="17">
        <f t="shared" ref="EM29" si="63">EL29*($F$2+1)</f>
        <v>18225.736212460746</v>
      </c>
      <c r="EN29" s="17">
        <f t="shared" ref="EN29" si="64">EM29*($F$2+1)</f>
        <v>17861.22148821153</v>
      </c>
      <c r="EO29" s="17">
        <f t="shared" ref="EO29" si="65">EN29*($F$2+1)</f>
        <v>17503.997058447298</v>
      </c>
      <c r="EP29" s="17">
        <f t="shared" ref="EP29" si="66">EO29*($F$2+1)</f>
        <v>17153.91711727835</v>
      </c>
      <c r="EQ29" s="17">
        <f t="shared" ref="EQ29" si="67">EP29*($F$2+1)</f>
        <v>16810.838774932781</v>
      </c>
      <c r="ER29" s="17">
        <f t="shared" ref="ER29" si="68">EQ29*($F$2+1)</f>
        <v>16474.621999434126</v>
      </c>
      <c r="ES29" s="17">
        <f t="shared" ref="ES29" si="69">ER29*($F$2+1)</f>
        <v>16145.129559445444</v>
      </c>
      <c r="ET29" s="17">
        <f t="shared" ref="ET29" si="70">ES29*($F$2+1)</f>
        <v>15822.226968256535</v>
      </c>
      <c r="EU29" s="17">
        <f t="shared" ref="EU29" si="71">ET29*($F$2+1)</f>
        <v>15505.782428891403</v>
      </c>
      <c r="EV29" s="17">
        <f t="shared" ref="EV29" si="72">EU29*($F$2+1)</f>
        <v>15195.666780313575</v>
      </c>
      <c r="EW29" s="17">
        <f t="shared" ref="EW29" si="73">EV29*($F$2+1)</f>
        <v>14891.753444707303</v>
      </c>
      <c r="EX29" s="17">
        <f t="shared" ref="EX29" si="74">EW29*($F$2+1)</f>
        <v>14593.918375813157</v>
      </c>
      <c r="EY29" s="17">
        <f t="shared" ref="EY29" si="75">EX29*($F$2+1)</f>
        <v>14302.040008296894</v>
      </c>
      <c r="EZ29" s="17">
        <f t="shared" ref="EZ29" si="76">EY29*($F$2+1)</f>
        <v>14015.999208130956</v>
      </c>
      <c r="FA29" s="17">
        <f t="shared" ref="FA29" si="77">EZ29*($F$2+1)</f>
        <v>13735.679223968336</v>
      </c>
      <c r="FB29" s="17">
        <f t="shared" ref="FB29" si="78">FA29*($F$2+1)</f>
        <v>13460.96563948897</v>
      </c>
      <c r="FC29" s="17">
        <f t="shared" ref="FC29" si="79">FB29*($F$2+1)</f>
        <v>13191.746326699191</v>
      </c>
      <c r="FD29" s="17">
        <f t="shared" ref="FD29" si="80">FC29*($F$2+1)</f>
        <v>12927.911400165207</v>
      </c>
      <c r="FE29" s="17">
        <f t="shared" ref="FE29" si="81">FD29*($F$2+1)</f>
        <v>12669.353172161902</v>
      </c>
      <c r="FF29" s="17">
        <f t="shared" ref="FF29" si="82">FE29*($F$2+1)</f>
        <v>12415.966108718663</v>
      </c>
      <c r="FG29" s="17">
        <f t="shared" ref="FG29" si="83">FF29*($F$2+1)</f>
        <v>12167.64678654429</v>
      </c>
      <c r="FH29" s="17">
        <f t="shared" ref="FH29" si="84">FG29*($F$2+1)</f>
        <v>11924.293850813405</v>
      </c>
      <c r="FI29" s="17">
        <f t="shared" ref="FI29" si="85">FH29*($F$2+1)</f>
        <v>11685.807973797137</v>
      </c>
      <c r="FJ29" s="17">
        <f t="shared" ref="FJ29" si="86">FI29*($F$2+1)</f>
        <v>11452.091814321193</v>
      </c>
      <c r="FK29" s="17">
        <f t="shared" ref="FK29" si="87">FJ29*($F$2+1)</f>
        <v>11223.049978034769</v>
      </c>
      <c r="FL29" s="17">
        <f t="shared" ref="FL29" si="88">FK29*($F$2+1)</f>
        <v>10998.588978474074</v>
      </c>
      <c r="FM29" s="17">
        <f t="shared" ref="FM29" si="89">FL29*($F$2+1)</f>
        <v>10778.617198904592</v>
      </c>
      <c r="FN29" s="17">
        <f t="shared" ref="FN29" si="90">FM29*($F$2+1)</f>
        <v>10563.0448549265</v>
      </c>
      <c r="FO29" s="17">
        <f t="shared" ref="FO29" si="91">FN29*($F$2+1)</f>
        <v>10351.783957827971</v>
      </c>
      <c r="FP29" s="17">
        <f t="shared" ref="FP29" si="92">FO29*($F$2+1)</f>
        <v>10144.748278671412</v>
      </c>
      <c r="FQ29" s="17">
        <f t="shared" ref="FQ29" si="93">FP29*($F$2+1)</f>
        <v>9941.8533130979831</v>
      </c>
      <c r="FR29" s="17">
        <f t="shared" ref="FR29" si="94">FQ29*($F$2+1)</f>
        <v>9743.0162468360231</v>
      </c>
      <c r="FS29" s="17">
        <f t="shared" ref="FS29" si="95">FR29*($F$2+1)</f>
        <v>9548.1559218993025</v>
      </c>
      <c r="FT29" s="17">
        <f t="shared" ref="FT29" si="96">FS29*($F$2+1)</f>
        <v>9357.1928034613156</v>
      </c>
      <c r="FU29" s="17">
        <f t="shared" ref="FU29" si="97">FT29*($F$2+1)</f>
        <v>9170.0489473920898</v>
      </c>
      <c r="FV29" s="17">
        <f t="shared" ref="FV29" si="98">FU29*($F$2+1)</f>
        <v>8986.6479684442475</v>
      </c>
      <c r="FW29" s="17">
        <f t="shared" ref="FW29" si="99">FV29*($F$2+1)</f>
        <v>8806.9150090753628</v>
      </c>
      <c r="FX29" s="17">
        <f t="shared" ref="FX29" si="100">FW29*($F$2+1)</f>
        <v>8630.7767088938563</v>
      </c>
      <c r="FY29" s="17">
        <f t="shared" ref="FY29" si="101">FX29*($F$2+1)</f>
        <v>8458.1611747159786</v>
      </c>
      <c r="FZ29" s="17">
        <f t="shared" ref="FZ29" si="102">FY29*($F$2+1)</f>
        <v>8288.9979512216596</v>
      </c>
      <c r="GA29" s="17">
        <f t="shared" ref="GA29" si="103">FZ29*($F$2+1)</f>
        <v>8123.2179921972265</v>
      </c>
      <c r="GB29" s="17">
        <f t="shared" ref="GB29" si="104">GA29*($F$2+1)</f>
        <v>7960.7536323532822</v>
      </c>
      <c r="GC29" s="17">
        <f t="shared" ref="GC29" si="105">GB29*($F$2+1)</f>
        <v>7801.5385597062168</v>
      </c>
      <c r="GD29" s="17">
        <f t="shared" ref="GD29" si="106">GC29*($F$2+1)</f>
        <v>7645.5077885120927</v>
      </c>
      <c r="GE29" s="17">
        <f t="shared" ref="GE29" si="107">GD29*($F$2+1)</f>
        <v>7492.5976327418512</v>
      </c>
      <c r="GF29" s="17">
        <f t="shared" ref="GF29" si="108">GE29*($F$2+1)</f>
        <v>7342.7456800870141</v>
      </c>
    </row>
    <row r="30" spans="1:188" x14ac:dyDescent="0.15">
      <c r="A30" s="3" t="s">
        <v>16</v>
      </c>
      <c r="B30" s="36">
        <f>B29/B31</f>
        <v>23.750650135547815</v>
      </c>
      <c r="C30" s="36">
        <f>C29/C31</f>
        <v>28.188133140376266</v>
      </c>
      <c r="D30" s="36">
        <f>D29/D31</f>
        <v>31.582078349014594</v>
      </c>
      <c r="E30" s="36">
        <f>E29/E31</f>
        <v>43.852252607009</v>
      </c>
      <c r="F30" s="36">
        <f>F29/F31</f>
        <v>51.841644202913145</v>
      </c>
      <c r="G30" s="64">
        <f t="shared" ref="G30:H30" si="109">G29/G31</f>
        <v>55.890011214275518</v>
      </c>
      <c r="H30" s="64">
        <f t="shared" si="109"/>
        <v>63.961996306300655</v>
      </c>
      <c r="I30" s="64">
        <f t="shared" ref="I30:Q30" si="110">I29/I31</f>
        <v>73.470488460963836</v>
      </c>
      <c r="J30" s="64">
        <f t="shared" si="110"/>
        <v>84.991097651207568</v>
      </c>
      <c r="K30" s="64">
        <f t="shared" si="110"/>
        <v>99.430840718562095</v>
      </c>
      <c r="L30" s="64">
        <f t="shared" si="110"/>
        <v>114.65227824233379</v>
      </c>
      <c r="M30" s="64">
        <f t="shared" si="110"/>
        <v>130.93106036878129</v>
      </c>
      <c r="N30" s="64">
        <f t="shared" si="110"/>
        <v>148.33543287554906</v>
      </c>
      <c r="O30" s="64">
        <f t="shared" si="110"/>
        <v>166.93765167830023</v>
      </c>
      <c r="P30" s="64">
        <f t="shared" si="110"/>
        <v>186.81420986098854</v>
      </c>
      <c r="Q30" s="64">
        <f t="shared" si="110"/>
        <v>208.04607716259159</v>
      </c>
      <c r="R30" s="64">
        <f t="shared" ref="R30:U30" si="111">R29/R31</f>
        <v>230.71895259053386</v>
      </c>
      <c r="S30" s="64">
        <f t="shared" si="111"/>
        <v>254.92353086654828</v>
      </c>
      <c r="T30" s="64">
        <f t="shared" si="111"/>
        <v>280.75578344809765</v>
      </c>
      <c r="U30" s="64">
        <f t="shared" si="111"/>
        <v>308.31725490782247</v>
      </c>
      <c r="V30" s="19"/>
    </row>
    <row r="31" spans="1:188" s="16" customFormat="1" x14ac:dyDescent="0.15">
      <c r="A31" s="16" t="s">
        <v>17</v>
      </c>
      <c r="B31" s="29">
        <f>Reports!E25</f>
        <v>688.31799999999998</v>
      </c>
      <c r="C31" s="29">
        <f>Reports!I25</f>
        <v>691</v>
      </c>
      <c r="D31" s="29">
        <f>Reports!M25</f>
        <v>694</v>
      </c>
      <c r="E31" s="29">
        <f>Reports!Q25</f>
        <v>700.899</v>
      </c>
      <c r="F31" s="29">
        <f>Reports!U25</f>
        <v>695.19399999999996</v>
      </c>
      <c r="G31" s="29">
        <f t="shared" ref="G31" si="112">F31</f>
        <v>695.19399999999996</v>
      </c>
      <c r="H31" s="29">
        <f t="shared" ref="H31" si="113">G31</f>
        <v>695.19399999999996</v>
      </c>
      <c r="I31" s="29">
        <f t="shared" ref="I31" si="114">H31</f>
        <v>695.19399999999996</v>
      </c>
      <c r="J31" s="29">
        <f t="shared" ref="J31" si="115">I31</f>
        <v>695.19399999999996</v>
      </c>
      <c r="K31" s="29">
        <f t="shared" ref="K31" si="116">J31</f>
        <v>695.19399999999996</v>
      </c>
      <c r="L31" s="29">
        <f t="shared" ref="L31" si="117">K31</f>
        <v>695.19399999999996</v>
      </c>
      <c r="M31" s="29">
        <f t="shared" ref="M31" si="118">L31</f>
        <v>695.19399999999996</v>
      </c>
      <c r="N31" s="29">
        <f t="shared" ref="N31" si="119">M31</f>
        <v>695.19399999999996</v>
      </c>
      <c r="O31" s="29">
        <f t="shared" ref="O31" si="120">N31</f>
        <v>695.19399999999996</v>
      </c>
      <c r="P31" s="29">
        <f t="shared" ref="P31" si="121">O31</f>
        <v>695.19399999999996</v>
      </c>
      <c r="Q31" s="29">
        <f t="shared" ref="Q31:U31" si="122">P31</f>
        <v>695.19399999999996</v>
      </c>
      <c r="R31" s="29">
        <f t="shared" si="122"/>
        <v>695.19399999999996</v>
      </c>
      <c r="S31" s="29">
        <f t="shared" si="122"/>
        <v>695.19399999999996</v>
      </c>
      <c r="T31" s="29">
        <f t="shared" si="122"/>
        <v>695.19399999999996</v>
      </c>
      <c r="U31" s="29">
        <f t="shared" si="122"/>
        <v>695.19399999999996</v>
      </c>
      <c r="V31" s="8"/>
    </row>
    <row r="32" spans="1:188" x14ac:dyDescent="0.1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6"/>
    </row>
    <row r="33" spans="1:122" x14ac:dyDescent="0.15">
      <c r="A33" s="3" t="s">
        <v>19</v>
      </c>
      <c r="B33" s="42">
        <f t="shared" ref="B33:Q33" si="123">IFERROR(B20/B18,0)</f>
        <v>0.62442491565429592</v>
      </c>
      <c r="C33" s="42">
        <f t="shared" si="123"/>
        <v>0.61075416518964909</v>
      </c>
      <c r="D33" s="42">
        <f t="shared" si="123"/>
        <v>0.58880519597672631</v>
      </c>
      <c r="E33" s="42">
        <f>IFERROR(E20/E18,0)</f>
        <v>0.5647607422945643</v>
      </c>
      <c r="F33" s="42">
        <f t="shared" si="123"/>
        <v>0.5558054331910266</v>
      </c>
      <c r="G33" s="42">
        <f t="shared" si="123"/>
        <v>0.5558054331910266</v>
      </c>
      <c r="H33" s="42">
        <f>IFERROR(H20/H18,0)</f>
        <v>0.5558054331910266</v>
      </c>
      <c r="I33" s="42">
        <f t="shared" si="123"/>
        <v>0.5558054331910266</v>
      </c>
      <c r="J33" s="42">
        <f t="shared" si="123"/>
        <v>0.5558054331910266</v>
      </c>
      <c r="K33" s="42">
        <f t="shared" si="123"/>
        <v>0.5558054331910266</v>
      </c>
      <c r="L33" s="42">
        <f t="shared" si="123"/>
        <v>0.5558054331910266</v>
      </c>
      <c r="M33" s="42">
        <f t="shared" si="123"/>
        <v>0.5558054331910266</v>
      </c>
      <c r="N33" s="42">
        <f t="shared" si="123"/>
        <v>0.5558054331910266</v>
      </c>
      <c r="O33" s="42">
        <f t="shared" si="123"/>
        <v>0.5558054331910266</v>
      </c>
      <c r="P33" s="42">
        <f t="shared" si="123"/>
        <v>0.5558054331910266</v>
      </c>
      <c r="Q33" s="42">
        <f t="shared" si="123"/>
        <v>0.5558054331910266</v>
      </c>
      <c r="R33" s="42">
        <f t="shared" ref="R33:U33" si="124">IFERROR(R20/R18,0)</f>
        <v>0.5558054331910266</v>
      </c>
      <c r="S33" s="42">
        <f t="shared" si="124"/>
        <v>0.5558054331910266</v>
      </c>
      <c r="T33" s="42">
        <f t="shared" si="124"/>
        <v>0.5558054331910266</v>
      </c>
      <c r="U33" s="42">
        <f t="shared" si="124"/>
        <v>0.5558054331910266</v>
      </c>
      <c r="V33" s="22"/>
    </row>
    <row r="34" spans="1:122" x14ac:dyDescent="0.15">
      <c r="A34" s="3" t="s">
        <v>20</v>
      </c>
      <c r="B34" s="44">
        <f t="shared" ref="B34:Q34" si="125">IFERROR(B25/B18,0)</f>
        <v>0.25817119844243824</v>
      </c>
      <c r="C34" s="44">
        <f t="shared" si="125"/>
        <v>0.26271712158808935</v>
      </c>
      <c r="D34" s="44">
        <f t="shared" si="125"/>
        <v>0.23585765188760091</v>
      </c>
      <c r="E34" s="44">
        <f>IFERROR(E25/E18,0)</f>
        <v>0.19237825155862856</v>
      </c>
      <c r="F34" s="44">
        <f t="shared" si="125"/>
        <v>0.22197371754079218</v>
      </c>
      <c r="G34" s="44">
        <f t="shared" si="125"/>
        <v>0.20999784699101706</v>
      </c>
      <c r="H34" s="44">
        <f t="shared" si="125"/>
        <v>0.19867725422042373</v>
      </c>
      <c r="I34" s="44">
        <f t="shared" si="125"/>
        <v>0.1883811659963584</v>
      </c>
      <c r="J34" s="44">
        <f t="shared" si="125"/>
        <v>0.17955571474828524</v>
      </c>
      <c r="K34" s="44">
        <f t="shared" si="125"/>
        <v>0.17271810704418117</v>
      </c>
      <c r="L34" s="44">
        <f t="shared" si="125"/>
        <v>0.18694381779031011</v>
      </c>
      <c r="M34" s="44">
        <f t="shared" si="125"/>
        <v>0.20022114782003039</v>
      </c>
      <c r="N34" s="44">
        <f t="shared" si="125"/>
        <v>0.21261332251443607</v>
      </c>
      <c r="O34" s="44">
        <f t="shared" si="125"/>
        <v>0.22417935222921465</v>
      </c>
      <c r="P34" s="44">
        <f t="shared" si="125"/>
        <v>0.2349743132963413</v>
      </c>
      <c r="Q34" s="44">
        <f t="shared" si="125"/>
        <v>0.2450496102923263</v>
      </c>
      <c r="R34" s="44">
        <f t="shared" ref="R34:U34" si="126">IFERROR(R25/R18,0)</f>
        <v>0.25445322082191213</v>
      </c>
      <c r="S34" s="44">
        <f t="shared" si="126"/>
        <v>0.26322992398285905</v>
      </c>
      <c r="T34" s="44">
        <f t="shared" si="126"/>
        <v>0.27142151359974281</v>
      </c>
      <c r="U34" s="44">
        <f t="shared" si="126"/>
        <v>0.2790669972421676</v>
      </c>
      <c r="V34" s="21"/>
    </row>
    <row r="35" spans="1:122" x14ac:dyDescent="0.15">
      <c r="A35" s="3" t="s">
        <v>21</v>
      </c>
      <c r="B35" s="44">
        <f t="shared" ref="B35:Q35" si="127">IFERROR(B28/B27,0)</f>
        <v>0.16808304920869166</v>
      </c>
      <c r="C35" s="44">
        <f t="shared" si="127"/>
        <v>0.19345755693581781</v>
      </c>
      <c r="D35" s="44">
        <f t="shared" si="127"/>
        <v>0.19398512947390398</v>
      </c>
      <c r="E35" s="44">
        <f>IFERROR(E28/E27,0)</f>
        <v>0.1196402486179933</v>
      </c>
      <c r="F35" s="44">
        <f t="shared" si="127"/>
        <v>0.12782537147282319</v>
      </c>
      <c r="G35" s="44">
        <f t="shared" si="127"/>
        <v>0.15</v>
      </c>
      <c r="H35" s="44">
        <f t="shared" si="127"/>
        <v>0.15</v>
      </c>
      <c r="I35" s="44">
        <f t="shared" si="127"/>
        <v>0.15</v>
      </c>
      <c r="J35" s="44">
        <f t="shared" si="127"/>
        <v>0.15</v>
      </c>
      <c r="K35" s="44">
        <f t="shared" si="127"/>
        <v>0.15</v>
      </c>
      <c r="L35" s="44">
        <f t="shared" si="127"/>
        <v>0.15</v>
      </c>
      <c r="M35" s="44">
        <f t="shared" si="127"/>
        <v>0.15</v>
      </c>
      <c r="N35" s="44">
        <f t="shared" si="127"/>
        <v>0.15</v>
      </c>
      <c r="O35" s="44">
        <f t="shared" si="127"/>
        <v>0.15</v>
      </c>
      <c r="P35" s="44">
        <f t="shared" si="127"/>
        <v>0.15</v>
      </c>
      <c r="Q35" s="44">
        <f t="shared" si="127"/>
        <v>0.15</v>
      </c>
      <c r="R35" s="44">
        <f t="shared" ref="R35:U35" si="128">IFERROR(R28/R27,0)</f>
        <v>0.15</v>
      </c>
      <c r="S35" s="44">
        <f t="shared" si="128"/>
        <v>0.15</v>
      </c>
      <c r="T35" s="44">
        <f t="shared" si="128"/>
        <v>0.15</v>
      </c>
      <c r="U35" s="44">
        <f t="shared" si="128"/>
        <v>0.15</v>
      </c>
      <c r="V35" s="21"/>
    </row>
    <row r="36" spans="1:122" x14ac:dyDescent="0.1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21"/>
    </row>
    <row r="37" spans="1:122" x14ac:dyDescent="0.15">
      <c r="A37" s="2" t="s">
        <v>18</v>
      </c>
      <c r="B37" s="33"/>
      <c r="C37" s="65">
        <f>C18/B18-1</f>
        <v>0.20380322447292265</v>
      </c>
      <c r="D37" s="65">
        <f t="shared" ref="D37:U37" si="129">D18/C18-1</f>
        <v>0.22801090038993266</v>
      </c>
      <c r="E37" s="65">
        <f t="shared" si="129"/>
        <v>0.23421586757475987</v>
      </c>
      <c r="F37" s="65">
        <f t="shared" si="129"/>
        <v>0.18300089899794614</v>
      </c>
      <c r="G37" s="65">
        <f t="shared" si="129"/>
        <v>0.17550615666915848</v>
      </c>
      <c r="H37" s="65">
        <f t="shared" si="129"/>
        <v>0.1802343219076239</v>
      </c>
      <c r="I37" s="65">
        <f t="shared" si="129"/>
        <v>0.18593653382251185</v>
      </c>
      <c r="J37" s="65">
        <f t="shared" si="129"/>
        <v>0.19279428706178536</v>
      </c>
      <c r="K37" s="65">
        <f t="shared" si="129"/>
        <v>0.20099832929671524</v>
      </c>
      <c r="L37" s="65">
        <f t="shared" si="129"/>
        <v>5.0000000000000044E-2</v>
      </c>
      <c r="M37" s="65">
        <f t="shared" si="129"/>
        <v>5.0000000000000044E-2</v>
      </c>
      <c r="N37" s="65">
        <f t="shared" si="129"/>
        <v>5.0000000000000044E-2</v>
      </c>
      <c r="O37" s="65">
        <f t="shared" si="129"/>
        <v>5.0000000000000044E-2</v>
      </c>
      <c r="P37" s="65">
        <f t="shared" si="129"/>
        <v>5.0000000000000044E-2</v>
      </c>
      <c r="Q37" s="65">
        <f t="shared" si="129"/>
        <v>5.0000000000000044E-2</v>
      </c>
      <c r="R37" s="65">
        <f t="shared" si="129"/>
        <v>5.0000000000000044E-2</v>
      </c>
      <c r="S37" s="65">
        <f t="shared" si="129"/>
        <v>5.0000000000000044E-2</v>
      </c>
      <c r="T37" s="65">
        <f t="shared" si="129"/>
        <v>5.0000000000000044E-2</v>
      </c>
      <c r="U37" s="65">
        <f t="shared" si="129"/>
        <v>5.0000000000000044E-2</v>
      </c>
      <c r="V37" s="20"/>
    </row>
    <row r="38" spans="1:122" x14ac:dyDescent="0.15">
      <c r="A38" s="3" t="s">
        <v>61</v>
      </c>
      <c r="B38" s="26"/>
      <c r="C38" s="44">
        <f t="shared" ref="C38:U38" si="130">C21/B21-1</f>
        <v>0.13564566031590952</v>
      </c>
      <c r="D38" s="44">
        <f t="shared" si="130"/>
        <v>0.19192715801548599</v>
      </c>
      <c r="E38" s="44">
        <f t="shared" si="130"/>
        <v>0.28836090225563904</v>
      </c>
      <c r="F38" s="44">
        <f t="shared" si="130"/>
        <v>0.21471590643820915</v>
      </c>
      <c r="G38" s="44">
        <f t="shared" si="130"/>
        <v>0.19999999999999996</v>
      </c>
      <c r="H38" s="44">
        <f t="shared" si="130"/>
        <v>0.19999999999999996</v>
      </c>
      <c r="I38" s="44">
        <f t="shared" si="130"/>
        <v>0.19999999999999996</v>
      </c>
      <c r="J38" s="44">
        <f t="shared" si="130"/>
        <v>0.19999999999999996</v>
      </c>
      <c r="K38" s="44">
        <f t="shared" si="130"/>
        <v>0.19999999999999996</v>
      </c>
      <c r="L38" s="44">
        <f t="shared" si="130"/>
        <v>5.0000000000000044E-2</v>
      </c>
      <c r="M38" s="44">
        <f t="shared" si="130"/>
        <v>5.0000000000000044E-2</v>
      </c>
      <c r="N38" s="44">
        <f t="shared" si="130"/>
        <v>5.0000000000000044E-2</v>
      </c>
      <c r="O38" s="44">
        <f t="shared" si="130"/>
        <v>5.0000000000000044E-2</v>
      </c>
      <c r="P38" s="44">
        <f t="shared" si="130"/>
        <v>5.0000000000000044E-2</v>
      </c>
      <c r="Q38" s="44">
        <f t="shared" si="130"/>
        <v>5.0000000000000044E-2</v>
      </c>
      <c r="R38" s="44">
        <f t="shared" si="130"/>
        <v>5.0000000000000044E-2</v>
      </c>
      <c r="S38" s="44">
        <f t="shared" si="130"/>
        <v>5.0000000000000044E-2</v>
      </c>
      <c r="T38" s="44">
        <f t="shared" si="130"/>
        <v>5.0000000000000044E-2</v>
      </c>
      <c r="U38" s="44">
        <f t="shared" si="130"/>
        <v>5.0000000000000044E-2</v>
      </c>
      <c r="V38" s="21"/>
    </row>
    <row r="39" spans="1:122" x14ac:dyDescent="0.15">
      <c r="A39" s="3" t="s">
        <v>62</v>
      </c>
      <c r="B39" s="26"/>
      <c r="C39" s="44">
        <f t="shared" ref="C39:U39" si="131">C22/B22-1</f>
        <v>0.15894771747540615</v>
      </c>
      <c r="D39" s="44">
        <f t="shared" si="131"/>
        <v>0.22966142107773013</v>
      </c>
      <c r="E39" s="44">
        <f t="shared" si="131"/>
        <v>0.2668114480725976</v>
      </c>
      <c r="F39" s="44">
        <f t="shared" si="131"/>
        <v>0.1304720504500092</v>
      </c>
      <c r="G39" s="44">
        <f t="shared" si="131"/>
        <v>0.19999999999999996</v>
      </c>
      <c r="H39" s="44">
        <f t="shared" si="131"/>
        <v>0.19999999999999996</v>
      </c>
      <c r="I39" s="44">
        <f t="shared" si="131"/>
        <v>0.19999999999999996</v>
      </c>
      <c r="J39" s="44">
        <f t="shared" si="131"/>
        <v>0.19999999999999996</v>
      </c>
      <c r="K39" s="44">
        <f t="shared" si="131"/>
        <v>0.19999999999999996</v>
      </c>
      <c r="L39" s="44">
        <f t="shared" si="131"/>
        <v>-2.0000000000000018E-2</v>
      </c>
      <c r="M39" s="44">
        <f t="shared" si="131"/>
        <v>-2.0000000000000018E-2</v>
      </c>
      <c r="N39" s="44">
        <f t="shared" si="131"/>
        <v>-2.0000000000000018E-2</v>
      </c>
      <c r="O39" s="44">
        <f t="shared" si="131"/>
        <v>-2.0000000000000018E-2</v>
      </c>
      <c r="P39" s="44">
        <f t="shared" si="131"/>
        <v>-2.0000000000000018E-2</v>
      </c>
      <c r="Q39" s="44">
        <f t="shared" si="131"/>
        <v>-2.0000000000000129E-2</v>
      </c>
      <c r="R39" s="44">
        <f t="shared" si="131"/>
        <v>-2.0000000000000018E-2</v>
      </c>
      <c r="S39" s="44">
        <f t="shared" si="131"/>
        <v>-2.0000000000000018E-2</v>
      </c>
      <c r="T39" s="44">
        <f t="shared" si="131"/>
        <v>-1.9999999999999907E-2</v>
      </c>
      <c r="U39" s="44">
        <f t="shared" si="131"/>
        <v>-2.0000000000000018E-2</v>
      </c>
      <c r="V39" s="21"/>
    </row>
    <row r="40" spans="1:122" x14ac:dyDescent="0.15">
      <c r="A40" s="3" t="s">
        <v>63</v>
      </c>
      <c r="B40" s="26"/>
      <c r="C40" s="44">
        <f t="shared" ref="C40:U40" si="132">C23/B23-1</f>
        <v>0.13836375488917851</v>
      </c>
      <c r="D40" s="44">
        <f>D23/C23-1</f>
        <v>0.37551896921975669</v>
      </c>
      <c r="E40" s="44">
        <f t="shared" si="132"/>
        <v>0.37354288093255628</v>
      </c>
      <c r="F40" s="44">
        <f t="shared" si="132"/>
        <v>-0.27627491096461321</v>
      </c>
      <c r="G40" s="44">
        <f t="shared" si="132"/>
        <v>0.30000000000000004</v>
      </c>
      <c r="H40" s="44">
        <f t="shared" si="132"/>
        <v>0.30000000000000004</v>
      </c>
      <c r="I40" s="44">
        <f t="shared" si="132"/>
        <v>0.30000000000000004</v>
      </c>
      <c r="J40" s="44">
        <f t="shared" si="132"/>
        <v>0.30000000000000004</v>
      </c>
      <c r="K40" s="44">
        <f t="shared" si="132"/>
        <v>0.30000000000000004</v>
      </c>
      <c r="L40" s="44">
        <f t="shared" si="132"/>
        <v>-2.0000000000000018E-2</v>
      </c>
      <c r="M40" s="44">
        <f t="shared" si="132"/>
        <v>-2.0000000000000018E-2</v>
      </c>
      <c r="N40" s="44">
        <f t="shared" si="132"/>
        <v>-1.9999999999999907E-2</v>
      </c>
      <c r="O40" s="44">
        <f t="shared" si="132"/>
        <v>-2.0000000000000018E-2</v>
      </c>
      <c r="P40" s="44">
        <f t="shared" si="132"/>
        <v>-2.0000000000000018E-2</v>
      </c>
      <c r="Q40" s="44">
        <f t="shared" si="132"/>
        <v>-2.0000000000000018E-2</v>
      </c>
      <c r="R40" s="44">
        <f t="shared" si="132"/>
        <v>-2.0000000000000018E-2</v>
      </c>
      <c r="S40" s="44">
        <f t="shared" si="132"/>
        <v>-2.0000000000000018E-2</v>
      </c>
      <c r="T40" s="44">
        <f t="shared" si="132"/>
        <v>-2.0000000000000018E-2</v>
      </c>
      <c r="U40" s="44">
        <f t="shared" si="132"/>
        <v>-2.0000000000000018E-2</v>
      </c>
      <c r="V40" s="21"/>
    </row>
    <row r="41" spans="1:122" s="5" customFormat="1" x14ac:dyDescent="0.15">
      <c r="A41" s="5" t="s">
        <v>119</v>
      </c>
      <c r="B41" s="50"/>
      <c r="C41" s="56">
        <f>C24/B24-1</f>
        <v>0.14392863644638632</v>
      </c>
      <c r="D41" s="56">
        <f>D24/C24-1</f>
        <v>0.24533706792284682</v>
      </c>
      <c r="E41" s="56">
        <f>E24/D24-1</f>
        <v>0.30217758012574758</v>
      </c>
      <c r="F41" s="56">
        <f t="shared" ref="F41:U41" si="133">F24/E24-1</f>
        <v>6.0531119354648721E-2</v>
      </c>
      <c r="G41" s="56">
        <f t="shared" si="133"/>
        <v>0.21767623489349086</v>
      </c>
      <c r="H41" s="56">
        <f t="shared" si="133"/>
        <v>0.21887127686576591</v>
      </c>
      <c r="I41" s="56">
        <f t="shared" si="133"/>
        <v>0.22012735913227788</v>
      </c>
      <c r="J41" s="56">
        <f t="shared" si="133"/>
        <v>0.22144494726400499</v>
      </c>
      <c r="K41" s="56">
        <f t="shared" si="133"/>
        <v>0.22282414078968782</v>
      </c>
      <c r="L41" s="56">
        <f t="shared" si="133"/>
        <v>1.1008899893206747E-2</v>
      </c>
      <c r="M41" s="56">
        <f t="shared" si="133"/>
        <v>1.2204805409038899E-2</v>
      </c>
      <c r="N41" s="56">
        <f t="shared" si="133"/>
        <v>1.3407315889817362E-2</v>
      </c>
      <c r="O41" s="56">
        <f t="shared" si="133"/>
        <v>1.4613606132800161E-2</v>
      </c>
      <c r="P41" s="56">
        <f t="shared" si="133"/>
        <v>1.5820815155403123E-2</v>
      </c>
      <c r="Q41" s="56">
        <f t="shared" si="133"/>
        <v>1.7026073252317753E-2</v>
      </c>
      <c r="R41" s="56">
        <f t="shared" si="133"/>
        <v>1.8226529228114297E-2</v>
      </c>
      <c r="S41" s="56">
        <f t="shared" si="133"/>
        <v>1.9419377257776871E-2</v>
      </c>
      <c r="T41" s="56">
        <f t="shared" si="133"/>
        <v>2.0601882840411756E-2</v>
      </c>
      <c r="U41" s="56">
        <f t="shared" si="133"/>
        <v>2.1771407342287441E-2</v>
      </c>
      <c r="V41" s="14"/>
    </row>
    <row r="42" spans="1:122" x14ac:dyDescent="0.15">
      <c r="B42" s="2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6"/>
    </row>
    <row r="43" spans="1:122" x14ac:dyDescent="0.15">
      <c r="A43" s="2" t="s">
        <v>33</v>
      </c>
      <c r="B43" s="31">
        <f>B44-B45</f>
        <v>67846</v>
      </c>
      <c r="C43" s="31">
        <f>C44-C45</f>
        <v>82398</v>
      </c>
      <c r="D43" s="31">
        <f>D44-D45</f>
        <v>97902</v>
      </c>
      <c r="E43" s="31">
        <f>E44-E45</f>
        <v>105128</v>
      </c>
      <c r="F43" s="31">
        <f>F44-F45</f>
        <v>115121</v>
      </c>
      <c r="G43" s="66">
        <f>F43+G29</f>
        <v>153975.40045609704</v>
      </c>
      <c r="H43" s="66">
        <f t="shared" ref="H43:U43" si="134">G43+H29</f>
        <v>198441.39651625941</v>
      </c>
      <c r="I43" s="66">
        <f t="shared" si="134"/>
        <v>249517.63927139068</v>
      </c>
      <c r="J43" s="66">
        <f t="shared" si="134"/>
        <v>308602.94041192427</v>
      </c>
      <c r="K43" s="66">
        <f t="shared" si="134"/>
        <v>377726.66429442435</v>
      </c>
      <c r="L43" s="66">
        <f t="shared" si="134"/>
        <v>457432.24021482538</v>
      </c>
      <c r="M43" s="66">
        <f t="shared" si="134"/>
        <v>548454.7277968399</v>
      </c>
      <c r="N43" s="66">
        <f t="shared" si="134"/>
        <v>651576.63071932434</v>
      </c>
      <c r="O43" s="66">
        <f t="shared" si="134"/>
        <v>767630.68454016862</v>
      </c>
      <c r="P43" s="66">
        <f t="shared" si="134"/>
        <v>897502.8023502687</v>
      </c>
      <c r="Q43" s="66">
        <f t="shared" si="134"/>
        <v>1042135.1869172393</v>
      </c>
      <c r="R43" s="66">
        <f t="shared" si="134"/>
        <v>1202529.618444463</v>
      </c>
      <c r="S43" s="66">
        <f t="shared" si="134"/>
        <v>1379750.9275617022</v>
      </c>
      <c r="T43" s="66">
        <f t="shared" si="134"/>
        <v>1574930.663680119</v>
      </c>
      <c r="U43" s="66">
        <f t="shared" si="134"/>
        <v>1789270.9693885078</v>
      </c>
      <c r="V43" s="18"/>
    </row>
    <row r="44" spans="1:122" x14ac:dyDescent="0.15">
      <c r="A44" s="3" t="s">
        <v>34</v>
      </c>
      <c r="B44" s="67">
        <f>Reports!E38</f>
        <v>73066</v>
      </c>
      <c r="C44" s="67">
        <f>Reports!I38</f>
        <v>86333</v>
      </c>
      <c r="D44" s="67">
        <f>Reports!M38</f>
        <v>101871</v>
      </c>
      <c r="E44" s="67">
        <f>Reports!Q38</f>
        <v>109140</v>
      </c>
      <c r="F44" s="67">
        <f>Reports!U38</f>
        <v>119675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8"/>
    </row>
    <row r="45" spans="1:122" x14ac:dyDescent="0.15">
      <c r="A45" s="3" t="s">
        <v>35</v>
      </c>
      <c r="B45" s="67">
        <f>Reports!E39</f>
        <v>5220</v>
      </c>
      <c r="C45" s="67">
        <f>Reports!I39</f>
        <v>3935</v>
      </c>
      <c r="D45" s="67">
        <f>Reports!M39</f>
        <v>3969</v>
      </c>
      <c r="E45" s="67">
        <f>Reports!Q39</f>
        <v>4012</v>
      </c>
      <c r="F45" s="67">
        <f>Reports!U39</f>
        <v>4554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8"/>
    </row>
    <row r="46" spans="1:122" x14ac:dyDescent="0.15"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23"/>
    </row>
    <row r="47" spans="1:122" x14ac:dyDescent="0.15">
      <c r="A47" s="3" t="s">
        <v>78</v>
      </c>
      <c r="B47" s="69">
        <f>Reports!E41</f>
        <v>19716</v>
      </c>
      <c r="C47" s="69">
        <f>Reports!I41</f>
        <v>19775</v>
      </c>
      <c r="D47" s="69">
        <f>Reports!M41</f>
        <v>19439</v>
      </c>
      <c r="E47" s="67">
        <f>Reports!Q41</f>
        <v>20108</v>
      </c>
      <c r="F47" s="67">
        <f>Reports!U41</f>
        <v>22603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</row>
    <row r="48" spans="1:122" x14ac:dyDescent="0.15">
      <c r="A48" s="3" t="s">
        <v>79</v>
      </c>
      <c r="B48" s="69">
        <f>Reports!E42</f>
        <v>147461</v>
      </c>
      <c r="C48" s="69">
        <f>Reports!I42</f>
        <v>167468</v>
      </c>
      <c r="D48" s="69">
        <f>Reports!M42</f>
        <v>197295</v>
      </c>
      <c r="E48" s="67">
        <f>Reports!Q42</f>
        <v>232792</v>
      </c>
      <c r="F48" s="67">
        <f>Reports!U42</f>
        <v>275909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80</v>
      </c>
      <c r="B49" s="69">
        <f>Reports!E43</f>
        <v>27130</v>
      </c>
      <c r="C49" s="69">
        <f>Reports!I43</f>
        <v>28461</v>
      </c>
      <c r="D49" s="69">
        <f>Reports!M43</f>
        <v>44793</v>
      </c>
      <c r="E49" s="67">
        <f>Reports!Q43</f>
        <v>55164</v>
      </c>
      <c r="F49" s="67">
        <f>Reports!U43</f>
        <v>74467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 spans="1:122" x14ac:dyDescent="0.15">
      <c r="A51" s="3" t="s">
        <v>81</v>
      </c>
      <c r="B51" s="70">
        <f>B48-B47-B44</f>
        <v>54679</v>
      </c>
      <c r="C51" s="70">
        <f>C48-C47-C44</f>
        <v>61360</v>
      </c>
      <c r="D51" s="70">
        <f>D48-D47-D44</f>
        <v>75985</v>
      </c>
      <c r="E51" s="70">
        <f>E48-E47-E44</f>
        <v>103544</v>
      </c>
      <c r="F51" s="70">
        <f>F48-F47-F44</f>
        <v>133631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</row>
    <row r="52" spans="1:122" x14ac:dyDescent="0.15">
      <c r="A52" s="3" t="s">
        <v>82</v>
      </c>
      <c r="B52" s="70">
        <f>B48-B49</f>
        <v>120331</v>
      </c>
      <c r="C52" s="70">
        <f>C48-C49</f>
        <v>139007</v>
      </c>
      <c r="D52" s="70">
        <f>D48-D49</f>
        <v>152502</v>
      </c>
      <c r="E52" s="70">
        <f>E48-E49</f>
        <v>177628</v>
      </c>
      <c r="F52" s="70">
        <f>F48-F49</f>
        <v>201442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</row>
    <row r="53" spans="1:122" x14ac:dyDescent="0.1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1:122" x14ac:dyDescent="0.15">
      <c r="A54" s="24" t="s">
        <v>84</v>
      </c>
      <c r="B54" s="71">
        <f>B29/B52</f>
        <v>0.13585859005576287</v>
      </c>
      <c r="C54" s="71">
        <f>C29/C52</f>
        <v>0.1401224398771285</v>
      </c>
      <c r="D54" s="71">
        <f>D29/D52</f>
        <v>0.14372245855278049</v>
      </c>
      <c r="E54" s="71">
        <f>E29/E52</f>
        <v>0.17303578264687999</v>
      </c>
      <c r="F54" s="71">
        <f>F29/F52</f>
        <v>0.17891005847837094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1:122" x14ac:dyDescent="0.15">
      <c r="A55" s="24" t="s">
        <v>85</v>
      </c>
      <c r="B55" s="71">
        <f>B29/B48</f>
        <v>0.11086321128976476</v>
      </c>
      <c r="C55" s="71">
        <f>C29/C48</f>
        <v>0.11630878735041919</v>
      </c>
      <c r="D55" s="71">
        <f>D29/D48</f>
        <v>0.11109233571157975</v>
      </c>
      <c r="E55" s="71">
        <f>E29/E48</f>
        <v>0.13203202859204782</v>
      </c>
      <c r="F55" s="71">
        <f>F29/F48</f>
        <v>0.13062277779992679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</row>
    <row r="56" spans="1:122" x14ac:dyDescent="0.15">
      <c r="A56" s="24" t="s">
        <v>86</v>
      </c>
      <c r="B56" s="71">
        <f>B29/(B52-B47)</f>
        <v>0.16248074342791829</v>
      </c>
      <c r="C56" s="71">
        <f>C29/(C52-C47)</f>
        <v>0.16336218464841654</v>
      </c>
      <c r="D56" s="71">
        <f>D29/(D52-D47)</f>
        <v>0.16471868494033748</v>
      </c>
      <c r="E56" s="71">
        <f>E29/(E52-E47)</f>
        <v>0.19512442864398172</v>
      </c>
      <c r="F56" s="71">
        <f>F29/(F52-F47)</f>
        <v>0.2015220393761987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1:122" x14ac:dyDescent="0.15">
      <c r="A57" s="24" t="s">
        <v>87</v>
      </c>
      <c r="B57" s="71">
        <f>B29/B51</f>
        <v>0.29898132738345617</v>
      </c>
      <c r="C57" s="71">
        <f>C29/C51</f>
        <v>0.3174380704041721</v>
      </c>
      <c r="D57" s="71">
        <f>D29/D51</f>
        <v>0.28845117291855138</v>
      </c>
      <c r="E57" s="71">
        <f>E29/E51</f>
        <v>0.29683999072857914</v>
      </c>
      <c r="F57" s="71">
        <f>F29/F51</f>
        <v>0.26969789943950129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1:122" x14ac:dyDescent="0.15">
      <c r="A58" s="60"/>
      <c r="B58" s="72"/>
      <c r="C58" s="72"/>
      <c r="D58" s="72"/>
      <c r="E58" s="72"/>
      <c r="F58" s="72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</row>
    <row r="59" spans="1:122" x14ac:dyDescent="0.15">
      <c r="A59" s="60" t="s">
        <v>121</v>
      </c>
      <c r="B59" s="72">
        <f>(B47/B31)/$C$2</f>
        <v>1.9908489433566903E-2</v>
      </c>
      <c r="C59" s="72">
        <f>(C47/C31)/$C$2</f>
        <v>1.9890562777397282E-2</v>
      </c>
      <c r="D59" s="72">
        <f>(D47/D31)/$C$2</f>
        <v>1.9468077910528722E-2</v>
      </c>
      <c r="E59" s="72">
        <f>(E47/E31)/$C$2</f>
        <v>1.9939858059560063E-2</v>
      </c>
      <c r="F59" s="72">
        <f>(F47/F31)/$C$2</f>
        <v>2.2597931930620773E-2</v>
      </c>
      <c r="G59" s="77" t="s">
        <v>131</v>
      </c>
      <c r="I59" s="72"/>
      <c r="J59" s="72"/>
      <c r="K59" s="72"/>
      <c r="L59" s="69"/>
      <c r="N59" s="69"/>
      <c r="O59" s="69"/>
      <c r="P59" s="69"/>
      <c r="Q59" s="69"/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</row>
    <row r="60" spans="1:122" x14ac:dyDescent="0.15">
      <c r="A60" s="6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69"/>
      <c r="M60" s="77"/>
      <c r="N60" s="69"/>
      <c r="O60" s="69"/>
      <c r="P60" s="69"/>
      <c r="Q60" s="69"/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</row>
    <row r="61" spans="1:122" x14ac:dyDescent="0.15">
      <c r="A61" s="60" t="s">
        <v>129</v>
      </c>
      <c r="B61" s="72">
        <f>B29/B21-1</f>
        <v>0.33105357433642735</v>
      </c>
      <c r="C61" s="72">
        <f t="shared" ref="C61:G61" si="135">C29/C21-1</f>
        <v>0.39647261256094057</v>
      </c>
      <c r="D61" s="72">
        <f t="shared" si="135"/>
        <v>0.31837367664457905</v>
      </c>
      <c r="E61" s="72">
        <f t="shared" si="135"/>
        <v>0.43498762780708722</v>
      </c>
      <c r="F61" s="72">
        <f t="shared" si="135"/>
        <v>0.38519486509339695</v>
      </c>
      <c r="G61" s="72">
        <f t="shared" si="135"/>
        <v>0.2444717905583651</v>
      </c>
      <c r="H61" s="72">
        <f t="shared" ref="H61:K61" si="136">H29/H21-1</f>
        <v>0.1868384937607932</v>
      </c>
      <c r="I61" s="72">
        <f t="shared" si="136"/>
        <v>0.13606006817064875</v>
      </c>
      <c r="J61" s="72">
        <f t="shared" si="136"/>
        <v>9.5167531595929056E-2</v>
      </c>
      <c r="K61" s="72">
        <f t="shared" si="136"/>
        <v>6.769445470963853E-2</v>
      </c>
      <c r="L61" s="77" t="s">
        <v>133</v>
      </c>
      <c r="N61" s="69"/>
      <c r="O61" s="69"/>
      <c r="P61" s="69"/>
      <c r="Q61" s="69"/>
      <c r="R61" s="69"/>
      <c r="S61" s="69"/>
      <c r="T61" s="69"/>
      <c r="U61" s="69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</row>
    <row r="62" spans="1:122" x14ac:dyDescent="0.15">
      <c r="A62" s="60" t="s">
        <v>130</v>
      </c>
      <c r="B62" s="76" t="str">
        <f>ROUND($C$4/B21,0)&amp;"x"</f>
        <v>80x</v>
      </c>
      <c r="C62" s="76" t="str">
        <f>ROUND($C$4/C21,0)&amp;"x"</f>
        <v>71x</v>
      </c>
      <c r="D62" s="76" t="str">
        <f>ROUND($C$4/D21,0)&amp;"x"</f>
        <v>59x</v>
      </c>
      <c r="E62" s="76" t="str">
        <f>ROUND($C$4/E21,0)&amp;"x"</f>
        <v>46x</v>
      </c>
      <c r="F62" s="76" t="str">
        <f>ROUND($C$4/F21,0)&amp;"x"</f>
        <v>38x</v>
      </c>
      <c r="G62" s="76" t="str">
        <f t="shared" ref="G62:J62" si="137">ROUND($C$4/G21,0)&amp;"x"</f>
        <v>32x</v>
      </c>
      <c r="H62" s="76" t="str">
        <f t="shared" si="137"/>
        <v>26x</v>
      </c>
      <c r="I62" s="76" t="str">
        <f t="shared" si="137"/>
        <v>22x</v>
      </c>
      <c r="J62" s="76" t="str">
        <f t="shared" si="137"/>
        <v>18x</v>
      </c>
      <c r="K62" s="76" t="str">
        <f>ROUND($C$4/K21,0)&amp;"x"</f>
        <v>15x</v>
      </c>
      <c r="L62" s="77" t="s">
        <v>132</v>
      </c>
      <c r="N62" s="69"/>
      <c r="O62" s="69"/>
      <c r="P62" s="69"/>
      <c r="Q62" s="69"/>
      <c r="R62" s="69"/>
      <c r="S62" s="69"/>
      <c r="T62" s="69"/>
      <c r="U62" s="69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</row>
    <row r="63" spans="1:122" x14ac:dyDescent="0.15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1:122" x14ac:dyDescent="0.15">
      <c r="A64" s="3" t="s">
        <v>91</v>
      </c>
      <c r="B64" s="47"/>
      <c r="C64" s="71">
        <f>C10/B10-1</f>
        <v>0.17796408962754118</v>
      </c>
      <c r="D64" s="71">
        <f t="shared" ref="D64:E64" si="138">D10/C10-1</f>
        <v>0.20145371175188642</v>
      </c>
      <c r="E64" s="71">
        <f t="shared" si="138"/>
        <v>0.21835910878112719</v>
      </c>
      <c r="F64" s="71">
        <f t="shared" ref="F64:G65" si="139">F10/E10-1</f>
        <v>0.16118622042839559</v>
      </c>
      <c r="G64" s="71">
        <f t="shared" si="139"/>
        <v>0.14999999999999991</v>
      </c>
      <c r="H64" s="71">
        <f>H10/G10-1</f>
        <v>0.14999999999999991</v>
      </c>
      <c r="I64" s="71">
        <f>I10/H10-1</f>
        <v>0.14999999999999991</v>
      </c>
      <c r="J64" s="71">
        <f>J10/I10-1</f>
        <v>0.14999999999999991</v>
      </c>
      <c r="K64" s="71">
        <f>K10/J10-1</f>
        <v>0.14999999999999991</v>
      </c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 spans="1:21" x14ac:dyDescent="0.15">
      <c r="A65" s="60" t="s">
        <v>135</v>
      </c>
      <c r="B65" s="47"/>
      <c r="C65" s="71"/>
      <c r="D65" s="71"/>
      <c r="E65" s="71"/>
      <c r="F65" s="71">
        <f t="shared" si="139"/>
        <v>2.8262141603276771</v>
      </c>
      <c r="G65" s="71">
        <f t="shared" ref="G65" si="140">G11/F11-1</f>
        <v>0.5</v>
      </c>
      <c r="H65" s="71">
        <f t="shared" ref="H65" si="141">H11/G11-1</f>
        <v>0.5</v>
      </c>
      <c r="I65" s="71">
        <f t="shared" ref="I65" si="142">I11/H11-1</f>
        <v>0.5</v>
      </c>
      <c r="J65" s="71">
        <f t="shared" ref="J65" si="143">J11/I11-1</f>
        <v>0.5</v>
      </c>
      <c r="K65" s="71">
        <f t="shared" ref="K65" si="144">K11/J11-1</f>
        <v>0.5</v>
      </c>
      <c r="L65" s="47"/>
      <c r="M65" s="47"/>
      <c r="N65" s="47"/>
      <c r="O65" s="47"/>
      <c r="P65" s="47"/>
      <c r="Q65" s="47"/>
      <c r="R65" s="47"/>
      <c r="S65" s="47"/>
      <c r="T65" s="47"/>
      <c r="U65" s="47"/>
    </row>
    <row r="66" spans="1:21" x14ac:dyDescent="0.15">
      <c r="A66" s="3" t="s">
        <v>92</v>
      </c>
      <c r="B66" s="47"/>
      <c r="C66" s="71">
        <f t="shared" ref="C66:E66" si="145">C12/B12-1</f>
        <v>0.40886217500698918</v>
      </c>
      <c r="D66" s="71">
        <f t="shared" si="145"/>
        <v>0.41650957436253599</v>
      </c>
      <c r="E66" s="71">
        <f t="shared" si="145"/>
        <v>0.27407718708412121</v>
      </c>
      <c r="F66" s="71">
        <f t="shared" ref="F66:G66" si="146">F12/E12-1</f>
        <v>6.6080263881253432E-2</v>
      </c>
      <c r="G66" s="71">
        <f t="shared" si="146"/>
        <v>0.25</v>
      </c>
      <c r="H66" s="71">
        <f t="shared" ref="H66:H67" si="147">H12/G12-1</f>
        <v>0.25</v>
      </c>
      <c r="I66" s="71">
        <f t="shared" ref="I66:I67" si="148">I12/H12-1</f>
        <v>0.25</v>
      </c>
      <c r="J66" s="71">
        <f t="shared" ref="J66:J67" si="149">J12/I12-1</f>
        <v>0.25</v>
      </c>
      <c r="K66" s="71">
        <f t="shared" ref="K66:K67" si="150">K12/J12-1</f>
        <v>0.25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</row>
    <row r="67" spans="1:21" x14ac:dyDescent="0.15">
      <c r="A67" s="3" t="s">
        <v>93</v>
      </c>
      <c r="B67" s="47"/>
      <c r="C67" s="71">
        <f t="shared" ref="C67:E67" si="151">C13/B13-1</f>
        <v>0.8202247191011236</v>
      </c>
      <c r="D67" s="71">
        <f t="shared" si="151"/>
        <v>0.48518518518518516</v>
      </c>
      <c r="E67" s="71">
        <f t="shared" si="151"/>
        <v>-0.40232751454696591</v>
      </c>
      <c r="F67" s="71">
        <f t="shared" ref="F67" si="152">F13/E13-1</f>
        <v>0.38386648122392208</v>
      </c>
      <c r="G67" s="71">
        <f>G13/F13-1</f>
        <v>5.0000000000000044E-2</v>
      </c>
      <c r="H67" s="71">
        <f t="shared" si="147"/>
        <v>5.0000000000000044E-2</v>
      </c>
      <c r="I67" s="71">
        <f t="shared" si="148"/>
        <v>5.0000000000000044E-2</v>
      </c>
      <c r="J67" s="71">
        <f t="shared" si="149"/>
        <v>5.0000000000000044E-2</v>
      </c>
      <c r="K67" s="71">
        <f t="shared" si="150"/>
        <v>5.0000000000000044E-2</v>
      </c>
      <c r="L67" s="47"/>
      <c r="M67" s="47"/>
      <c r="N67" s="47"/>
      <c r="O67" s="47"/>
      <c r="P67" s="47"/>
      <c r="Q67" s="47"/>
      <c r="R67" s="47"/>
      <c r="S67" s="47"/>
      <c r="T67" s="47"/>
      <c r="U67" s="47"/>
    </row>
    <row r="68" spans="1:21" x14ac:dyDescent="0.1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</row>
    <row r="69" spans="1:21" s="25" customFormat="1" x14ac:dyDescent="0.15">
      <c r="A69" s="25" t="s">
        <v>96</v>
      </c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</row>
    <row r="70" spans="1:21" s="25" customFormat="1" x14ac:dyDescent="0.15">
      <c r="A70" s="25" t="s">
        <v>113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</row>
  </sheetData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9F9ED643-90F4-6643-BA04-1099F712C68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U55" sqref="U55"/>
    </sheetView>
  </sheetViews>
  <sheetFormatPr baseColWidth="10" defaultRowHeight="13" x14ac:dyDescent="0.15"/>
  <cols>
    <col min="1" max="1" width="18.5" style="6" bestFit="1" customWidth="1"/>
    <col min="2" max="5" width="10.83203125" style="26" customWidth="1"/>
    <col min="6" max="6" width="10.83203125" style="27" customWidth="1"/>
    <col min="7" max="8" width="10.83203125" style="26" customWidth="1"/>
    <col min="9" max="9" width="10.83203125" style="26"/>
    <col min="10" max="10" width="10.83203125" style="27"/>
    <col min="11" max="13" width="10.83203125" style="26"/>
    <col min="14" max="14" width="10.83203125" style="27"/>
    <col min="15" max="17" width="10.83203125" style="26"/>
    <col min="18" max="18" width="10.83203125" style="27"/>
    <col min="19" max="21" width="10.83203125" style="26"/>
    <col min="22" max="22" width="10.83203125" style="89"/>
    <col min="23" max="16384" width="10.83203125" style="6"/>
  </cols>
  <sheetData>
    <row r="1" spans="1:23" s="84" customFormat="1" x14ac:dyDescent="0.15">
      <c r="A1" s="81" t="s">
        <v>64</v>
      </c>
      <c r="B1" s="82" t="s">
        <v>50</v>
      </c>
      <c r="C1" s="82" t="s">
        <v>51</v>
      </c>
      <c r="D1" s="82" t="s">
        <v>52</v>
      </c>
      <c r="E1" s="82" t="s">
        <v>53</v>
      </c>
      <c r="F1" s="83" t="s">
        <v>22</v>
      </c>
      <c r="G1" s="82" t="s">
        <v>23</v>
      </c>
      <c r="H1" s="82" t="s">
        <v>24</v>
      </c>
      <c r="I1" s="82" t="s">
        <v>25</v>
      </c>
      <c r="J1" s="83" t="s">
        <v>0</v>
      </c>
      <c r="K1" s="82" t="s">
        <v>1</v>
      </c>
      <c r="L1" s="82" t="s">
        <v>2</v>
      </c>
      <c r="M1" s="82" t="s">
        <v>3</v>
      </c>
      <c r="N1" s="83" t="s">
        <v>42</v>
      </c>
      <c r="O1" s="82" t="s">
        <v>43</v>
      </c>
      <c r="P1" s="82" t="s">
        <v>44</v>
      </c>
      <c r="Q1" s="82" t="s">
        <v>45</v>
      </c>
      <c r="R1" s="83" t="s">
        <v>73</v>
      </c>
      <c r="S1" s="82" t="s">
        <v>74</v>
      </c>
      <c r="T1" s="82" t="s">
        <v>75</v>
      </c>
      <c r="U1" s="82" t="s">
        <v>76</v>
      </c>
      <c r="V1" s="85" t="s">
        <v>136</v>
      </c>
      <c r="W1" s="93" t="s">
        <v>137</v>
      </c>
    </row>
    <row r="2" spans="1:23" s="82" customFormat="1" x14ac:dyDescent="0.15">
      <c r="A2" s="81"/>
      <c r="B2" s="82" t="s">
        <v>54</v>
      </c>
      <c r="C2" s="82" t="s">
        <v>55</v>
      </c>
      <c r="D2" s="82" t="s">
        <v>56</v>
      </c>
      <c r="E2" s="82" t="s">
        <v>57</v>
      </c>
      <c r="F2" s="83" t="s">
        <v>29</v>
      </c>
      <c r="G2" s="82" t="s">
        <v>28</v>
      </c>
      <c r="H2" s="82" t="s">
        <v>27</v>
      </c>
      <c r="I2" s="82" t="s">
        <v>32</v>
      </c>
      <c r="J2" s="83" t="s">
        <v>31</v>
      </c>
      <c r="K2" s="82" t="s">
        <v>30</v>
      </c>
      <c r="L2" s="82" t="s">
        <v>26</v>
      </c>
      <c r="M2" s="82" t="s">
        <v>36</v>
      </c>
      <c r="N2" s="83" t="s">
        <v>46</v>
      </c>
      <c r="O2" s="82" t="s">
        <v>47</v>
      </c>
      <c r="P2" s="82" t="s">
        <v>48</v>
      </c>
      <c r="Q2" s="82" t="s">
        <v>49</v>
      </c>
      <c r="R2" s="83" t="s">
        <v>115</v>
      </c>
      <c r="S2" s="82" t="s">
        <v>122</v>
      </c>
      <c r="T2" s="82" t="s">
        <v>123</v>
      </c>
      <c r="U2" s="82" t="s">
        <v>116</v>
      </c>
      <c r="V2" s="86">
        <v>43921</v>
      </c>
      <c r="W2" s="94">
        <v>44012</v>
      </c>
    </row>
    <row r="3" spans="1:23" s="8" customFormat="1" x14ac:dyDescent="0.15">
      <c r="A3" s="8" t="s">
        <v>59</v>
      </c>
      <c r="B3" s="29">
        <v>15508</v>
      </c>
      <c r="C3" s="29">
        <v>16023</v>
      </c>
      <c r="D3" s="29">
        <v>16781</v>
      </c>
      <c r="E3" s="29">
        <v>19078</v>
      </c>
      <c r="F3" s="28">
        <v>18020</v>
      </c>
      <c r="G3" s="29">
        <v>19143</v>
      </c>
      <c r="H3" s="29">
        <v>19821</v>
      </c>
      <c r="I3" s="29">
        <v>22399</v>
      </c>
      <c r="J3" s="28">
        <v>21411</v>
      </c>
      <c r="K3" s="29">
        <v>22672</v>
      </c>
      <c r="L3" s="29">
        <v>24065</v>
      </c>
      <c r="M3" s="29">
        <v>27227</v>
      </c>
      <c r="N3" s="28">
        <v>26642</v>
      </c>
      <c r="O3" s="29">
        <v>28087</v>
      </c>
      <c r="P3" s="29">
        <v>28954</v>
      </c>
      <c r="Q3" s="29">
        <v>32518</v>
      </c>
      <c r="R3" s="28">
        <v>30587</v>
      </c>
      <c r="S3" s="29">
        <v>32494</v>
      </c>
      <c r="T3" s="29">
        <v>33916</v>
      </c>
      <c r="U3" s="29">
        <v>37934</v>
      </c>
      <c r="V3" s="87">
        <v>33763</v>
      </c>
      <c r="W3" s="8">
        <v>29867</v>
      </c>
    </row>
    <row r="4" spans="1:23" s="8" customFormat="1" x14ac:dyDescent="0.15">
      <c r="A4" s="8" t="s">
        <v>134</v>
      </c>
      <c r="B4" s="29"/>
      <c r="C4" s="29"/>
      <c r="D4" s="29"/>
      <c r="E4" s="29"/>
      <c r="F4" s="28"/>
      <c r="G4" s="29"/>
      <c r="H4" s="29"/>
      <c r="I4" s="29"/>
      <c r="J4" s="28"/>
      <c r="K4" s="29"/>
      <c r="L4" s="29"/>
      <c r="M4" s="29"/>
      <c r="N4" s="28"/>
      <c r="O4" s="29"/>
      <c r="P4" s="29"/>
      <c r="Q4" s="29">
        <v>1709</v>
      </c>
      <c r="R4" s="28">
        <v>1825</v>
      </c>
      <c r="S4" s="29">
        <v>2100</v>
      </c>
      <c r="T4" s="29"/>
      <c r="U4" s="29">
        <v>2614</v>
      </c>
      <c r="V4" s="87">
        <v>2777</v>
      </c>
      <c r="W4" s="8">
        <v>3007</v>
      </c>
    </row>
    <row r="5" spans="1:23" s="8" customFormat="1" x14ac:dyDescent="0.15">
      <c r="A5" s="8" t="s">
        <v>58</v>
      </c>
      <c r="B5" s="29">
        <v>1670</v>
      </c>
      <c r="C5" s="29">
        <v>1630</v>
      </c>
      <c r="D5" s="29">
        <v>1753</v>
      </c>
      <c r="E5" s="29">
        <v>2101</v>
      </c>
      <c r="F5" s="28">
        <v>2071</v>
      </c>
      <c r="G5" s="29">
        <v>2172</v>
      </c>
      <c r="H5" s="29">
        <v>2433</v>
      </c>
      <c r="I5" s="29">
        <v>3403</v>
      </c>
      <c r="J5" s="28">
        <v>3095</v>
      </c>
      <c r="K5" s="29">
        <v>3090</v>
      </c>
      <c r="L5" s="29">
        <v>3405</v>
      </c>
      <c r="M5" s="29">
        <v>4687</v>
      </c>
      <c r="N5" s="28">
        <v>4354</v>
      </c>
      <c r="O5" s="29">
        <v>4425</v>
      </c>
      <c r="P5" s="29">
        <v>4640</v>
      </c>
      <c r="Q5" s="29">
        <v>4771</v>
      </c>
      <c r="R5" s="28">
        <v>3620</v>
      </c>
      <c r="S5" s="29">
        <v>4080</v>
      </c>
      <c r="T5" s="29">
        <v>6428</v>
      </c>
      <c r="U5" s="29">
        <v>5264</v>
      </c>
      <c r="V5" s="87">
        <v>4435</v>
      </c>
      <c r="W5" s="8">
        <v>5124</v>
      </c>
    </row>
    <row r="6" spans="1:23" s="8" customFormat="1" x14ac:dyDescent="0.15">
      <c r="A6" s="8" t="s">
        <v>77</v>
      </c>
      <c r="B6" s="29">
        <v>80</v>
      </c>
      <c r="C6" s="29">
        <v>74</v>
      </c>
      <c r="D6" s="29">
        <v>141</v>
      </c>
      <c r="E6" s="29">
        <v>150</v>
      </c>
      <c r="F6" s="28">
        <v>166</v>
      </c>
      <c r="G6" s="29">
        <v>185</v>
      </c>
      <c r="H6" s="29">
        <v>197</v>
      </c>
      <c r="I6" s="29">
        <v>262</v>
      </c>
      <c r="J6" s="28">
        <v>244</v>
      </c>
      <c r="K6" s="29">
        <v>248</v>
      </c>
      <c r="L6" s="29">
        <v>302</v>
      </c>
      <c r="M6" s="29">
        <v>409</v>
      </c>
      <c r="N6" s="28">
        <v>150</v>
      </c>
      <c r="O6" s="29">
        <v>145</v>
      </c>
      <c r="P6" s="29">
        <v>146</v>
      </c>
      <c r="Q6" s="29">
        <f>154+124</f>
        <v>278</v>
      </c>
      <c r="R6" s="28">
        <f>170+137</f>
        <v>307</v>
      </c>
      <c r="S6" s="29">
        <f>162+108</f>
        <v>270</v>
      </c>
      <c r="T6" s="29">
        <v>155</v>
      </c>
      <c r="U6" s="29">
        <f>172+91</f>
        <v>263</v>
      </c>
      <c r="V6" s="87">
        <f>135+49</f>
        <v>184</v>
      </c>
      <c r="W6" s="8">
        <f>148+151</f>
        <v>299</v>
      </c>
    </row>
    <row r="7" spans="1:23" s="8" customFormat="1" x14ac:dyDescent="0.15">
      <c r="B7" s="29"/>
      <c r="C7" s="29"/>
      <c r="D7" s="29"/>
      <c r="E7" s="29"/>
      <c r="F7" s="28"/>
      <c r="G7" s="29"/>
      <c r="H7" s="29"/>
      <c r="I7" s="29"/>
      <c r="J7" s="28"/>
      <c r="K7" s="29"/>
      <c r="L7" s="29"/>
      <c r="M7" s="29"/>
      <c r="N7" s="28"/>
      <c r="O7" s="29"/>
      <c r="P7" s="29"/>
      <c r="Q7" s="29"/>
      <c r="R7" s="28"/>
      <c r="S7" s="29"/>
      <c r="T7" s="29"/>
      <c r="U7" s="29"/>
      <c r="V7" s="87"/>
    </row>
    <row r="8" spans="1:23" s="8" customFormat="1" x14ac:dyDescent="0.15">
      <c r="A8" s="8" t="s">
        <v>94</v>
      </c>
      <c r="B8" s="29"/>
      <c r="C8" s="29"/>
      <c r="D8" s="29"/>
      <c r="E8" s="29"/>
      <c r="F8" s="28"/>
      <c r="G8" s="29"/>
      <c r="H8" s="29"/>
      <c r="I8" s="29"/>
      <c r="J8" s="28"/>
      <c r="K8" s="29"/>
      <c r="L8" s="29"/>
      <c r="M8" s="29"/>
      <c r="N8" s="28"/>
      <c r="O8" s="29"/>
      <c r="P8" s="29"/>
      <c r="Q8" s="29"/>
      <c r="R8" s="28"/>
      <c r="S8" s="29"/>
      <c r="T8" s="29"/>
      <c r="U8" s="29"/>
      <c r="V8" s="87"/>
    </row>
    <row r="9" spans="1:23" s="4" customFormat="1" x14ac:dyDescent="0.15">
      <c r="A9" s="4" t="s">
        <v>95</v>
      </c>
      <c r="B9" s="53"/>
      <c r="C9" s="53"/>
      <c r="D9" s="53"/>
      <c r="E9" s="53"/>
      <c r="F9" s="54"/>
      <c r="G9" s="53"/>
      <c r="H9" s="53"/>
      <c r="I9" s="53"/>
      <c r="J9" s="54"/>
      <c r="K9" s="53"/>
      <c r="L9" s="53"/>
      <c r="M9" s="53"/>
      <c r="N9" s="54"/>
      <c r="O9" s="53"/>
      <c r="P9" s="53"/>
      <c r="Q9" s="53"/>
      <c r="R9" s="54"/>
      <c r="S9" s="53"/>
      <c r="T9" s="53"/>
      <c r="U9" s="53"/>
      <c r="V9" s="88"/>
    </row>
    <row r="10" spans="1:23" x14ac:dyDescent="0.15">
      <c r="B10" s="29"/>
      <c r="F10" s="28"/>
      <c r="I10" s="29"/>
    </row>
    <row r="11" spans="1:23" s="12" customFormat="1" x14ac:dyDescent="0.15">
      <c r="A11" s="12" t="s">
        <v>4</v>
      </c>
      <c r="B11" s="31">
        <f t="shared" ref="B11:W11" si="0">SUM(B3:B6)</f>
        <v>17258</v>
      </c>
      <c r="C11" s="31">
        <f t="shared" si="0"/>
        <v>17727</v>
      </c>
      <c r="D11" s="31">
        <f t="shared" si="0"/>
        <v>18675</v>
      </c>
      <c r="E11" s="31">
        <f t="shared" si="0"/>
        <v>21329</v>
      </c>
      <c r="F11" s="32">
        <f t="shared" si="0"/>
        <v>20257</v>
      </c>
      <c r="G11" s="31">
        <f t="shared" si="0"/>
        <v>21500</v>
      </c>
      <c r="H11" s="31">
        <f t="shared" si="0"/>
        <v>22451</v>
      </c>
      <c r="I11" s="31">
        <f t="shared" si="0"/>
        <v>26064</v>
      </c>
      <c r="J11" s="32">
        <f t="shared" si="0"/>
        <v>24750</v>
      </c>
      <c r="K11" s="31">
        <f t="shared" si="0"/>
        <v>26010</v>
      </c>
      <c r="L11" s="31">
        <f t="shared" si="0"/>
        <v>27772</v>
      </c>
      <c r="M11" s="31">
        <f t="shared" si="0"/>
        <v>32323</v>
      </c>
      <c r="N11" s="32">
        <f t="shared" si="0"/>
        <v>31146</v>
      </c>
      <c r="O11" s="31">
        <f t="shared" si="0"/>
        <v>32657</v>
      </c>
      <c r="P11" s="31">
        <f t="shared" si="0"/>
        <v>33740</v>
      </c>
      <c r="Q11" s="31">
        <f t="shared" si="0"/>
        <v>39276</v>
      </c>
      <c r="R11" s="32">
        <f t="shared" si="0"/>
        <v>36339</v>
      </c>
      <c r="S11" s="31">
        <f t="shared" si="0"/>
        <v>38944</v>
      </c>
      <c r="T11" s="31">
        <f t="shared" si="0"/>
        <v>40499</v>
      </c>
      <c r="U11" s="31">
        <f t="shared" si="0"/>
        <v>46075</v>
      </c>
      <c r="V11" s="32">
        <f t="shared" si="0"/>
        <v>41159</v>
      </c>
      <c r="W11" s="31">
        <f>SUM(W3:W6)</f>
        <v>38297</v>
      </c>
    </row>
    <row r="12" spans="1:23" x14ac:dyDescent="0.15">
      <c r="A12" s="6" t="s">
        <v>5</v>
      </c>
      <c r="B12" s="29">
        <v>6356</v>
      </c>
      <c r="C12" s="29">
        <v>6583</v>
      </c>
      <c r="D12" s="29">
        <v>7037</v>
      </c>
      <c r="E12" s="29">
        <v>8188</v>
      </c>
      <c r="F12" s="28">
        <v>7648</v>
      </c>
      <c r="G12" s="29">
        <v>8130</v>
      </c>
      <c r="H12" s="29">
        <v>8699</v>
      </c>
      <c r="I12" s="29">
        <v>10661</v>
      </c>
      <c r="J12" s="28">
        <v>9795</v>
      </c>
      <c r="K12" s="29">
        <v>10373</v>
      </c>
      <c r="L12" s="29">
        <v>11148</v>
      </c>
      <c r="M12" s="29">
        <v>14267</v>
      </c>
      <c r="N12" s="28">
        <v>13467</v>
      </c>
      <c r="O12" s="29">
        <v>13883</v>
      </c>
      <c r="P12" s="29">
        <v>14281</v>
      </c>
      <c r="Q12" s="29">
        <v>17918</v>
      </c>
      <c r="R12" s="28">
        <v>16012</v>
      </c>
      <c r="S12" s="29">
        <v>17296</v>
      </c>
      <c r="T12" s="29">
        <v>17568</v>
      </c>
      <c r="U12" s="29">
        <v>21020</v>
      </c>
      <c r="V12" s="90">
        <v>18982</v>
      </c>
      <c r="W12" s="95">
        <v>18553</v>
      </c>
    </row>
    <row r="13" spans="1:23" x14ac:dyDescent="0.15">
      <c r="A13" s="6" t="s">
        <v>6</v>
      </c>
      <c r="B13" s="34">
        <f>B11-B12</f>
        <v>10902</v>
      </c>
      <c r="C13" s="34">
        <f>C11-C12</f>
        <v>11144</v>
      </c>
      <c r="D13" s="34">
        <f>D11-D12</f>
        <v>11638</v>
      </c>
      <c r="E13" s="34">
        <f>E11-E12</f>
        <v>13141</v>
      </c>
      <c r="F13" s="35">
        <f>F11-F12</f>
        <v>12609</v>
      </c>
      <c r="G13" s="34">
        <f t="shared" ref="G13:L13" si="1">G11-G12</f>
        <v>13370</v>
      </c>
      <c r="H13" s="34">
        <f t="shared" si="1"/>
        <v>13752</v>
      </c>
      <c r="I13" s="34">
        <f t="shared" si="1"/>
        <v>15403</v>
      </c>
      <c r="J13" s="35">
        <f t="shared" si="1"/>
        <v>14955</v>
      </c>
      <c r="K13" s="34">
        <f t="shared" si="1"/>
        <v>15637</v>
      </c>
      <c r="L13" s="34">
        <f t="shared" si="1"/>
        <v>16624</v>
      </c>
      <c r="M13" s="34">
        <f t="shared" ref="M13" si="2">M11-M12</f>
        <v>18056</v>
      </c>
      <c r="N13" s="35">
        <f>N11-N12</f>
        <v>17679</v>
      </c>
      <c r="O13" s="34">
        <f>O11-O12</f>
        <v>18774</v>
      </c>
      <c r="P13" s="34">
        <f t="shared" ref="P13:Q13" si="3">P11-P12</f>
        <v>19459</v>
      </c>
      <c r="Q13" s="34">
        <f t="shared" si="3"/>
        <v>21358</v>
      </c>
      <c r="R13" s="35">
        <f t="shared" ref="R13" si="4">R11-R12</f>
        <v>20327</v>
      </c>
      <c r="S13" s="34">
        <f>S11-S12</f>
        <v>21648</v>
      </c>
      <c r="T13" s="34">
        <f>T11-T12</f>
        <v>22931</v>
      </c>
      <c r="U13" s="34">
        <f>U11-U12</f>
        <v>25055</v>
      </c>
      <c r="V13" s="35">
        <f>V11-V12</f>
        <v>22177</v>
      </c>
      <c r="W13" s="34">
        <f>W11-W12</f>
        <v>19744</v>
      </c>
    </row>
    <row r="14" spans="1:23" x14ac:dyDescent="0.15">
      <c r="A14" s="6" t="s">
        <v>7</v>
      </c>
      <c r="B14" s="29">
        <v>2753</v>
      </c>
      <c r="C14" s="29">
        <v>2789</v>
      </c>
      <c r="D14" s="29">
        <v>3230</v>
      </c>
      <c r="E14" s="29">
        <v>3510</v>
      </c>
      <c r="F14" s="28">
        <v>3367</v>
      </c>
      <c r="G14" s="29">
        <v>3363</v>
      </c>
      <c r="H14" s="29">
        <v>3596</v>
      </c>
      <c r="I14" s="29">
        <v>3622</v>
      </c>
      <c r="J14" s="28">
        <v>3942</v>
      </c>
      <c r="K14" s="29">
        <v>4172</v>
      </c>
      <c r="L14" s="29">
        <v>4205</v>
      </c>
      <c r="M14" s="29">
        <v>4306</v>
      </c>
      <c r="N14" s="28">
        <v>5039</v>
      </c>
      <c r="O14" s="29">
        <v>5114</v>
      </c>
      <c r="P14" s="29">
        <v>5232</v>
      </c>
      <c r="Q14" s="29">
        <v>6034</v>
      </c>
      <c r="R14" s="28">
        <v>6029</v>
      </c>
      <c r="S14" s="29">
        <v>6213</v>
      </c>
      <c r="T14" s="29">
        <v>6554</v>
      </c>
      <c r="U14" s="29">
        <v>7222</v>
      </c>
      <c r="V14" s="90">
        <v>6820</v>
      </c>
      <c r="W14" s="95">
        <v>6875</v>
      </c>
    </row>
    <row r="15" spans="1:23" x14ac:dyDescent="0.15">
      <c r="A15" s="6" t="s">
        <v>8</v>
      </c>
      <c r="B15" s="29">
        <v>2065</v>
      </c>
      <c r="C15" s="29">
        <v>2080</v>
      </c>
      <c r="D15" s="29">
        <v>2223</v>
      </c>
      <c r="E15" s="29">
        <v>2679</v>
      </c>
      <c r="F15" s="28">
        <v>2387</v>
      </c>
      <c r="G15" s="29">
        <v>2415</v>
      </c>
      <c r="H15" s="29">
        <v>2565</v>
      </c>
      <c r="I15" s="29">
        <v>3118</v>
      </c>
      <c r="J15" s="28">
        <v>2644</v>
      </c>
      <c r="K15" s="29">
        <v>2897</v>
      </c>
      <c r="L15" s="29">
        <v>3042</v>
      </c>
      <c r="M15" s="29">
        <v>4310</v>
      </c>
      <c r="N15" s="28">
        <v>3604</v>
      </c>
      <c r="O15" s="29">
        <v>3780</v>
      </c>
      <c r="P15" s="29">
        <v>3849</v>
      </c>
      <c r="Q15" s="29">
        <v>5100</v>
      </c>
      <c r="R15" s="28">
        <v>3905</v>
      </c>
      <c r="S15" s="29">
        <v>4212</v>
      </c>
      <c r="T15" s="29">
        <v>4609</v>
      </c>
      <c r="U15" s="29">
        <v>5738</v>
      </c>
      <c r="V15" s="90">
        <v>4500</v>
      </c>
      <c r="W15" s="95">
        <v>3901</v>
      </c>
    </row>
    <row r="16" spans="1:23" x14ac:dyDescent="0.15">
      <c r="A16" s="6" t="s">
        <v>9</v>
      </c>
      <c r="B16" s="29">
        <v>1637</v>
      </c>
      <c r="C16" s="29">
        <v>1450</v>
      </c>
      <c r="D16" s="29">
        <v>1477</v>
      </c>
      <c r="E16" s="29">
        <v>1572</v>
      </c>
      <c r="F16" s="28">
        <v>1513</v>
      </c>
      <c r="G16" s="29">
        <v>1624</v>
      </c>
      <c r="H16" s="29">
        <v>1824</v>
      </c>
      <c r="I16" s="29">
        <v>2024</v>
      </c>
      <c r="J16" s="28">
        <v>1801</v>
      </c>
      <c r="K16" s="29">
        <f>1700+2736</f>
        <v>4436</v>
      </c>
      <c r="L16" s="29">
        <v>1595</v>
      </c>
      <c r="M16" s="29">
        <v>1776</v>
      </c>
      <c r="N16" s="28">
        <v>2035</v>
      </c>
      <c r="O16" s="29">
        <f>2002+5071</f>
        <v>7073</v>
      </c>
      <c r="P16" s="29">
        <v>2068</v>
      </c>
      <c r="Q16" s="29">
        <v>2021</v>
      </c>
      <c r="R16" s="28">
        <f>2088</f>
        <v>2088</v>
      </c>
      <c r="S16" s="29">
        <v>2043</v>
      </c>
      <c r="T16" s="29">
        <v>2591</v>
      </c>
      <c r="U16" s="29">
        <v>2829</v>
      </c>
      <c r="V16" s="90">
        <v>2880</v>
      </c>
      <c r="W16" s="95">
        <v>2585</v>
      </c>
    </row>
    <row r="17" spans="1:23" x14ac:dyDescent="0.15">
      <c r="A17" s="6" t="s">
        <v>10</v>
      </c>
      <c r="B17" s="34">
        <f>SUM(B14:B16)</f>
        <v>6455</v>
      </c>
      <c r="C17" s="34">
        <f>SUM(C14:C16)</f>
        <v>6319</v>
      </c>
      <c r="D17" s="34">
        <f>SUM(D14:D16)</f>
        <v>6930</v>
      </c>
      <c r="E17" s="34">
        <f>SUM(E14:E16)</f>
        <v>7761</v>
      </c>
      <c r="F17" s="35">
        <f>SUM(F14:F16)</f>
        <v>7267</v>
      </c>
      <c r="G17" s="34">
        <f t="shared" ref="G17:L17" si="5">SUM(G14:G16)</f>
        <v>7402</v>
      </c>
      <c r="H17" s="34">
        <f t="shared" si="5"/>
        <v>7985</v>
      </c>
      <c r="I17" s="34">
        <f t="shared" si="5"/>
        <v>8764</v>
      </c>
      <c r="J17" s="35">
        <f t="shared" si="5"/>
        <v>8387</v>
      </c>
      <c r="K17" s="34">
        <f t="shared" si="5"/>
        <v>11505</v>
      </c>
      <c r="L17" s="34">
        <f t="shared" si="5"/>
        <v>8842</v>
      </c>
      <c r="M17" s="34">
        <f t="shared" ref="M17:N17" si="6">SUM(M14:M16)</f>
        <v>10392</v>
      </c>
      <c r="N17" s="35">
        <f t="shared" si="6"/>
        <v>10678</v>
      </c>
      <c r="O17" s="34">
        <f t="shared" ref="O17:P17" si="7">SUM(O14:O16)</f>
        <v>15967</v>
      </c>
      <c r="P17" s="34">
        <f t="shared" si="7"/>
        <v>11149</v>
      </c>
      <c r="Q17" s="34">
        <f t="shared" ref="Q17:S17" si="8">SUM(Q14:Q16)</f>
        <v>13155</v>
      </c>
      <c r="R17" s="35">
        <f t="shared" si="8"/>
        <v>12022</v>
      </c>
      <c r="S17" s="34">
        <f t="shared" si="8"/>
        <v>12468</v>
      </c>
      <c r="T17" s="34">
        <f t="shared" ref="T17" si="9">SUM(T14:T16)</f>
        <v>13754</v>
      </c>
      <c r="U17" s="34">
        <f t="shared" ref="U17:W17" si="10">SUM(U14:U16)</f>
        <v>15789</v>
      </c>
      <c r="V17" s="35">
        <f t="shared" si="10"/>
        <v>14200</v>
      </c>
      <c r="W17" s="34">
        <f t="shared" si="10"/>
        <v>13361</v>
      </c>
    </row>
    <row r="18" spans="1:23" x14ac:dyDescent="0.15">
      <c r="A18" s="6" t="s">
        <v>11</v>
      </c>
      <c r="B18" s="34">
        <f>B13-B17</f>
        <v>4447</v>
      </c>
      <c r="C18" s="34">
        <f>C13-C17</f>
        <v>4825</v>
      </c>
      <c r="D18" s="34">
        <f>D13-D17</f>
        <v>4708</v>
      </c>
      <c r="E18" s="34">
        <f>E13-E17</f>
        <v>5380</v>
      </c>
      <c r="F18" s="35">
        <f>F13-F17</f>
        <v>5342</v>
      </c>
      <c r="G18" s="34">
        <f t="shared" ref="G18:H18" si="11">G13-G17</f>
        <v>5968</v>
      </c>
      <c r="H18" s="34">
        <f t="shared" si="11"/>
        <v>5767</v>
      </c>
      <c r="I18" s="34">
        <f t="shared" ref="I18:P18" si="12">I13-I17</f>
        <v>6639</v>
      </c>
      <c r="J18" s="35">
        <f t="shared" si="12"/>
        <v>6568</v>
      </c>
      <c r="K18" s="34">
        <f t="shared" si="12"/>
        <v>4132</v>
      </c>
      <c r="L18" s="34">
        <f t="shared" si="12"/>
        <v>7782</v>
      </c>
      <c r="M18" s="34">
        <f t="shared" si="12"/>
        <v>7664</v>
      </c>
      <c r="N18" s="35">
        <f t="shared" si="12"/>
        <v>7001</v>
      </c>
      <c r="O18" s="34">
        <f t="shared" si="12"/>
        <v>2807</v>
      </c>
      <c r="P18" s="34">
        <f t="shared" si="12"/>
        <v>8310</v>
      </c>
      <c r="Q18" s="34">
        <f t="shared" ref="Q18:S18" si="13">Q13-Q17</f>
        <v>8203</v>
      </c>
      <c r="R18" s="35">
        <f t="shared" si="13"/>
        <v>8305</v>
      </c>
      <c r="S18" s="34">
        <f t="shared" si="13"/>
        <v>9180</v>
      </c>
      <c r="T18" s="34">
        <f t="shared" ref="T18" si="14">T13-T17</f>
        <v>9177</v>
      </c>
      <c r="U18" s="34">
        <f t="shared" ref="U18:W18" si="15">U13-U17</f>
        <v>9266</v>
      </c>
      <c r="V18" s="35">
        <f t="shared" si="15"/>
        <v>7977</v>
      </c>
      <c r="W18" s="34">
        <f t="shared" si="15"/>
        <v>6383</v>
      </c>
    </row>
    <row r="19" spans="1:23" x14ac:dyDescent="0.15">
      <c r="A19" s="6" t="s">
        <v>12</v>
      </c>
      <c r="B19" s="29">
        <v>157</v>
      </c>
      <c r="C19" s="29">
        <v>131</v>
      </c>
      <c r="D19" s="29">
        <v>183</v>
      </c>
      <c r="E19" s="29">
        <v>-180</v>
      </c>
      <c r="F19" s="28">
        <v>-213</v>
      </c>
      <c r="G19" s="29">
        <v>151</v>
      </c>
      <c r="H19" s="29">
        <v>278</v>
      </c>
      <c r="I19" s="29">
        <v>218</v>
      </c>
      <c r="J19" s="28">
        <v>251</v>
      </c>
      <c r="K19" s="29">
        <v>245</v>
      </c>
      <c r="L19" s="29">
        <v>197</v>
      </c>
      <c r="M19" s="29">
        <v>354</v>
      </c>
      <c r="N19" s="28">
        <v>3542</v>
      </c>
      <c r="O19" s="29">
        <v>1408</v>
      </c>
      <c r="P19" s="29">
        <v>1773</v>
      </c>
      <c r="Q19" s="29">
        <v>1869</v>
      </c>
      <c r="R19" s="28">
        <v>1538</v>
      </c>
      <c r="S19" s="29">
        <v>2967</v>
      </c>
      <c r="T19" s="29">
        <v>-549</v>
      </c>
      <c r="U19" s="29">
        <v>1438</v>
      </c>
      <c r="V19" s="90">
        <v>-220</v>
      </c>
      <c r="W19" s="95">
        <v>1894</v>
      </c>
    </row>
    <row r="20" spans="1:23" x14ac:dyDescent="0.15">
      <c r="A20" s="6" t="s">
        <v>13</v>
      </c>
      <c r="B20" s="34">
        <f>B18+B19</f>
        <v>4604</v>
      </c>
      <c r="C20" s="34">
        <f>C18+C19</f>
        <v>4956</v>
      </c>
      <c r="D20" s="34">
        <f>D18+D19</f>
        <v>4891</v>
      </c>
      <c r="E20" s="34">
        <f>E18+E19</f>
        <v>5200</v>
      </c>
      <c r="F20" s="35">
        <f>F18+F19</f>
        <v>5129</v>
      </c>
      <c r="G20" s="34">
        <f t="shared" ref="G20:I20" si="16">G18+G19</f>
        <v>6119</v>
      </c>
      <c r="H20" s="34">
        <f t="shared" si="16"/>
        <v>6045</v>
      </c>
      <c r="I20" s="34">
        <f t="shared" si="16"/>
        <v>6857</v>
      </c>
      <c r="J20" s="35">
        <f t="shared" ref="J20:K20" si="17">J18+J19</f>
        <v>6819</v>
      </c>
      <c r="K20" s="34">
        <f t="shared" si="17"/>
        <v>4377</v>
      </c>
      <c r="L20" s="34">
        <f t="shared" ref="L20:N20" si="18">L18+L19</f>
        <v>7979</v>
      </c>
      <c r="M20" s="34">
        <f>M18+M19</f>
        <v>8018</v>
      </c>
      <c r="N20" s="35">
        <f t="shared" si="18"/>
        <v>10543</v>
      </c>
      <c r="O20" s="34">
        <f t="shared" ref="O20" si="19">O18+O19</f>
        <v>4215</v>
      </c>
      <c r="P20" s="34">
        <f>P18+P19</f>
        <v>10083</v>
      </c>
      <c r="Q20" s="34">
        <f>Q18+Q19</f>
        <v>10072</v>
      </c>
      <c r="R20" s="35">
        <f>R18+R19</f>
        <v>9843</v>
      </c>
      <c r="S20" s="34">
        <f t="shared" ref="S20:V20" si="20">S18+S19</f>
        <v>12147</v>
      </c>
      <c r="T20" s="34">
        <f t="shared" si="20"/>
        <v>8628</v>
      </c>
      <c r="U20" s="34">
        <f t="shared" si="20"/>
        <v>10704</v>
      </c>
      <c r="V20" s="35">
        <f t="shared" si="20"/>
        <v>7757</v>
      </c>
      <c r="W20" s="34">
        <f t="shared" ref="W20" si="21">W18+W19</f>
        <v>8277</v>
      </c>
    </row>
    <row r="21" spans="1:23" x14ac:dyDescent="0.15">
      <c r="A21" s="6" t="s">
        <v>14</v>
      </c>
      <c r="B21" s="29">
        <v>1089</v>
      </c>
      <c r="C21" s="29">
        <v>1025</v>
      </c>
      <c r="D21" s="29">
        <v>912</v>
      </c>
      <c r="E21" s="29">
        <v>277</v>
      </c>
      <c r="F21" s="28">
        <v>922</v>
      </c>
      <c r="G21" s="29">
        <v>1242</v>
      </c>
      <c r="H21" s="29">
        <v>984</v>
      </c>
      <c r="I21" s="29">
        <v>1524</v>
      </c>
      <c r="J21" s="28">
        <v>1393</v>
      </c>
      <c r="K21" s="29">
        <v>853</v>
      </c>
      <c r="L21" s="29">
        <v>1247</v>
      </c>
      <c r="M21" s="29">
        <f>M20*I29</f>
        <v>1782.0376257838707</v>
      </c>
      <c r="N21" s="28">
        <v>1142</v>
      </c>
      <c r="O21" s="29">
        <v>1020</v>
      </c>
      <c r="P21" s="29">
        <v>891</v>
      </c>
      <c r="Q21" s="29">
        <v>1124</v>
      </c>
      <c r="R21" s="28">
        <v>1489</v>
      </c>
      <c r="S21" s="29">
        <v>2200</v>
      </c>
      <c r="T21" s="29">
        <v>1560</v>
      </c>
      <c r="U21" s="29">
        <v>33</v>
      </c>
      <c r="V21" s="90">
        <v>921</v>
      </c>
      <c r="W21" s="29">
        <v>1318</v>
      </c>
    </row>
    <row r="22" spans="1:23" s="14" customFormat="1" x14ac:dyDescent="0.15">
      <c r="A22" s="14" t="s">
        <v>114</v>
      </c>
      <c r="B22" s="48"/>
      <c r="C22" s="48"/>
      <c r="D22" s="48"/>
      <c r="E22" s="48"/>
      <c r="F22" s="49"/>
      <c r="G22" s="48"/>
      <c r="H22" s="48"/>
      <c r="I22" s="48"/>
      <c r="J22" s="49"/>
      <c r="K22" s="48"/>
      <c r="L22" s="48"/>
      <c r="M22" s="48">
        <v>11038</v>
      </c>
      <c r="N22" s="49"/>
      <c r="O22" s="48"/>
      <c r="P22" s="48"/>
      <c r="Q22" s="48"/>
      <c r="R22" s="49">
        <v>1696</v>
      </c>
      <c r="S22" s="48"/>
      <c r="T22" s="48"/>
      <c r="U22" s="48"/>
      <c r="V22" s="91"/>
    </row>
    <row r="23" spans="1:23" s="12" customFormat="1" x14ac:dyDescent="0.15">
      <c r="A23" s="12" t="s">
        <v>15</v>
      </c>
      <c r="B23" s="31">
        <f>B20-B21</f>
        <v>3515</v>
      </c>
      <c r="C23" s="31">
        <f>C20-C21</f>
        <v>3931</v>
      </c>
      <c r="D23" s="31">
        <f>D20-D21</f>
        <v>3979</v>
      </c>
      <c r="E23" s="31">
        <f>E20-E21</f>
        <v>4923</v>
      </c>
      <c r="F23" s="32">
        <f>F20-F21</f>
        <v>4207</v>
      </c>
      <c r="G23" s="31">
        <f t="shared" ref="G23:H23" si="22">G20-G21</f>
        <v>4877</v>
      </c>
      <c r="H23" s="31">
        <f t="shared" si="22"/>
        <v>5061</v>
      </c>
      <c r="I23" s="31">
        <f t="shared" ref="I23:O23" si="23">I20-I21</f>
        <v>5333</v>
      </c>
      <c r="J23" s="32">
        <f t="shared" si="23"/>
        <v>5426</v>
      </c>
      <c r="K23" s="31">
        <f t="shared" si="23"/>
        <v>3524</v>
      </c>
      <c r="L23" s="31">
        <f t="shared" si="23"/>
        <v>6732</v>
      </c>
      <c r="M23" s="31">
        <f t="shared" si="23"/>
        <v>6235.9623742161293</v>
      </c>
      <c r="N23" s="32">
        <f t="shared" si="23"/>
        <v>9401</v>
      </c>
      <c r="O23" s="31">
        <f t="shared" si="23"/>
        <v>3195</v>
      </c>
      <c r="P23" s="31">
        <f>P20-P21</f>
        <v>9192</v>
      </c>
      <c r="Q23" s="31">
        <f>Q20-Q21</f>
        <v>8948</v>
      </c>
      <c r="R23" s="32">
        <f>R20-R21</f>
        <v>8354</v>
      </c>
      <c r="S23" s="31">
        <f t="shared" ref="S23:T23" si="24">S20-S21</f>
        <v>9947</v>
      </c>
      <c r="T23" s="31">
        <f t="shared" si="24"/>
        <v>7068</v>
      </c>
      <c r="U23" s="31">
        <f t="shared" ref="U23:W23" si="25">U20-U21</f>
        <v>10671</v>
      </c>
      <c r="V23" s="32">
        <f t="shared" si="25"/>
        <v>6836</v>
      </c>
      <c r="W23" s="31">
        <f t="shared" si="25"/>
        <v>6959</v>
      </c>
    </row>
    <row r="24" spans="1:23" x14ac:dyDescent="0.15">
      <c r="A24" s="6" t="s">
        <v>16</v>
      </c>
      <c r="B24" s="29"/>
      <c r="C24" s="29"/>
      <c r="D24" s="29"/>
      <c r="E24" s="36">
        <f>IFERROR(E23/E25,0)</f>
        <v>7.1522174343835268</v>
      </c>
      <c r="F24" s="37">
        <f t="shared" ref="F24:H24" si="26">IFERROR(F23/F25,0)</f>
        <v>6.1326530612244898</v>
      </c>
      <c r="G24" s="36">
        <f t="shared" si="26"/>
        <v>7.0886627906976747</v>
      </c>
      <c r="H24" s="36">
        <f t="shared" si="26"/>
        <v>7.3454281567489117</v>
      </c>
      <c r="I24" s="36">
        <f t="shared" ref="I24:L24" si="27">IFERROR(I23/I25,0)</f>
        <v>7.7178002894356004</v>
      </c>
      <c r="J24" s="37">
        <f t="shared" si="27"/>
        <v>7.8410404624277454</v>
      </c>
      <c r="K24" s="36">
        <f t="shared" si="27"/>
        <v>5.0851370851370854</v>
      </c>
      <c r="L24" s="36">
        <f t="shared" si="27"/>
        <v>9.6863309352517994</v>
      </c>
      <c r="M24" s="36">
        <f t="shared" ref="M24" si="28">IFERROR(M23/M25,0)</f>
        <v>8.9855365622710792</v>
      </c>
      <c r="N24" s="37">
        <f t="shared" ref="N24:T24" si="29">IFERROR(N23/N25,0)</f>
        <v>13.526618705035972</v>
      </c>
      <c r="O24" s="36">
        <f t="shared" si="29"/>
        <v>4.5905172413793105</v>
      </c>
      <c r="P24" s="36">
        <f t="shared" si="29"/>
        <v>13.206896551724139</v>
      </c>
      <c r="Q24" s="36">
        <f t="shared" si="29"/>
        <v>12.766461358911911</v>
      </c>
      <c r="R24" s="37">
        <f t="shared" si="29"/>
        <v>12.033236479031505</v>
      </c>
      <c r="S24" s="36">
        <f t="shared" si="29"/>
        <v>14.149359886201992</v>
      </c>
      <c r="T24" s="36">
        <f t="shared" si="29"/>
        <v>10.126074498567336</v>
      </c>
      <c r="U24" s="36">
        <f t="shared" ref="U24:W24" si="30">IFERROR(U23/U25,0)</f>
        <v>15.34967217783813</v>
      </c>
      <c r="V24" s="37">
        <f t="shared" si="30"/>
        <v>9.8748026411774639</v>
      </c>
      <c r="W24" s="36">
        <f t="shared" si="30"/>
        <v>10.129194904399265</v>
      </c>
    </row>
    <row r="25" spans="1:23" s="8" customFormat="1" x14ac:dyDescent="0.15">
      <c r="A25" s="8" t="s">
        <v>17</v>
      </c>
      <c r="B25" s="29"/>
      <c r="C25" s="29"/>
      <c r="D25" s="29"/>
      <c r="E25" s="29">
        <f>292.58+50.199+345.539</f>
        <v>688.31799999999998</v>
      </c>
      <c r="F25" s="28">
        <f>294+49+343</f>
        <v>686</v>
      </c>
      <c r="G25" s="29">
        <f>295+49+344</f>
        <v>688</v>
      </c>
      <c r="H25" s="29">
        <f>296+48+345</f>
        <v>689</v>
      </c>
      <c r="I25" s="29">
        <f>297+47+347</f>
        <v>691</v>
      </c>
      <c r="J25" s="28">
        <f>298+47+347</f>
        <v>692</v>
      </c>
      <c r="K25" s="29">
        <f>298+47+348</f>
        <v>693</v>
      </c>
      <c r="L25" s="29">
        <f>299+47+349</f>
        <v>695</v>
      </c>
      <c r="M25" s="29">
        <v>694</v>
      </c>
      <c r="N25" s="28">
        <f>299+47+349</f>
        <v>695</v>
      </c>
      <c r="O25" s="29">
        <f>299+47+350</f>
        <v>696</v>
      </c>
      <c r="P25" s="29">
        <f>299+47+350</f>
        <v>696</v>
      </c>
      <c r="Q25" s="29">
        <v>700.899</v>
      </c>
      <c r="R25" s="28">
        <f>299.436023+46.544284+348.263508</f>
        <v>694.24381500000004</v>
      </c>
      <c r="S25" s="29">
        <v>703</v>
      </c>
      <c r="T25" s="29">
        <v>698</v>
      </c>
      <c r="U25" s="29">
        <v>695.19399999999996</v>
      </c>
      <c r="V25" s="87">
        <v>692.26700000000005</v>
      </c>
      <c r="W25" s="29">
        <v>687.024</v>
      </c>
    </row>
    <row r="26" spans="1:23" x14ac:dyDescent="0.15">
      <c r="B26" s="29"/>
      <c r="C26" s="29"/>
      <c r="D26" s="29"/>
      <c r="E26" s="29"/>
      <c r="F26" s="28"/>
      <c r="G26" s="29"/>
      <c r="H26" s="29"/>
      <c r="I26" s="29"/>
      <c r="J26" s="28"/>
      <c r="K26" s="29"/>
      <c r="L26" s="29"/>
      <c r="M26" s="29"/>
      <c r="Q26" s="29"/>
    </row>
    <row r="27" spans="1:23" x14ac:dyDescent="0.15">
      <c r="A27" s="6" t="s">
        <v>19</v>
      </c>
      <c r="B27" s="42">
        <f t="shared" ref="B27:Q27" si="31">IFERROR(B13/B11,0)</f>
        <v>0.63170703441882026</v>
      </c>
      <c r="C27" s="42">
        <f t="shared" si="31"/>
        <v>0.62864556890618828</v>
      </c>
      <c r="D27" s="42">
        <f t="shared" si="31"/>
        <v>0.62318607764390899</v>
      </c>
      <c r="E27" s="42">
        <f t="shared" si="31"/>
        <v>0.61610952224670634</v>
      </c>
      <c r="F27" s="43">
        <f t="shared" si="31"/>
        <v>0.62245149824751933</v>
      </c>
      <c r="G27" s="42">
        <f t="shared" si="31"/>
        <v>0.62186046511627902</v>
      </c>
      <c r="H27" s="42">
        <f t="shared" si="31"/>
        <v>0.61253396285243422</v>
      </c>
      <c r="I27" s="42">
        <f t="shared" si="31"/>
        <v>0.59096838551258446</v>
      </c>
      <c r="J27" s="43">
        <f t="shared" si="31"/>
        <v>0.60424242424242425</v>
      </c>
      <c r="K27" s="42">
        <f t="shared" si="31"/>
        <v>0.60119184928873515</v>
      </c>
      <c r="L27" s="42">
        <f t="shared" si="31"/>
        <v>0.59858850640933314</v>
      </c>
      <c r="M27" s="42">
        <f t="shared" si="31"/>
        <v>0.55861151502026418</v>
      </c>
      <c r="N27" s="43">
        <f t="shared" si="31"/>
        <v>0.56761702947408976</v>
      </c>
      <c r="O27" s="42">
        <f t="shared" si="31"/>
        <v>0.57488440456869894</v>
      </c>
      <c r="P27" s="42">
        <f t="shared" si="31"/>
        <v>0.57673384706579722</v>
      </c>
      <c r="Q27" s="42">
        <f t="shared" si="31"/>
        <v>0.54379264690905382</v>
      </c>
      <c r="R27" s="43">
        <f t="shared" ref="R27:S27" si="32">IFERROR(R13/R11,0)</f>
        <v>0.55937147417375277</v>
      </c>
      <c r="S27" s="42">
        <f t="shared" si="32"/>
        <v>0.55587510271158591</v>
      </c>
      <c r="T27" s="42">
        <f t="shared" ref="T27:U27" si="33">IFERROR(T13/T11,0)</f>
        <v>0.56621151139534309</v>
      </c>
      <c r="U27" s="42">
        <f t="shared" si="33"/>
        <v>0.54378730330982095</v>
      </c>
      <c r="V27" s="43">
        <f t="shared" ref="V27:W27" si="34">IFERROR(V13/V11,0)</f>
        <v>0.53881289632887097</v>
      </c>
      <c r="W27" s="42">
        <f t="shared" si="34"/>
        <v>0.51554952085019712</v>
      </c>
    </row>
    <row r="28" spans="1:23" x14ac:dyDescent="0.15">
      <c r="A28" s="6" t="s">
        <v>20</v>
      </c>
      <c r="B28" s="44">
        <f t="shared" ref="B28:Q28" si="35">IFERROR(B18/B11,0)</f>
        <v>0.25767759879476188</v>
      </c>
      <c r="C28" s="44">
        <f t="shared" si="35"/>
        <v>0.2721836746206352</v>
      </c>
      <c r="D28" s="44">
        <f t="shared" si="35"/>
        <v>0.25210174029451138</v>
      </c>
      <c r="E28" s="44">
        <f t="shared" si="35"/>
        <v>0.25223873599324864</v>
      </c>
      <c r="F28" s="45">
        <f t="shared" si="35"/>
        <v>0.26371130967073109</v>
      </c>
      <c r="G28" s="44">
        <f t="shared" si="35"/>
        <v>0.27758139534883719</v>
      </c>
      <c r="H28" s="44">
        <f t="shared" si="35"/>
        <v>0.25687051801701483</v>
      </c>
      <c r="I28" s="44">
        <f t="shared" si="35"/>
        <v>0.25471915285451197</v>
      </c>
      <c r="J28" s="45">
        <f t="shared" si="35"/>
        <v>0.26537373737373737</v>
      </c>
      <c r="K28" s="44">
        <f t="shared" si="35"/>
        <v>0.15886197616301423</v>
      </c>
      <c r="L28" s="44">
        <f t="shared" si="35"/>
        <v>0.28021028373901774</v>
      </c>
      <c r="M28" s="44">
        <f t="shared" si="35"/>
        <v>0.23710670420443647</v>
      </c>
      <c r="N28" s="45">
        <f t="shared" si="35"/>
        <v>0.2247800680665254</v>
      </c>
      <c r="O28" s="44">
        <f t="shared" si="35"/>
        <v>8.5954006797929999E-2</v>
      </c>
      <c r="P28" s="44">
        <f t="shared" si="35"/>
        <v>0.24629519857735627</v>
      </c>
      <c r="Q28" s="44">
        <f t="shared" si="35"/>
        <v>0.2088552805784703</v>
      </c>
      <c r="R28" s="45">
        <f t="shared" ref="R28:S28" si="36">IFERROR(R18/R11,0)</f>
        <v>0.22854233743361127</v>
      </c>
      <c r="S28" s="44">
        <f t="shared" si="36"/>
        <v>0.23572308956450289</v>
      </c>
      <c r="T28" s="44">
        <f t="shared" ref="T28:U28" si="37">IFERROR(T18/T11,0)</f>
        <v>0.22659818760957059</v>
      </c>
      <c r="U28" s="44">
        <f t="shared" si="37"/>
        <v>0.20110689093868692</v>
      </c>
      <c r="V28" s="45">
        <f t="shared" ref="V28:W28" si="38">IFERROR(V18/V11,0)</f>
        <v>0.1938093734055735</v>
      </c>
      <c r="W28" s="44">
        <f t="shared" si="38"/>
        <v>0.1666710186176463</v>
      </c>
    </row>
    <row r="29" spans="1:23" x14ac:dyDescent="0.15">
      <c r="A29" s="6" t="s">
        <v>21</v>
      </c>
      <c r="B29" s="44">
        <f t="shared" ref="B29:Q29" si="39">IFERROR(B21/B20,0)</f>
        <v>0.23653344917463076</v>
      </c>
      <c r="C29" s="44">
        <f t="shared" si="39"/>
        <v>0.20682001614205003</v>
      </c>
      <c r="D29" s="44">
        <f t="shared" si="39"/>
        <v>0.18646493559599264</v>
      </c>
      <c r="E29" s="44">
        <f t="shared" si="39"/>
        <v>5.326923076923077E-2</v>
      </c>
      <c r="F29" s="45">
        <f t="shared" si="39"/>
        <v>0.17976213686878534</v>
      </c>
      <c r="G29" s="44">
        <f t="shared" si="39"/>
        <v>0.20297434221277988</v>
      </c>
      <c r="H29" s="44">
        <f t="shared" si="39"/>
        <v>0.16277915632754342</v>
      </c>
      <c r="I29" s="44">
        <f t="shared" si="39"/>
        <v>0.22225463030479803</v>
      </c>
      <c r="J29" s="45">
        <f t="shared" si="39"/>
        <v>0.20428215280832968</v>
      </c>
      <c r="K29" s="44">
        <f t="shared" si="39"/>
        <v>0.19488233950194198</v>
      </c>
      <c r="L29" s="44">
        <f t="shared" si="39"/>
        <v>0.15628524877804237</v>
      </c>
      <c r="M29" s="44">
        <f t="shared" si="39"/>
        <v>0.22225463030479803</v>
      </c>
      <c r="N29" s="45">
        <f t="shared" si="39"/>
        <v>0.10831831546998008</v>
      </c>
      <c r="O29" s="44">
        <f t="shared" si="39"/>
        <v>0.24199288256227758</v>
      </c>
      <c r="P29" s="44">
        <f t="shared" si="39"/>
        <v>8.8366557572151144E-2</v>
      </c>
      <c r="Q29" s="44">
        <f t="shared" si="39"/>
        <v>0.11159650516282764</v>
      </c>
      <c r="R29" s="45">
        <f t="shared" ref="R29:S29" si="40">IFERROR(R21/R20,0)</f>
        <v>0.15127501777913238</v>
      </c>
      <c r="S29" s="44">
        <f t="shared" si="40"/>
        <v>0.18111467852144564</v>
      </c>
      <c r="T29" s="44">
        <f t="shared" ref="T29:U29" si="41">IFERROR(T21/T20,0)</f>
        <v>0.1808066759388039</v>
      </c>
      <c r="U29" s="44">
        <f t="shared" si="41"/>
        <v>3.0829596412556052E-3</v>
      </c>
      <c r="V29" s="45">
        <f t="shared" ref="V29:W29" si="42">IFERROR(V21/V20,0)</f>
        <v>0.11873146835116669</v>
      </c>
      <c r="W29" s="44">
        <f t="shared" si="42"/>
        <v>0.15923643832306392</v>
      </c>
    </row>
    <row r="30" spans="1:23" x14ac:dyDescent="0.15">
      <c r="B30" s="29"/>
      <c r="C30" s="29"/>
      <c r="D30" s="29"/>
      <c r="E30" s="29"/>
      <c r="F30" s="28"/>
      <c r="G30" s="29"/>
      <c r="H30" s="29"/>
      <c r="I30" s="29"/>
      <c r="J30" s="28"/>
      <c r="K30" s="29"/>
      <c r="L30" s="29"/>
      <c r="M30" s="29"/>
      <c r="Q30" s="29"/>
      <c r="V30" s="27"/>
      <c r="W30" s="26"/>
    </row>
    <row r="31" spans="1:23" s="12" customFormat="1" x14ac:dyDescent="0.15">
      <c r="A31" s="12" t="s">
        <v>18</v>
      </c>
      <c r="B31" s="38"/>
      <c r="C31" s="38"/>
      <c r="D31" s="38"/>
      <c r="E31" s="38"/>
      <c r="F31" s="39">
        <f t="shared" ref="F31:W31" si="43">IFERROR((F11/B11)-1,0)</f>
        <v>0.17377448139993046</v>
      </c>
      <c r="G31" s="38">
        <f t="shared" si="43"/>
        <v>0.21283917188469559</v>
      </c>
      <c r="H31" s="38">
        <f t="shared" si="43"/>
        <v>0.20219544846050863</v>
      </c>
      <c r="I31" s="38">
        <f t="shared" si="43"/>
        <v>0.22199821838811018</v>
      </c>
      <c r="J31" s="39">
        <f t="shared" si="43"/>
        <v>0.22179987164930637</v>
      </c>
      <c r="K31" s="38">
        <f t="shared" si="43"/>
        <v>0.20976744186046514</v>
      </c>
      <c r="L31" s="38">
        <f t="shared" si="43"/>
        <v>0.23700503318337707</v>
      </c>
      <c r="M31" s="38">
        <f t="shared" si="43"/>
        <v>0.24013965623081646</v>
      </c>
      <c r="N31" s="39">
        <f t="shared" si="43"/>
        <v>0.25842424242424245</v>
      </c>
      <c r="O31" s="38">
        <f t="shared" si="43"/>
        <v>0.25555555555555554</v>
      </c>
      <c r="P31" s="38">
        <f t="shared" si="43"/>
        <v>0.21489269768111763</v>
      </c>
      <c r="Q31" s="38">
        <f t="shared" si="43"/>
        <v>0.21510998360300704</v>
      </c>
      <c r="R31" s="39">
        <f t="shared" si="43"/>
        <v>0.16673088036987083</v>
      </c>
      <c r="S31" s="38">
        <f t="shared" si="43"/>
        <v>0.19251615273907574</v>
      </c>
      <c r="T31" s="38">
        <f t="shared" si="43"/>
        <v>0.2003260225251926</v>
      </c>
      <c r="U31" s="38">
        <f t="shared" si="43"/>
        <v>0.17310825949689379</v>
      </c>
      <c r="V31" s="39">
        <f t="shared" si="43"/>
        <v>0.13263986350752632</v>
      </c>
      <c r="W31" s="38">
        <f t="shared" si="43"/>
        <v>-1.6613599013968749E-2</v>
      </c>
    </row>
    <row r="32" spans="1:23" s="12" customFormat="1" x14ac:dyDescent="0.15">
      <c r="A32" s="6" t="s">
        <v>61</v>
      </c>
      <c r="B32" s="40"/>
      <c r="C32" s="40"/>
      <c r="D32" s="40"/>
      <c r="E32" s="40"/>
      <c r="F32" s="41">
        <f t="shared" ref="F32:W35" si="44">F14/B14-1</f>
        <v>0.22302942244823831</v>
      </c>
      <c r="G32" s="40">
        <f t="shared" si="44"/>
        <v>0.20580853352456074</v>
      </c>
      <c r="H32" s="40">
        <f t="shared" si="44"/>
        <v>0.11331269349845208</v>
      </c>
      <c r="I32" s="40">
        <f t="shared" si="44"/>
        <v>3.1908831908831869E-2</v>
      </c>
      <c r="J32" s="41">
        <f t="shared" si="44"/>
        <v>0.17077517077517079</v>
      </c>
      <c r="K32" s="40">
        <f t="shared" si="44"/>
        <v>0.24055902468034485</v>
      </c>
      <c r="L32" s="40">
        <f t="shared" si="44"/>
        <v>0.16935483870967749</v>
      </c>
      <c r="M32" s="40">
        <f t="shared" si="44"/>
        <v>0.18884594146880174</v>
      </c>
      <c r="N32" s="41">
        <f t="shared" si="44"/>
        <v>0.27828513444951808</v>
      </c>
      <c r="O32" s="40">
        <f t="shared" si="44"/>
        <v>0.22579098753595406</v>
      </c>
      <c r="P32" s="40">
        <f t="shared" si="44"/>
        <v>0.24423305588585009</v>
      </c>
      <c r="Q32" s="40">
        <f t="shared" si="44"/>
        <v>0.4013005109150023</v>
      </c>
      <c r="R32" s="41">
        <f t="shared" si="44"/>
        <v>0.19646755308592967</v>
      </c>
      <c r="S32" s="40">
        <f t="shared" si="44"/>
        <v>0.21490027375831056</v>
      </c>
      <c r="T32" s="40">
        <f t="shared" si="44"/>
        <v>0.25267584097859319</v>
      </c>
      <c r="U32" s="40">
        <f t="shared" si="44"/>
        <v>0.19688432217434548</v>
      </c>
      <c r="V32" s="41">
        <f t="shared" si="44"/>
        <v>0.1311992038480676</v>
      </c>
      <c r="W32" s="40">
        <f t="shared" si="44"/>
        <v>0.10655078062127799</v>
      </c>
    </row>
    <row r="33" spans="1:23" s="12" customFormat="1" x14ac:dyDescent="0.15">
      <c r="A33" s="6" t="s">
        <v>62</v>
      </c>
      <c r="B33" s="40"/>
      <c r="C33" s="40"/>
      <c r="D33" s="40"/>
      <c r="E33" s="40"/>
      <c r="F33" s="41">
        <f t="shared" si="44"/>
        <v>0.15593220338983049</v>
      </c>
      <c r="G33" s="40">
        <f t="shared" si="44"/>
        <v>0.16105769230769229</v>
      </c>
      <c r="H33" s="40">
        <f t="shared" si="44"/>
        <v>0.15384615384615374</v>
      </c>
      <c r="I33" s="40">
        <f t="shared" si="44"/>
        <v>0.16386711459499814</v>
      </c>
      <c r="J33" s="41">
        <f t="shared" si="44"/>
        <v>0.1076665270213657</v>
      </c>
      <c r="K33" s="40">
        <f t="shared" si="44"/>
        <v>0.19958592132505171</v>
      </c>
      <c r="L33" s="40">
        <f t="shared" si="44"/>
        <v>0.18596491228070167</v>
      </c>
      <c r="M33" s="40">
        <f t="shared" si="44"/>
        <v>0.38229634381013478</v>
      </c>
      <c r="N33" s="41">
        <f t="shared" si="44"/>
        <v>0.36308623298033282</v>
      </c>
      <c r="O33" s="40">
        <f t="shared" si="44"/>
        <v>0.30479806696582679</v>
      </c>
      <c r="P33" s="40">
        <f t="shared" si="44"/>
        <v>0.26528599605522674</v>
      </c>
      <c r="Q33" s="40">
        <f t="shared" si="44"/>
        <v>0.18329466357308588</v>
      </c>
      <c r="R33" s="41">
        <f t="shared" si="44"/>
        <v>8.3518312985571663E-2</v>
      </c>
      <c r="S33" s="40">
        <f t="shared" si="44"/>
        <v>0.11428571428571432</v>
      </c>
      <c r="T33" s="40">
        <f t="shared" si="44"/>
        <v>0.19745388412574694</v>
      </c>
      <c r="U33" s="40">
        <f t="shared" si="44"/>
        <v>0.12509803921568619</v>
      </c>
      <c r="V33" s="41">
        <f t="shared" si="44"/>
        <v>0.15236875800256078</v>
      </c>
      <c r="W33" s="40">
        <f t="shared" si="44"/>
        <v>-7.3836657169990549E-2</v>
      </c>
    </row>
    <row r="34" spans="1:23" s="12" customFormat="1" x14ac:dyDescent="0.15">
      <c r="A34" s="6" t="s">
        <v>63</v>
      </c>
      <c r="B34" s="40"/>
      <c r="C34" s="40"/>
      <c r="D34" s="40"/>
      <c r="E34" s="40"/>
      <c r="F34" s="41">
        <f t="shared" si="44"/>
        <v>-7.5748320097739796E-2</v>
      </c>
      <c r="G34" s="40">
        <f t="shared" si="44"/>
        <v>0.12000000000000011</v>
      </c>
      <c r="H34" s="40">
        <f t="shared" si="44"/>
        <v>0.2349356804333107</v>
      </c>
      <c r="I34" s="40">
        <f t="shared" si="44"/>
        <v>0.28753180661577615</v>
      </c>
      <c r="J34" s="41">
        <f t="shared" si="44"/>
        <v>0.19035029742233966</v>
      </c>
      <c r="K34" s="40">
        <f t="shared" si="44"/>
        <v>1.7315270935960592</v>
      </c>
      <c r="L34" s="40">
        <f t="shared" si="44"/>
        <v>-0.1255482456140351</v>
      </c>
      <c r="M34" s="40">
        <f t="shared" si="44"/>
        <v>-0.12252964426877466</v>
      </c>
      <c r="N34" s="41">
        <f t="shared" si="44"/>
        <v>0.12992781787895624</v>
      </c>
      <c r="O34" s="40">
        <f t="shared" si="44"/>
        <v>0.59445446348061326</v>
      </c>
      <c r="P34" s="40">
        <f t="shared" si="44"/>
        <v>0.29655172413793096</v>
      </c>
      <c r="Q34" s="40">
        <f t="shared" si="44"/>
        <v>0.13795045045045051</v>
      </c>
      <c r="R34" s="41">
        <f t="shared" si="44"/>
        <v>2.604422604422596E-2</v>
      </c>
      <c r="S34" s="40">
        <f t="shared" si="44"/>
        <v>-0.71115509684716527</v>
      </c>
      <c r="T34" s="40">
        <f t="shared" si="44"/>
        <v>0.25290135396518365</v>
      </c>
      <c r="U34" s="40">
        <f t="shared" si="44"/>
        <v>0.39980207817911917</v>
      </c>
      <c r="V34" s="41">
        <f t="shared" si="44"/>
        <v>0.3793103448275863</v>
      </c>
      <c r="W34" s="40">
        <f t="shared" si="44"/>
        <v>0.26529613313754274</v>
      </c>
    </row>
    <row r="35" spans="1:23" x14ac:dyDescent="0.15">
      <c r="F35" s="57">
        <f t="shared" si="44"/>
        <v>0.12579395817195982</v>
      </c>
      <c r="G35" s="56">
        <f t="shared" si="44"/>
        <v>0.1713878778287703</v>
      </c>
      <c r="H35" s="56">
        <f t="shared" si="44"/>
        <v>0.15223665223665228</v>
      </c>
      <c r="I35" s="56">
        <f t="shared" si="44"/>
        <v>0.12923592320577248</v>
      </c>
      <c r="J35" s="57">
        <f t="shared" ref="J35:W35" si="45">J17/F17-1</f>
        <v>0.15412137057933117</v>
      </c>
      <c r="K35" s="56">
        <f t="shared" si="45"/>
        <v>0.55430964604161037</v>
      </c>
      <c r="L35" s="56">
        <f t="shared" si="45"/>
        <v>0.10732623669380081</v>
      </c>
      <c r="M35" s="56">
        <f t="shared" si="45"/>
        <v>0.18575992697398447</v>
      </c>
      <c r="N35" s="57">
        <f t="shared" si="45"/>
        <v>0.27316084416358644</v>
      </c>
      <c r="O35" s="56">
        <f t="shared" si="45"/>
        <v>0.38783137766188625</v>
      </c>
      <c r="P35" s="56">
        <f t="shared" si="45"/>
        <v>0.26091382040262379</v>
      </c>
      <c r="Q35" s="56">
        <f t="shared" si="45"/>
        <v>0.26587759815242484</v>
      </c>
      <c r="R35" s="57">
        <f t="shared" si="45"/>
        <v>0.12586626709121562</v>
      </c>
      <c r="S35" s="56">
        <f t="shared" si="45"/>
        <v>-0.21913947516753307</v>
      </c>
      <c r="T35" s="56">
        <f t="shared" si="45"/>
        <v>0.23365324244326846</v>
      </c>
      <c r="U35" s="56">
        <f t="shared" si="45"/>
        <v>0.20022805017103762</v>
      </c>
      <c r="V35" s="57">
        <f t="shared" si="45"/>
        <v>0.18116785892530363</v>
      </c>
      <c r="W35" s="56">
        <f t="shared" si="45"/>
        <v>7.1623355790824572E-2</v>
      </c>
    </row>
    <row r="36" spans="1:23" x14ac:dyDescent="0.15">
      <c r="J36" s="57"/>
      <c r="K36" s="56"/>
      <c r="L36" s="56"/>
      <c r="M36" s="56"/>
      <c r="N36" s="57"/>
      <c r="O36" s="56"/>
      <c r="P36" s="56"/>
      <c r="Q36" s="56"/>
      <c r="R36" s="57"/>
      <c r="S36" s="56"/>
      <c r="T36" s="56"/>
      <c r="U36" s="56"/>
    </row>
    <row r="37" spans="1:23" s="12" customFormat="1" x14ac:dyDescent="0.15">
      <c r="A37" s="12" t="s">
        <v>33</v>
      </c>
      <c r="B37" s="29"/>
      <c r="C37" s="29"/>
      <c r="D37" s="29"/>
      <c r="E37" s="31">
        <f>E38-E39</f>
        <v>67846</v>
      </c>
      <c r="F37" s="32">
        <f>F38-F39</f>
        <v>70056</v>
      </c>
      <c r="G37" s="31">
        <f t="shared" ref="G37:K37" si="46">G38-G39</f>
        <v>74257</v>
      </c>
      <c r="H37" s="31">
        <f t="shared" si="46"/>
        <v>79118</v>
      </c>
      <c r="I37" s="31">
        <f t="shared" si="46"/>
        <v>82398</v>
      </c>
      <c r="J37" s="32">
        <f t="shared" si="46"/>
        <v>88502</v>
      </c>
      <c r="K37" s="31">
        <f t="shared" si="46"/>
        <v>90758</v>
      </c>
      <c r="L37" s="31">
        <f t="shared" ref="L37:P37" si="47">L38-L39</f>
        <v>96179</v>
      </c>
      <c r="M37" s="31">
        <f t="shared" si="47"/>
        <v>97902</v>
      </c>
      <c r="N37" s="32">
        <f t="shared" si="47"/>
        <v>98912</v>
      </c>
      <c r="O37" s="31">
        <f t="shared" si="47"/>
        <v>98273</v>
      </c>
      <c r="P37" s="31">
        <f t="shared" si="47"/>
        <v>102430</v>
      </c>
      <c r="Q37" s="31">
        <f t="shared" ref="Q37:R37" si="48">Q38-Q39</f>
        <v>105128</v>
      </c>
      <c r="R37" s="32">
        <f t="shared" si="48"/>
        <v>109422</v>
      </c>
      <c r="S37" s="31">
        <f>S38-S39</f>
        <v>116982</v>
      </c>
      <c r="T37" s="31">
        <f>T38-T39</f>
        <v>117095</v>
      </c>
      <c r="U37" s="31">
        <f>U38-U39</f>
        <v>115121</v>
      </c>
      <c r="V37" s="32">
        <f>V38-V39</f>
        <v>112213</v>
      </c>
      <c r="W37" s="31">
        <f>W38-W39</f>
        <v>117062</v>
      </c>
    </row>
    <row r="38" spans="1:23" x14ac:dyDescent="0.15">
      <c r="A38" s="6" t="s">
        <v>34</v>
      </c>
      <c r="B38" s="29"/>
      <c r="C38" s="29"/>
      <c r="D38" s="29"/>
      <c r="E38" s="29">
        <f>16549+56517</f>
        <v>73066</v>
      </c>
      <c r="F38" s="28">
        <f>15111+60153</f>
        <v>75264</v>
      </c>
      <c r="G38" s="29">
        <f>13627+64833</f>
        <v>78460</v>
      </c>
      <c r="H38" s="29">
        <f>9406+73650</f>
        <v>83056</v>
      </c>
      <c r="I38" s="29">
        <f>12918+73415</f>
        <v>86333</v>
      </c>
      <c r="J38" s="28">
        <f>18132+74307</f>
        <v>92439</v>
      </c>
      <c r="K38" s="29">
        <f>15711+79002</f>
        <v>94713</v>
      </c>
      <c r="L38" s="29">
        <f>10581+89562</f>
        <v>100143</v>
      </c>
      <c r="M38" s="29">
        <f>10715+91156</f>
        <v>101871</v>
      </c>
      <c r="N38" s="28">
        <f>12658+90227</f>
        <v>102885</v>
      </c>
      <c r="O38" s="29">
        <f>14148+88106</f>
        <v>102254</v>
      </c>
      <c r="P38" s="29">
        <f>13443+92973</f>
        <v>106416</v>
      </c>
      <c r="Q38" s="29">
        <f>16701+92439</f>
        <v>109140</v>
      </c>
      <c r="R38" s="28">
        <f>19148+94340</f>
        <v>113488</v>
      </c>
      <c r="S38" s="29">
        <f>16587+104469</f>
        <v>121056</v>
      </c>
      <c r="T38" s="29">
        <f>16032+105145</f>
        <v>121177</v>
      </c>
      <c r="U38" s="29">
        <f>18498+101177</f>
        <v>119675</v>
      </c>
      <c r="V38" s="28">
        <f>19644+97585</f>
        <v>117229</v>
      </c>
      <c r="W38" s="29">
        <f>17742+103338</f>
        <v>121080</v>
      </c>
    </row>
    <row r="39" spans="1:23" x14ac:dyDescent="0.15">
      <c r="A39" s="6" t="s">
        <v>35</v>
      </c>
      <c r="B39" s="29"/>
      <c r="C39" s="29"/>
      <c r="D39" s="29"/>
      <c r="E39" s="29">
        <f>3225+1995</f>
        <v>5220</v>
      </c>
      <c r="F39" s="28">
        <f>3221+1987</f>
        <v>5208</v>
      </c>
      <c r="G39" s="29">
        <f>2219+1984</f>
        <v>4203</v>
      </c>
      <c r="H39" s="29">
        <f>0+3938</f>
        <v>3938</v>
      </c>
      <c r="I39" s="29">
        <f>0+3935</f>
        <v>3935</v>
      </c>
      <c r="J39" s="28">
        <v>3937</v>
      </c>
      <c r="K39" s="29">
        <v>3955</v>
      </c>
      <c r="L39" s="29">
        <v>3964</v>
      </c>
      <c r="M39" s="29">
        <v>3969</v>
      </c>
      <c r="N39" s="28">
        <v>3973</v>
      </c>
      <c r="O39" s="29">
        <v>3981</v>
      </c>
      <c r="P39" s="29">
        <v>3986</v>
      </c>
      <c r="Q39" s="29">
        <v>4012</v>
      </c>
      <c r="R39" s="28">
        <v>4066</v>
      </c>
      <c r="S39" s="29">
        <v>4074</v>
      </c>
      <c r="T39" s="29">
        <v>4082</v>
      </c>
      <c r="U39" s="29">
        <v>4554</v>
      </c>
      <c r="V39" s="28">
        <v>5016</v>
      </c>
      <c r="W39" s="29">
        <v>4018</v>
      </c>
    </row>
    <row r="40" spans="1:23" x14ac:dyDescent="0.15">
      <c r="V40" s="27"/>
    </row>
    <row r="41" spans="1:23" x14ac:dyDescent="0.15">
      <c r="A41" s="24" t="s">
        <v>78</v>
      </c>
      <c r="B41" s="29"/>
      <c r="C41" s="29"/>
      <c r="D41" s="29"/>
      <c r="E41" s="46">
        <f>3847+15869</f>
        <v>19716</v>
      </c>
      <c r="F41" s="28">
        <f>3657+15866</f>
        <v>19523</v>
      </c>
      <c r="G41" s="29">
        <f>3452+15841</f>
        <v>19293</v>
      </c>
      <c r="H41" s="29">
        <f>3367+16028</f>
        <v>19395</v>
      </c>
      <c r="I41" s="46">
        <f>3307+16468</f>
        <v>19775</v>
      </c>
      <c r="J41" s="28">
        <f>3137+16547</f>
        <v>19684</v>
      </c>
      <c r="K41" s="29">
        <f>2933+16604</f>
        <v>19537</v>
      </c>
      <c r="L41" s="29">
        <f>2883+16731</f>
        <v>19614</v>
      </c>
      <c r="M41" s="46">
        <f>2692+16747</f>
        <v>19439</v>
      </c>
      <c r="N41" s="28">
        <f>2809+17862</f>
        <v>20671</v>
      </c>
      <c r="O41" s="29">
        <f>2662+17895</f>
        <v>20557</v>
      </c>
      <c r="P41" s="29">
        <f>2448+17895</f>
        <v>20343</v>
      </c>
      <c r="Q41" s="29">
        <f>2220+17888</f>
        <v>20108</v>
      </c>
      <c r="R41" s="28">
        <f>2063+17943</f>
        <v>20006</v>
      </c>
      <c r="S41" s="29">
        <f>1902+18000</f>
        <v>19902</v>
      </c>
      <c r="T41" s="29">
        <f>1747+18069</f>
        <v>19816</v>
      </c>
      <c r="U41" s="29">
        <f>1979+20624</f>
        <v>22603</v>
      </c>
      <c r="V41" s="28">
        <f>1840+20734</f>
        <v>22574</v>
      </c>
      <c r="W41" s="29">
        <f>1697+20824</f>
        <v>22521</v>
      </c>
    </row>
    <row r="42" spans="1:23" x14ac:dyDescent="0.15">
      <c r="A42" s="24" t="s">
        <v>79</v>
      </c>
      <c r="B42" s="29"/>
      <c r="C42" s="29"/>
      <c r="D42" s="29"/>
      <c r="E42" s="46">
        <v>147461</v>
      </c>
      <c r="F42" s="28">
        <v>149747</v>
      </c>
      <c r="G42" s="29">
        <v>154292</v>
      </c>
      <c r="H42" s="29">
        <v>159948</v>
      </c>
      <c r="I42" s="46">
        <v>167468</v>
      </c>
      <c r="J42" s="28">
        <v>172756</v>
      </c>
      <c r="K42" s="29">
        <v>178621</v>
      </c>
      <c r="L42" s="29">
        <v>189536</v>
      </c>
      <c r="M42" s="46">
        <v>197295</v>
      </c>
      <c r="N42" s="28">
        <v>206935</v>
      </c>
      <c r="O42" s="29">
        <v>211610</v>
      </c>
      <c r="P42" s="29">
        <v>221538</v>
      </c>
      <c r="Q42" s="29">
        <v>232792</v>
      </c>
      <c r="R42" s="28">
        <v>245349</v>
      </c>
      <c r="S42" s="29">
        <v>257101</v>
      </c>
      <c r="T42" s="29">
        <v>263044</v>
      </c>
      <c r="U42" s="29">
        <v>275909</v>
      </c>
      <c r="V42" s="28">
        <v>273403</v>
      </c>
      <c r="W42" s="29">
        <v>278492</v>
      </c>
    </row>
    <row r="43" spans="1:23" x14ac:dyDescent="0.15">
      <c r="A43" s="24" t="s">
        <v>80</v>
      </c>
      <c r="B43" s="29"/>
      <c r="C43" s="29"/>
      <c r="D43" s="29"/>
      <c r="E43" s="46">
        <f>19310+1995+151+3663+189+1822</f>
        <v>27130</v>
      </c>
      <c r="F43" s="28">
        <v>26178</v>
      </c>
      <c r="G43" s="29">
        <v>26413</v>
      </c>
      <c r="H43" s="29">
        <v>25845</v>
      </c>
      <c r="I43" s="46">
        <v>28461</v>
      </c>
      <c r="J43" s="28">
        <v>27807</v>
      </c>
      <c r="K43" s="29">
        <v>30335</v>
      </c>
      <c r="L43" s="29">
        <v>32436</v>
      </c>
      <c r="M43" s="46">
        <v>44793</v>
      </c>
      <c r="N43" s="28">
        <v>46110</v>
      </c>
      <c r="O43" s="29">
        <v>49610</v>
      </c>
      <c r="P43" s="29">
        <v>51698</v>
      </c>
      <c r="Q43" s="29">
        <v>55164</v>
      </c>
      <c r="R43" s="28">
        <v>61877</v>
      </c>
      <c r="S43" s="29">
        <v>64909</v>
      </c>
      <c r="T43" s="29">
        <v>68075</v>
      </c>
      <c r="U43" s="29">
        <v>74467</v>
      </c>
      <c r="V43" s="28">
        <v>69744</v>
      </c>
      <c r="W43" s="29">
        <v>71170</v>
      </c>
    </row>
    <row r="44" spans="1:23" x14ac:dyDescent="0.15">
      <c r="E44" s="47"/>
      <c r="I44" s="47"/>
      <c r="M44" s="47"/>
      <c r="V44" s="27"/>
    </row>
    <row r="45" spans="1:23" x14ac:dyDescent="0.15">
      <c r="A45" s="24" t="s">
        <v>81</v>
      </c>
      <c r="E45" s="34">
        <f>E42-E38-E41</f>
        <v>54679</v>
      </c>
      <c r="F45" s="35">
        <f t="shared" ref="F45:O45" si="49">F42-F38-F41</f>
        <v>54960</v>
      </c>
      <c r="G45" s="34">
        <f t="shared" si="49"/>
        <v>56539</v>
      </c>
      <c r="H45" s="34">
        <f>H42-H38-H41</f>
        <v>57497</v>
      </c>
      <c r="I45" s="34">
        <f t="shared" si="49"/>
        <v>61360</v>
      </c>
      <c r="J45" s="35">
        <f t="shared" si="49"/>
        <v>60633</v>
      </c>
      <c r="K45" s="34">
        <f t="shared" si="49"/>
        <v>64371</v>
      </c>
      <c r="L45" s="34">
        <f t="shared" si="49"/>
        <v>69779</v>
      </c>
      <c r="M45" s="34">
        <f t="shared" si="49"/>
        <v>75985</v>
      </c>
      <c r="N45" s="35">
        <f t="shared" si="49"/>
        <v>83379</v>
      </c>
      <c r="O45" s="34">
        <f t="shared" si="49"/>
        <v>88799</v>
      </c>
      <c r="P45" s="34">
        <f>P42-P38-P41</f>
        <v>94779</v>
      </c>
      <c r="Q45" s="34">
        <f>Q42-Q38-Q41</f>
        <v>103544</v>
      </c>
      <c r="R45" s="35">
        <f>R42-R38-R41</f>
        <v>111855</v>
      </c>
      <c r="S45" s="34">
        <f t="shared" ref="S45:T45" si="50">S42-S38-S41</f>
        <v>116143</v>
      </c>
      <c r="T45" s="34">
        <f t="shared" si="50"/>
        <v>122051</v>
      </c>
      <c r="U45" s="34">
        <f t="shared" ref="U45:W45" si="51">U42-U38-U41</f>
        <v>133631</v>
      </c>
      <c r="V45" s="35">
        <f t="shared" si="51"/>
        <v>133600</v>
      </c>
      <c r="W45" s="34">
        <f t="shared" si="51"/>
        <v>134891</v>
      </c>
    </row>
    <row r="46" spans="1:23" x14ac:dyDescent="0.15">
      <c r="A46" s="24" t="s">
        <v>82</v>
      </c>
      <c r="E46" s="34">
        <f>E42-E43</f>
        <v>120331</v>
      </c>
      <c r="F46" s="35">
        <f t="shared" ref="F46:P46" si="52">F42-F43</f>
        <v>123569</v>
      </c>
      <c r="G46" s="34">
        <f t="shared" si="52"/>
        <v>127879</v>
      </c>
      <c r="H46" s="34">
        <f>H42-H43</f>
        <v>134103</v>
      </c>
      <c r="I46" s="34">
        <f>I42-I43</f>
        <v>139007</v>
      </c>
      <c r="J46" s="35">
        <f t="shared" si="52"/>
        <v>144949</v>
      </c>
      <c r="K46" s="34">
        <f t="shared" si="52"/>
        <v>148286</v>
      </c>
      <c r="L46" s="34">
        <f t="shared" si="52"/>
        <v>157100</v>
      </c>
      <c r="M46" s="34">
        <f t="shared" si="52"/>
        <v>152502</v>
      </c>
      <c r="N46" s="35">
        <f t="shared" si="52"/>
        <v>160825</v>
      </c>
      <c r="O46" s="34">
        <f t="shared" si="52"/>
        <v>162000</v>
      </c>
      <c r="P46" s="34">
        <f t="shared" si="52"/>
        <v>169840</v>
      </c>
      <c r="Q46" s="34">
        <f t="shared" ref="Q46:S46" si="53">Q42-Q43</f>
        <v>177628</v>
      </c>
      <c r="R46" s="35">
        <f t="shared" si="53"/>
        <v>183472</v>
      </c>
      <c r="S46" s="34">
        <f t="shared" si="53"/>
        <v>192192</v>
      </c>
      <c r="T46" s="34">
        <f t="shared" ref="T46:U46" si="54">T42-T43</f>
        <v>194969</v>
      </c>
      <c r="U46" s="34">
        <f t="shared" si="54"/>
        <v>201442</v>
      </c>
      <c r="V46" s="35">
        <f t="shared" ref="V46:W46" si="55">V42-V43</f>
        <v>203659</v>
      </c>
      <c r="W46" s="34">
        <f t="shared" si="55"/>
        <v>207322</v>
      </c>
    </row>
    <row r="47" spans="1:23" x14ac:dyDescent="0.15">
      <c r="E47" s="47"/>
      <c r="I47" s="47"/>
      <c r="M47" s="47"/>
      <c r="V47" s="27"/>
      <c r="W47" s="26"/>
    </row>
    <row r="48" spans="1:23" s="12" customFormat="1" x14ac:dyDescent="0.15">
      <c r="A48" s="30" t="s">
        <v>83</v>
      </c>
      <c r="B48" s="33"/>
      <c r="C48" s="33"/>
      <c r="D48" s="33"/>
      <c r="E48" s="31">
        <f t="shared" ref="E48:T48" si="56">SUM(B23:E23)</f>
        <v>16348</v>
      </c>
      <c r="F48" s="32">
        <f t="shared" si="56"/>
        <v>17040</v>
      </c>
      <c r="G48" s="31">
        <f t="shared" si="56"/>
        <v>17986</v>
      </c>
      <c r="H48" s="31">
        <f t="shared" si="56"/>
        <v>19068</v>
      </c>
      <c r="I48" s="31">
        <f t="shared" si="56"/>
        <v>19478</v>
      </c>
      <c r="J48" s="32">
        <f t="shared" si="56"/>
        <v>20697</v>
      </c>
      <c r="K48" s="31">
        <f t="shared" si="56"/>
        <v>19344</v>
      </c>
      <c r="L48" s="31">
        <f t="shared" si="56"/>
        <v>21015</v>
      </c>
      <c r="M48" s="31">
        <f t="shared" si="56"/>
        <v>21917.962374216128</v>
      </c>
      <c r="N48" s="32">
        <f t="shared" si="56"/>
        <v>25892.962374216128</v>
      </c>
      <c r="O48" s="31">
        <f t="shared" si="56"/>
        <v>25563.962374216128</v>
      </c>
      <c r="P48" s="31">
        <f t="shared" si="56"/>
        <v>28023.962374216128</v>
      </c>
      <c r="Q48" s="31">
        <f t="shared" si="56"/>
        <v>30736</v>
      </c>
      <c r="R48" s="32">
        <f>SUM(O23:R23)</f>
        <v>29689</v>
      </c>
      <c r="S48" s="31">
        <f t="shared" si="56"/>
        <v>36441</v>
      </c>
      <c r="T48" s="31">
        <f t="shared" si="56"/>
        <v>34317</v>
      </c>
      <c r="U48" s="31">
        <f>SUM(R23:U23)</f>
        <v>36040</v>
      </c>
      <c r="V48" s="32">
        <f>SUM(S23:V23)</f>
        <v>34522</v>
      </c>
      <c r="W48" s="31">
        <f t="shared" ref="W48" si="57">SUM(T23:W23)</f>
        <v>31534</v>
      </c>
    </row>
    <row r="49" spans="1:23" x14ac:dyDescent="0.15">
      <c r="A49" s="24" t="s">
        <v>84</v>
      </c>
      <c r="E49" s="42">
        <f>E23/E46</f>
        <v>4.0912150651120659E-2</v>
      </c>
      <c r="F49" s="43">
        <f t="shared" ref="F49:N49" si="58">F48/F46</f>
        <v>0.1378986639043773</v>
      </c>
      <c r="G49" s="42">
        <f t="shared" si="58"/>
        <v>0.14064858186254192</v>
      </c>
      <c r="H49" s="42">
        <f t="shared" si="58"/>
        <v>0.14218921276928928</v>
      </c>
      <c r="I49" s="42">
        <f t="shared" si="58"/>
        <v>0.1401224398771285</v>
      </c>
      <c r="J49" s="43">
        <f t="shared" si="58"/>
        <v>0.14278815307452966</v>
      </c>
      <c r="K49" s="42">
        <f t="shared" si="58"/>
        <v>0.13045061570208921</v>
      </c>
      <c r="L49" s="42">
        <f t="shared" si="58"/>
        <v>0.13376830044557605</v>
      </c>
      <c r="M49" s="42">
        <f t="shared" si="58"/>
        <v>0.14372245855278049</v>
      </c>
      <c r="N49" s="43">
        <f t="shared" si="58"/>
        <v>0.16100085418446217</v>
      </c>
      <c r="O49" s="42">
        <f>O48/O46</f>
        <v>0.15780223687787734</v>
      </c>
      <c r="P49" s="42">
        <f>P48/P46</f>
        <v>0.16500213362115007</v>
      </c>
      <c r="Q49" s="42">
        <f>Q48/Q46</f>
        <v>0.17303578264687999</v>
      </c>
      <c r="R49" s="43">
        <f>R48/R46</f>
        <v>0.16181760704630679</v>
      </c>
      <c r="S49" s="42">
        <f t="shared" ref="S49:T49" si="59">S48/S46</f>
        <v>0.18960726773226774</v>
      </c>
      <c r="T49" s="42">
        <f t="shared" si="59"/>
        <v>0.1760125968743749</v>
      </c>
      <c r="U49" s="42">
        <f t="shared" ref="U49:W49" si="60">U48/U46</f>
        <v>0.17891005847837094</v>
      </c>
      <c r="V49" s="43">
        <f t="shared" si="60"/>
        <v>0.16950883584815796</v>
      </c>
      <c r="W49" s="42">
        <f t="shared" si="60"/>
        <v>0.15210156182170731</v>
      </c>
    </row>
    <row r="50" spans="1:23" x14ac:dyDescent="0.15">
      <c r="A50" s="24" t="s">
        <v>85</v>
      </c>
      <c r="E50" s="42">
        <f>E23/E42</f>
        <v>3.338509843280596E-2</v>
      </c>
      <c r="F50" s="43">
        <f t="shared" ref="F50:O50" si="61">F48/F42</f>
        <v>0.11379192905367053</v>
      </c>
      <c r="G50" s="42">
        <f t="shared" si="61"/>
        <v>0.11657117672983694</v>
      </c>
      <c r="H50" s="42">
        <f t="shared" si="61"/>
        <v>0.11921374446695177</v>
      </c>
      <c r="I50" s="42">
        <f t="shared" si="61"/>
        <v>0.11630878735041919</v>
      </c>
      <c r="J50" s="43">
        <f t="shared" si="61"/>
        <v>0.11980481141031281</v>
      </c>
      <c r="K50" s="42">
        <f t="shared" si="61"/>
        <v>0.10829633693686633</v>
      </c>
      <c r="L50" s="42">
        <f t="shared" si="61"/>
        <v>0.11087603410433902</v>
      </c>
      <c r="M50" s="42">
        <f t="shared" si="61"/>
        <v>0.11109233571157975</v>
      </c>
      <c r="N50" s="43">
        <f t="shared" si="61"/>
        <v>0.12512606554819691</v>
      </c>
      <c r="O50" s="42">
        <f t="shared" si="61"/>
        <v>0.12080696741276938</v>
      </c>
      <c r="P50" s="42">
        <f>P48/P42</f>
        <v>0.1264973159196893</v>
      </c>
      <c r="Q50" s="42">
        <f>Q48/Q42</f>
        <v>0.13203202859204782</v>
      </c>
      <c r="R50" s="43">
        <f>R48/R42</f>
        <v>0.12100721828904948</v>
      </c>
      <c r="S50" s="42">
        <f t="shared" ref="S50:T50" si="62">S48/S42</f>
        <v>0.14173807180835546</v>
      </c>
      <c r="T50" s="42">
        <f t="shared" si="62"/>
        <v>0.1304610635483037</v>
      </c>
      <c r="U50" s="42">
        <f t="shared" ref="U50:W50" si="63">U48/U42</f>
        <v>0.13062277779992679</v>
      </c>
      <c r="V50" s="43">
        <f t="shared" si="63"/>
        <v>0.12626781710515247</v>
      </c>
      <c r="W50" s="42">
        <f t="shared" si="63"/>
        <v>0.11323125978484122</v>
      </c>
    </row>
    <row r="51" spans="1:23" x14ac:dyDescent="0.15">
      <c r="A51" s="24" t="s">
        <v>86</v>
      </c>
      <c r="E51" s="42">
        <f>E23/(E46-E41)</f>
        <v>4.8929086120359788E-2</v>
      </c>
      <c r="F51" s="43">
        <f t="shared" ref="F51:O51" si="64">F48/(F46-F41)</f>
        <v>0.16377371547200276</v>
      </c>
      <c r="G51" s="42">
        <f t="shared" si="64"/>
        <v>0.16563829591291696</v>
      </c>
      <c r="H51" s="42">
        <f t="shared" si="64"/>
        <v>0.16623077727795796</v>
      </c>
      <c r="I51" s="42">
        <f t="shared" si="64"/>
        <v>0.16336218464841654</v>
      </c>
      <c r="J51" s="43">
        <f t="shared" si="64"/>
        <v>0.16522572147048259</v>
      </c>
      <c r="K51" s="42">
        <f t="shared" si="64"/>
        <v>0.15024582715205556</v>
      </c>
      <c r="L51" s="42">
        <f>L48/(L46-L41)</f>
        <v>0.15285192674163187</v>
      </c>
      <c r="M51" s="42">
        <f t="shared" si="64"/>
        <v>0.16471868494033748</v>
      </c>
      <c r="N51" s="43">
        <f t="shared" si="64"/>
        <v>0.18474651008330928</v>
      </c>
      <c r="O51" s="42">
        <f t="shared" si="64"/>
        <v>0.1807368507046381</v>
      </c>
      <c r="P51" s="42">
        <f>P48/(P46-P41)</f>
        <v>0.18745501497833486</v>
      </c>
      <c r="Q51" s="42">
        <f>Q48/(Q46-Q41)</f>
        <v>0.19512442864398172</v>
      </c>
      <c r="R51" s="43">
        <f>R48/(R46-R41)</f>
        <v>0.18162186632082514</v>
      </c>
      <c r="S51" s="42">
        <f t="shared" ref="S51:T51" si="65">S48/(S46-S41)</f>
        <v>0.21150966393870799</v>
      </c>
      <c r="T51" s="42">
        <f t="shared" si="65"/>
        <v>0.19592584768745039</v>
      </c>
      <c r="U51" s="42">
        <f t="shared" ref="U51:W51" si="66">U48/(U46-U41)</f>
        <v>0.2015220393761987</v>
      </c>
      <c r="V51" s="43">
        <f t="shared" si="66"/>
        <v>0.19063975481127649</v>
      </c>
      <c r="W51" s="42">
        <f t="shared" si="66"/>
        <v>0.17063760477486595</v>
      </c>
    </row>
    <row r="52" spans="1:23" x14ac:dyDescent="0.15">
      <c r="A52" s="24" t="s">
        <v>87</v>
      </c>
      <c r="E52" s="42">
        <f>E23/E45</f>
        <v>9.003456537244646E-2</v>
      </c>
      <c r="F52" s="43">
        <f t="shared" ref="F52:O52" si="67">F48/F45</f>
        <v>0.31004366812227074</v>
      </c>
      <c r="G52" s="42">
        <f t="shared" si="67"/>
        <v>0.3181166982083164</v>
      </c>
      <c r="H52" s="42">
        <f t="shared" si="67"/>
        <v>0.33163469398403395</v>
      </c>
      <c r="I52" s="42">
        <f t="shared" si="67"/>
        <v>0.3174380704041721</v>
      </c>
      <c r="J52" s="43">
        <f t="shared" si="67"/>
        <v>0.3413487704715254</v>
      </c>
      <c r="K52" s="42">
        <f t="shared" si="67"/>
        <v>0.30050799272964535</v>
      </c>
      <c r="L52" s="42">
        <f t="shared" si="67"/>
        <v>0.30116510698061022</v>
      </c>
      <c r="M52" s="42">
        <f t="shared" si="67"/>
        <v>0.28845117291855138</v>
      </c>
      <c r="N52" s="43">
        <f t="shared" si="67"/>
        <v>0.31054536962803736</v>
      </c>
      <c r="O52" s="42">
        <f t="shared" si="67"/>
        <v>0.28788570112519429</v>
      </c>
      <c r="P52" s="42">
        <f>P48/P45</f>
        <v>0.29567691550043923</v>
      </c>
      <c r="Q52" s="42">
        <f>Q48/Q45</f>
        <v>0.29683999072857914</v>
      </c>
      <c r="R52" s="43">
        <f>R48/R45</f>
        <v>0.26542398641097847</v>
      </c>
      <c r="S52" s="42">
        <f t="shared" ref="S52:T52" si="68">S48/S45</f>
        <v>0.31375976167310987</v>
      </c>
      <c r="T52" s="42">
        <f t="shared" si="68"/>
        <v>0.28116934724008819</v>
      </c>
      <c r="U52" s="42">
        <f t="shared" ref="U52:W52" si="69">U48/U45</f>
        <v>0.26969789943950129</v>
      </c>
      <c r="V52" s="43">
        <f t="shared" si="69"/>
        <v>0.25839820359281435</v>
      </c>
      <c r="W52" s="42">
        <f t="shared" si="69"/>
        <v>0.23377393599276453</v>
      </c>
    </row>
    <row r="53" spans="1:23" x14ac:dyDescent="0.15">
      <c r="V53" s="27"/>
      <c r="W53" s="26"/>
    </row>
    <row r="54" spans="1:23" x14ac:dyDescent="0.15">
      <c r="A54" s="6" t="s">
        <v>91</v>
      </c>
      <c r="F54" s="43">
        <f t="shared" ref="F54:W55" si="70">F3/B3-1</f>
        <v>0.16198091307712148</v>
      </c>
      <c r="G54" s="42">
        <f t="shared" si="70"/>
        <v>0.1947200898708108</v>
      </c>
      <c r="H54" s="42">
        <f t="shared" si="70"/>
        <v>0.1811572611882486</v>
      </c>
      <c r="I54" s="42">
        <f t="shared" si="70"/>
        <v>0.17407485061327188</v>
      </c>
      <c r="J54" s="43">
        <f t="shared" si="70"/>
        <v>0.18817980022197567</v>
      </c>
      <c r="K54" s="42">
        <f t="shared" si="70"/>
        <v>0.18434937052708555</v>
      </c>
      <c r="L54" s="42">
        <f t="shared" si="70"/>
        <v>0.2141163412542253</v>
      </c>
      <c r="M54" s="42">
        <f t="shared" si="70"/>
        <v>0.21554533684539479</v>
      </c>
      <c r="N54" s="43">
        <f t="shared" si="70"/>
        <v>0.24431367054317876</v>
      </c>
      <c r="O54" s="42">
        <f t="shared" si="70"/>
        <v>0.23884086097388857</v>
      </c>
      <c r="P54" s="42">
        <f t="shared" si="70"/>
        <v>0.20315811344275914</v>
      </c>
      <c r="Q54" s="42">
        <f t="shared" si="70"/>
        <v>0.19432915855584532</v>
      </c>
      <c r="R54" s="43">
        <f t="shared" si="70"/>
        <v>0.14807446888371745</v>
      </c>
      <c r="S54" s="42">
        <f t="shared" si="70"/>
        <v>0.15690532986791039</v>
      </c>
      <c r="T54" s="42">
        <f t="shared" si="70"/>
        <v>0.17137528493472409</v>
      </c>
      <c r="U54" s="42">
        <f t="shared" si="70"/>
        <v>0.16655390860446517</v>
      </c>
      <c r="V54" s="43">
        <f t="shared" si="70"/>
        <v>0.10383496256579594</v>
      </c>
      <c r="W54" s="42">
        <f t="shared" si="70"/>
        <v>-8.0845694589770423E-2</v>
      </c>
    </row>
    <row r="55" spans="1:23" x14ac:dyDescent="0.15">
      <c r="A55" s="79" t="s">
        <v>135</v>
      </c>
      <c r="F55" s="43"/>
      <c r="G55" s="42"/>
      <c r="H55" s="42"/>
      <c r="I55" s="42"/>
      <c r="J55" s="43"/>
      <c r="K55" s="42"/>
      <c r="L55" s="42"/>
      <c r="M55" s="42"/>
      <c r="N55" s="43"/>
      <c r="O55" s="42"/>
      <c r="P55" s="42"/>
      <c r="Q55" s="42"/>
      <c r="R55" s="43"/>
      <c r="S55" s="42"/>
      <c r="T55" s="42"/>
      <c r="U55" s="42">
        <f t="shared" ref="U55:W57" si="71">U4/Q4-1</f>
        <v>0.529549444119368</v>
      </c>
      <c r="V55" s="43">
        <f t="shared" si="71"/>
        <v>0.52164383561643834</v>
      </c>
      <c r="W55" s="42">
        <f t="shared" si="70"/>
        <v>0.43190476190476201</v>
      </c>
    </row>
    <row r="56" spans="1:23" x14ac:dyDescent="0.15">
      <c r="A56" s="6" t="s">
        <v>92</v>
      </c>
      <c r="F56" s="43">
        <f t="shared" ref="F56:T57" si="72">F5/B5-1</f>
        <v>0.24011976047904193</v>
      </c>
      <c r="G56" s="42">
        <f t="shared" si="72"/>
        <v>0.33251533742331296</v>
      </c>
      <c r="H56" s="42">
        <f t="shared" si="72"/>
        <v>0.38790644609241309</v>
      </c>
      <c r="I56" s="42">
        <f t="shared" si="72"/>
        <v>0.61970490242741549</v>
      </c>
      <c r="J56" s="43">
        <f t="shared" si="72"/>
        <v>0.49444712699179139</v>
      </c>
      <c r="K56" s="42">
        <f t="shared" si="72"/>
        <v>0.42265193370165743</v>
      </c>
      <c r="L56" s="42">
        <f t="shared" si="72"/>
        <v>0.3995067817509248</v>
      </c>
      <c r="M56" s="42">
        <f t="shared" si="72"/>
        <v>0.37731413458712892</v>
      </c>
      <c r="N56" s="43">
        <f t="shared" si="72"/>
        <v>0.40678513731825516</v>
      </c>
      <c r="O56" s="42">
        <f t="shared" si="72"/>
        <v>0.43203883495145634</v>
      </c>
      <c r="P56" s="42">
        <f t="shared" si="72"/>
        <v>0.3627019089574155</v>
      </c>
      <c r="Q56" s="42">
        <f t="shared" si="72"/>
        <v>1.7921911670578217E-2</v>
      </c>
      <c r="R56" s="43">
        <f t="shared" si="72"/>
        <v>-0.16858061552595316</v>
      </c>
      <c r="S56" s="42">
        <f t="shared" si="72"/>
        <v>-7.7966101694915246E-2</v>
      </c>
      <c r="T56" s="42">
        <f t="shared" si="72"/>
        <v>0.38534482758620681</v>
      </c>
      <c r="U56" s="42">
        <f t="shared" si="71"/>
        <v>0.10333263466778453</v>
      </c>
      <c r="V56" s="43">
        <f t="shared" si="71"/>
        <v>0.22513812154696122</v>
      </c>
      <c r="W56" s="42">
        <f t="shared" si="71"/>
        <v>0.25588235294117645</v>
      </c>
    </row>
    <row r="57" spans="1:23" x14ac:dyDescent="0.15">
      <c r="A57" s="6" t="s">
        <v>93</v>
      </c>
      <c r="F57" s="43">
        <f t="shared" si="72"/>
        <v>1.0750000000000002</v>
      </c>
      <c r="G57" s="42">
        <f t="shared" si="72"/>
        <v>1.5</v>
      </c>
      <c r="H57" s="42">
        <f t="shared" si="72"/>
        <v>0.39716312056737579</v>
      </c>
      <c r="I57" s="42">
        <f t="shared" si="72"/>
        <v>0.74666666666666659</v>
      </c>
      <c r="J57" s="43">
        <f t="shared" si="72"/>
        <v>0.46987951807228923</v>
      </c>
      <c r="K57" s="42">
        <f t="shared" si="72"/>
        <v>0.34054054054054061</v>
      </c>
      <c r="L57" s="42">
        <f t="shared" si="72"/>
        <v>0.53299492385786795</v>
      </c>
      <c r="M57" s="42">
        <f t="shared" si="72"/>
        <v>0.56106870229007644</v>
      </c>
      <c r="N57" s="43">
        <f t="shared" si="72"/>
        <v>-0.38524590163934425</v>
      </c>
      <c r="O57" s="42">
        <f t="shared" si="72"/>
        <v>-0.41532258064516125</v>
      </c>
      <c r="P57" s="42">
        <f t="shared" si="72"/>
        <v>-0.51655629139072845</v>
      </c>
      <c r="Q57" s="42">
        <f t="shared" si="72"/>
        <v>-0.32029339853300731</v>
      </c>
      <c r="R57" s="43">
        <f t="shared" si="72"/>
        <v>1.0466666666666669</v>
      </c>
      <c r="S57" s="42">
        <f t="shared" si="72"/>
        <v>0.86206896551724133</v>
      </c>
      <c r="T57" s="42">
        <f t="shared" si="72"/>
        <v>6.164383561643838E-2</v>
      </c>
      <c r="U57" s="42">
        <f t="shared" si="71"/>
        <v>-5.3956834532374098E-2</v>
      </c>
      <c r="V57" s="43">
        <f t="shared" si="71"/>
        <v>-0.40065146579804556</v>
      </c>
      <c r="W57" s="42">
        <f t="shared" si="71"/>
        <v>0.1074074074074074</v>
      </c>
    </row>
    <row r="59" spans="1:23" s="22" customFormat="1" x14ac:dyDescent="0.15">
      <c r="A59" s="22" t="s">
        <v>96</v>
      </c>
      <c r="B59" s="42"/>
      <c r="C59" s="42"/>
      <c r="D59" s="42"/>
      <c r="E59" s="42"/>
      <c r="F59" s="43"/>
      <c r="G59" s="42"/>
      <c r="H59" s="42"/>
      <c r="I59" s="42"/>
      <c r="J59" s="43"/>
      <c r="K59" s="42"/>
      <c r="L59" s="42"/>
      <c r="M59" s="42"/>
      <c r="N59" s="43"/>
      <c r="O59" s="42"/>
      <c r="P59" s="42"/>
      <c r="Q59" s="42"/>
      <c r="R59" s="43"/>
      <c r="S59" s="42"/>
      <c r="T59" s="42"/>
      <c r="U59" s="42"/>
      <c r="V59" s="92"/>
    </row>
    <row r="60" spans="1:23" s="22" customFormat="1" x14ac:dyDescent="0.15">
      <c r="A60" s="22" t="s">
        <v>113</v>
      </c>
      <c r="B60" s="42"/>
      <c r="C60" s="42"/>
      <c r="D60" s="42"/>
      <c r="E60" s="42"/>
      <c r="F60" s="43"/>
      <c r="G60" s="42"/>
      <c r="H60" s="42"/>
      <c r="I60" s="42"/>
      <c r="J60" s="43"/>
      <c r="K60" s="42"/>
      <c r="L60" s="42"/>
      <c r="M60" s="42"/>
      <c r="N60" s="43"/>
      <c r="O60" s="42"/>
      <c r="P60" s="42"/>
      <c r="Q60" s="42"/>
      <c r="R60" s="43"/>
      <c r="S60" s="42"/>
      <c r="T60" s="42"/>
      <c r="U60" s="42"/>
      <c r="V60" s="9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C21" sqref="C21"/>
    </sheetView>
  </sheetViews>
  <sheetFormatPr baseColWidth="10" defaultRowHeight="13" x14ac:dyDescent="0.15"/>
  <cols>
    <col min="1" max="1" width="10.83203125" style="3"/>
    <col min="2" max="2" width="16.6640625" style="3" customWidth="1"/>
    <col min="3" max="3" width="12.1640625" style="3" bestFit="1" customWidth="1"/>
    <col min="4" max="16384" width="10.83203125" style="3"/>
  </cols>
  <sheetData>
    <row r="2" spans="2:2" x14ac:dyDescent="0.15">
      <c r="B2" s="75" t="s">
        <v>127</v>
      </c>
    </row>
    <row r="4" spans="2:2" s="74" customFormat="1" x14ac:dyDescent="0.15">
      <c r="B4" s="73" t="s">
        <v>97</v>
      </c>
    </row>
    <row r="5" spans="2:2" x14ac:dyDescent="0.15">
      <c r="B5" s="3" t="s">
        <v>124</v>
      </c>
    </row>
    <row r="6" spans="2:2" x14ac:dyDescent="0.15">
      <c r="B6" s="3" t="s">
        <v>98</v>
      </c>
    </row>
    <row r="7" spans="2:2" x14ac:dyDescent="0.15">
      <c r="B7" s="3" t="s">
        <v>99</v>
      </c>
    </row>
    <row r="8" spans="2:2" x14ac:dyDescent="0.15">
      <c r="B8" s="60" t="s">
        <v>125</v>
      </c>
    </row>
    <row r="9" spans="2:2" x14ac:dyDescent="0.15">
      <c r="B9" s="3" t="s">
        <v>100</v>
      </c>
    </row>
    <row r="10" spans="2:2" x14ac:dyDescent="0.15">
      <c r="B10" s="3" t="s">
        <v>101</v>
      </c>
    </row>
    <row r="11" spans="2:2" x14ac:dyDescent="0.15">
      <c r="B11" s="3" t="s">
        <v>102</v>
      </c>
    </row>
    <row r="12" spans="2:2" x14ac:dyDescent="0.15">
      <c r="B12" s="3" t="s">
        <v>103</v>
      </c>
    </row>
    <row r="13" spans="2:2" x14ac:dyDescent="0.15">
      <c r="B13" s="3" t="s">
        <v>104</v>
      </c>
    </row>
    <row r="15" spans="2:2" s="74" customFormat="1" x14ac:dyDescent="0.15">
      <c r="B15" s="73" t="s">
        <v>77</v>
      </c>
    </row>
    <row r="16" spans="2:2" x14ac:dyDescent="0.15">
      <c r="B16" s="3" t="s">
        <v>105</v>
      </c>
    </row>
    <row r="17" spans="2:3" x14ac:dyDescent="0.15">
      <c r="B17" s="3" t="s">
        <v>106</v>
      </c>
      <c r="C17" s="3" t="s">
        <v>128</v>
      </c>
    </row>
    <row r="18" spans="2:3" x14ac:dyDescent="0.15">
      <c r="B18" s="3" t="s">
        <v>107</v>
      </c>
    </row>
    <row r="19" spans="2:3" x14ac:dyDescent="0.15">
      <c r="B19" s="3" t="s">
        <v>108</v>
      </c>
      <c r="C19" s="3" t="s">
        <v>126</v>
      </c>
    </row>
    <row r="20" spans="2:3" x14ac:dyDescent="0.15">
      <c r="B20" s="3" t="s">
        <v>109</v>
      </c>
    </row>
    <row r="21" spans="2:3" x14ac:dyDescent="0.15">
      <c r="B21" s="3" t="s">
        <v>110</v>
      </c>
      <c r="C21" s="3" t="s">
        <v>128</v>
      </c>
    </row>
    <row r="22" spans="2:3" x14ac:dyDescent="0.15">
      <c r="B22" s="3" t="s">
        <v>111</v>
      </c>
    </row>
    <row r="23" spans="2:3" x14ac:dyDescent="0.15">
      <c r="B23" s="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2020-09-27T16:03:02Z</dcterms:modified>
</cp:coreProperties>
</file>