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F764C635-244C-D24E-83DF-734F76189A5E}" xr6:coauthVersionLast="45" xr6:coauthVersionMax="45" xr10:uidLastSave="{00000000-0000-0000-0000-000000000000}"/>
  <bookViews>
    <workbookView xWindow="0" yWindow="460" windowWidth="19240" windowHeight="20320" tabRatio="500" xr2:uid="{00000000-000D-0000-FFFF-FFFF00000000}"/>
  </bookViews>
  <sheets>
    <sheet name="Main" sheetId="2" r:id="rId1"/>
    <sheet name="Report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2" l="1"/>
  <c r="G13" i="2"/>
  <c r="G41" i="2"/>
  <c r="H19" i="2"/>
  <c r="I19" i="2" s="1"/>
  <c r="J19" i="2" s="1"/>
  <c r="K19" i="2" s="1"/>
  <c r="G19" i="2"/>
  <c r="G17" i="2"/>
  <c r="H13" i="2"/>
  <c r="I13" i="2" s="1"/>
  <c r="J13" i="2" s="1"/>
  <c r="K13" i="2" s="1"/>
  <c r="G16" i="2"/>
  <c r="H14" i="2"/>
  <c r="I14" i="2" s="1"/>
  <c r="J14" i="2" s="1"/>
  <c r="K14" i="2" s="1"/>
  <c r="G14" i="2"/>
  <c r="C5" i="2"/>
  <c r="C3" i="2"/>
  <c r="F47" i="2" l="1"/>
  <c r="F46" i="2"/>
  <c r="F50" i="2" s="1"/>
  <c r="F45" i="2"/>
  <c r="F43" i="2"/>
  <c r="F42" i="2"/>
  <c r="F17" i="2"/>
  <c r="V38" i="1"/>
  <c r="V36" i="1"/>
  <c r="V33" i="1"/>
  <c r="V23" i="1"/>
  <c r="V13" i="1"/>
  <c r="V52" i="1"/>
  <c r="V49" i="1"/>
  <c r="V41" i="1"/>
  <c r="V40" i="1"/>
  <c r="V32" i="1"/>
  <c r="V25" i="1"/>
  <c r="V24" i="1"/>
  <c r="V14" i="1"/>
  <c r="V26" i="1"/>
  <c r="V6" i="1"/>
  <c r="V50" i="1" s="1"/>
  <c r="U38" i="1"/>
  <c r="U36" i="1"/>
  <c r="U33" i="1"/>
  <c r="U23" i="1"/>
  <c r="U13" i="1"/>
  <c r="U8" i="1"/>
  <c r="F49" i="2" l="1"/>
  <c r="V8" i="1"/>
  <c r="F24" i="2"/>
  <c r="F29" i="2"/>
  <c r="F57" i="2" s="1"/>
  <c r="F26" i="2"/>
  <c r="F20" i="2"/>
  <c r="F19" i="2"/>
  <c r="F11" i="2"/>
  <c r="F4" i="2"/>
  <c r="E11" i="2"/>
  <c r="U6" i="1"/>
  <c r="U49" i="1"/>
  <c r="U52" i="1"/>
  <c r="U41" i="1"/>
  <c r="F41" i="2"/>
  <c r="U32" i="1"/>
  <c r="U25" i="1"/>
  <c r="U24" i="1"/>
  <c r="T38" i="1"/>
  <c r="T41" i="1" s="1"/>
  <c r="T36" i="1"/>
  <c r="T33" i="1"/>
  <c r="T13" i="1"/>
  <c r="S6" i="1"/>
  <c r="T52" i="1"/>
  <c r="T49" i="1"/>
  <c r="T40" i="1"/>
  <c r="T32" i="1"/>
  <c r="T25" i="1"/>
  <c r="T24" i="1"/>
  <c r="T6" i="1"/>
  <c r="V10" i="1" l="1"/>
  <c r="U40" i="1"/>
  <c r="U14" i="1"/>
  <c r="T8" i="1"/>
  <c r="T14" i="1"/>
  <c r="S38" i="1"/>
  <c r="S41" i="1" s="1"/>
  <c r="S36" i="1"/>
  <c r="S40" i="1" s="1"/>
  <c r="S33" i="1"/>
  <c r="S32" i="1" s="1"/>
  <c r="S13" i="1"/>
  <c r="S26" i="1" s="1"/>
  <c r="S52" i="1"/>
  <c r="S8" i="1"/>
  <c r="S49" i="1"/>
  <c r="S25" i="1"/>
  <c r="S24" i="1"/>
  <c r="R38" i="1"/>
  <c r="R41" i="1" s="1"/>
  <c r="R36" i="1"/>
  <c r="R40" i="1" s="1"/>
  <c r="R34" i="1"/>
  <c r="R33" i="1"/>
  <c r="R32" i="1" s="1"/>
  <c r="R52" i="1"/>
  <c r="R49" i="1"/>
  <c r="R6" i="1"/>
  <c r="R25" i="1"/>
  <c r="R24" i="1"/>
  <c r="R13" i="1"/>
  <c r="E46" i="2"/>
  <c r="E13" i="2"/>
  <c r="F13" i="2" s="1"/>
  <c r="F14" i="2" s="1"/>
  <c r="Q38" i="1"/>
  <c r="E47" i="2" s="1"/>
  <c r="P36" i="1"/>
  <c r="P40" i="1" s="1"/>
  <c r="Q36" i="1"/>
  <c r="E45" i="2" s="1"/>
  <c r="E57" i="2" s="1"/>
  <c r="Q34" i="1"/>
  <c r="E43" i="2" s="1"/>
  <c r="Q33" i="1"/>
  <c r="E42" i="2" s="1"/>
  <c r="Q40" i="1"/>
  <c r="Q41" i="1"/>
  <c r="Q32" i="1"/>
  <c r="Q14" i="1"/>
  <c r="Q13" i="1"/>
  <c r="U26" i="1" s="1"/>
  <c r="Q6" i="1"/>
  <c r="Q8" i="1" s="1"/>
  <c r="Q52" i="1"/>
  <c r="Q49" i="1"/>
  <c r="E17" i="2"/>
  <c r="E19" i="2"/>
  <c r="E20" i="2"/>
  <c r="E24" i="2"/>
  <c r="E26" i="2"/>
  <c r="E29" i="2"/>
  <c r="G29" i="2"/>
  <c r="H29" i="2" s="1"/>
  <c r="I29" i="2" s="1"/>
  <c r="J29" i="2" s="1"/>
  <c r="K29" i="2" s="1"/>
  <c r="L29" i="2" s="1"/>
  <c r="M29" i="2" s="1"/>
  <c r="N29" i="2" s="1"/>
  <c r="O29" i="2" s="1"/>
  <c r="P29" i="2" s="1"/>
  <c r="D47" i="2"/>
  <c r="D46" i="2"/>
  <c r="D45" i="2"/>
  <c r="D42" i="2"/>
  <c r="D13" i="2"/>
  <c r="D29" i="2"/>
  <c r="D26" i="2"/>
  <c r="D24" i="2"/>
  <c r="D20" i="2"/>
  <c r="D19" i="2"/>
  <c r="D17" i="2"/>
  <c r="D11" i="2"/>
  <c r="C46" i="2"/>
  <c r="C43" i="2"/>
  <c r="C13" i="2"/>
  <c r="C59" i="2" s="1"/>
  <c r="C29" i="2"/>
  <c r="C26" i="2"/>
  <c r="C24" i="2"/>
  <c r="C20" i="2"/>
  <c r="C19" i="2"/>
  <c r="C17" i="2"/>
  <c r="C11" i="2"/>
  <c r="B43" i="2"/>
  <c r="B13" i="2"/>
  <c r="B29" i="2"/>
  <c r="B26" i="2"/>
  <c r="B24" i="2"/>
  <c r="B20" i="2"/>
  <c r="B19" i="2"/>
  <c r="B17" i="2"/>
  <c r="B11" i="2"/>
  <c r="D8" i="1"/>
  <c r="D10" i="1" s="1"/>
  <c r="C8" i="1"/>
  <c r="C10" i="1" s="1"/>
  <c r="B8" i="1"/>
  <c r="B10" i="1" s="1"/>
  <c r="E6" i="1"/>
  <c r="E8" i="1" s="1"/>
  <c r="E10" i="1" s="1"/>
  <c r="Q25" i="1"/>
  <c r="Q24" i="1"/>
  <c r="O52" i="1"/>
  <c r="N52" i="1"/>
  <c r="M52" i="1"/>
  <c r="L52" i="1"/>
  <c r="K52" i="1"/>
  <c r="J52" i="1"/>
  <c r="P52" i="1"/>
  <c r="P6" i="1"/>
  <c r="P50" i="1" s="1"/>
  <c r="L6" i="1"/>
  <c r="L50" i="1" s="1"/>
  <c r="O6" i="1"/>
  <c r="S50" i="1" s="1"/>
  <c r="K6" i="1"/>
  <c r="K8" i="1" s="1"/>
  <c r="K10" i="1" s="1"/>
  <c r="K28" i="1" s="1"/>
  <c r="O50" i="1"/>
  <c r="N6" i="1"/>
  <c r="N8" i="1" s="1"/>
  <c r="N10" i="1" s="1"/>
  <c r="J6" i="1"/>
  <c r="J50" i="1" s="1"/>
  <c r="N50" i="1"/>
  <c r="M6" i="1"/>
  <c r="M8" i="1" s="1"/>
  <c r="I6" i="1"/>
  <c r="I8" i="1" s="1"/>
  <c r="I10" i="1" s="1"/>
  <c r="H6" i="1"/>
  <c r="G6" i="1"/>
  <c r="F6" i="1"/>
  <c r="P49" i="1"/>
  <c r="O49" i="1"/>
  <c r="N49" i="1"/>
  <c r="M49" i="1"/>
  <c r="L49" i="1"/>
  <c r="K49" i="1"/>
  <c r="J49" i="1"/>
  <c r="L8" i="1"/>
  <c r="F8" i="1"/>
  <c r="F10" i="1" s="1"/>
  <c r="H8" i="1"/>
  <c r="H10" i="1" s="1"/>
  <c r="M55" i="1"/>
  <c r="I38" i="1"/>
  <c r="C47" i="2" s="1"/>
  <c r="I36" i="1"/>
  <c r="C45" i="2" s="1"/>
  <c r="I13" i="1"/>
  <c r="I14" i="1" s="1"/>
  <c r="H13" i="1"/>
  <c r="H14" i="1" s="1"/>
  <c r="G13" i="1"/>
  <c r="G26" i="1" s="1"/>
  <c r="G14" i="1"/>
  <c r="F13" i="1"/>
  <c r="F14" i="1" s="1"/>
  <c r="I33" i="1"/>
  <c r="C42" i="2" s="1"/>
  <c r="I40" i="1"/>
  <c r="I41" i="1"/>
  <c r="M36" i="1"/>
  <c r="M13" i="1"/>
  <c r="Q26" i="1" s="1"/>
  <c r="N38" i="1"/>
  <c r="N41" i="1" s="1"/>
  <c r="N36" i="1"/>
  <c r="N34" i="1"/>
  <c r="N33" i="1"/>
  <c r="N32" i="1" s="1"/>
  <c r="N13" i="1"/>
  <c r="N14" i="1" s="1"/>
  <c r="K13" i="1"/>
  <c r="K14" i="1" s="1"/>
  <c r="L13" i="1"/>
  <c r="L14" i="1" s="1"/>
  <c r="J13" i="1"/>
  <c r="N26" i="1" s="1"/>
  <c r="N25" i="1"/>
  <c r="N24" i="1"/>
  <c r="O38" i="1"/>
  <c r="O41" i="1" s="1"/>
  <c r="O36" i="1"/>
  <c r="O40" i="1" s="1"/>
  <c r="O34" i="1"/>
  <c r="O33" i="1"/>
  <c r="O32" i="1" s="1"/>
  <c r="O13" i="1"/>
  <c r="O14" i="1" s="1"/>
  <c r="O25" i="1"/>
  <c r="O24" i="1"/>
  <c r="M38" i="1"/>
  <c r="M34" i="1"/>
  <c r="D43" i="2" s="1"/>
  <c r="M33" i="1"/>
  <c r="M40" i="1"/>
  <c r="M41" i="1"/>
  <c r="M32" i="1"/>
  <c r="P13" i="1"/>
  <c r="P33" i="1"/>
  <c r="P38" i="1"/>
  <c r="P41" i="1" s="1"/>
  <c r="P34" i="1"/>
  <c r="P32" i="1" s="1"/>
  <c r="P25" i="1"/>
  <c r="P24" i="1"/>
  <c r="C4" i="2"/>
  <c r="F33" i="1"/>
  <c r="B13" i="1"/>
  <c r="B14" i="1" s="1"/>
  <c r="G33" i="1"/>
  <c r="G32" i="1" s="1"/>
  <c r="C13" i="1"/>
  <c r="C14" i="1" s="1"/>
  <c r="H33" i="1"/>
  <c r="H32" i="1" s="1"/>
  <c r="D13" i="1"/>
  <c r="D14" i="1" s="1"/>
  <c r="E33" i="1"/>
  <c r="B42" i="2" s="1"/>
  <c r="E13" i="1"/>
  <c r="E14" i="1" s="1"/>
  <c r="J33" i="1"/>
  <c r="J32" i="1" s="1"/>
  <c r="K33" i="1"/>
  <c r="K32" i="1" s="1"/>
  <c r="L33" i="1"/>
  <c r="L32" i="1" s="1"/>
  <c r="L24" i="1"/>
  <c r="M24" i="1"/>
  <c r="L25" i="1"/>
  <c r="M25" i="1"/>
  <c r="J24" i="1"/>
  <c r="K24" i="1"/>
  <c r="J25" i="1"/>
  <c r="K25" i="1"/>
  <c r="K26" i="1"/>
  <c r="F32" i="1"/>
  <c r="I24" i="1"/>
  <c r="G25" i="1"/>
  <c r="H25" i="1"/>
  <c r="I25" i="1"/>
  <c r="F26" i="1"/>
  <c r="F25" i="1"/>
  <c r="G24" i="1"/>
  <c r="H24" i="1"/>
  <c r="F24" i="1"/>
  <c r="E32" i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F16" i="2" l="1"/>
  <c r="E49" i="2"/>
  <c r="G59" i="2"/>
  <c r="F59" i="2"/>
  <c r="E36" i="2"/>
  <c r="C57" i="2"/>
  <c r="V28" i="1"/>
  <c r="V15" i="1"/>
  <c r="D57" i="2"/>
  <c r="C6" i="2"/>
  <c r="C7" i="2" s="1"/>
  <c r="E14" i="2"/>
  <c r="E16" i="2" s="1"/>
  <c r="B41" i="2"/>
  <c r="C41" i="2"/>
  <c r="L23" i="1"/>
  <c r="D49" i="2"/>
  <c r="R50" i="1"/>
  <c r="L10" i="1"/>
  <c r="L28" i="1" s="1"/>
  <c r="K15" i="1"/>
  <c r="E21" i="2"/>
  <c r="E22" i="2" s="1"/>
  <c r="I26" i="1"/>
  <c r="K50" i="1"/>
  <c r="H26" i="1"/>
  <c r="C49" i="2"/>
  <c r="O8" i="1"/>
  <c r="S23" i="1" s="1"/>
  <c r="C50" i="2"/>
  <c r="T50" i="1"/>
  <c r="M26" i="1"/>
  <c r="C14" i="2"/>
  <c r="C16" i="2" s="1"/>
  <c r="U50" i="1"/>
  <c r="J8" i="1"/>
  <c r="J10" i="1" s="1"/>
  <c r="P14" i="1"/>
  <c r="T26" i="1"/>
  <c r="N40" i="1"/>
  <c r="D59" i="2"/>
  <c r="R26" i="1"/>
  <c r="F21" i="2"/>
  <c r="G21" i="2" s="1"/>
  <c r="E37" i="2"/>
  <c r="D36" i="2"/>
  <c r="D37" i="2"/>
  <c r="E41" i="2"/>
  <c r="B14" i="2"/>
  <c r="B16" i="2" s="1"/>
  <c r="B18" i="2" s="1"/>
  <c r="B31" i="2" s="1"/>
  <c r="D41" i="2"/>
  <c r="U10" i="1"/>
  <c r="T10" i="1"/>
  <c r="G20" i="2"/>
  <c r="F37" i="2"/>
  <c r="J28" i="1"/>
  <c r="E50" i="2"/>
  <c r="C28" i="1"/>
  <c r="C15" i="1"/>
  <c r="D28" i="1"/>
  <c r="D15" i="1"/>
  <c r="I15" i="1"/>
  <c r="I28" i="1"/>
  <c r="M23" i="1"/>
  <c r="M10" i="1"/>
  <c r="B28" i="1"/>
  <c r="B15" i="1"/>
  <c r="N15" i="1"/>
  <c r="N28" i="1"/>
  <c r="Q10" i="1"/>
  <c r="Q23" i="1"/>
  <c r="H28" i="1"/>
  <c r="H15" i="1"/>
  <c r="E15" i="1"/>
  <c r="E28" i="1"/>
  <c r="F28" i="1"/>
  <c r="F15" i="1"/>
  <c r="S10" i="1"/>
  <c r="L15" i="1"/>
  <c r="K29" i="1"/>
  <c r="K17" i="1"/>
  <c r="G8" i="1"/>
  <c r="M50" i="1"/>
  <c r="C21" i="2"/>
  <c r="C22" i="2" s="1"/>
  <c r="C39" i="2" s="1"/>
  <c r="E59" i="2"/>
  <c r="O26" i="1"/>
  <c r="R8" i="1"/>
  <c r="F23" i="1"/>
  <c r="Q50" i="1"/>
  <c r="D14" i="2"/>
  <c r="J26" i="1"/>
  <c r="B21" i="2"/>
  <c r="B22" i="2" s="1"/>
  <c r="R14" i="1"/>
  <c r="C36" i="2"/>
  <c r="H23" i="1"/>
  <c r="J23" i="1"/>
  <c r="M14" i="1"/>
  <c r="C37" i="2"/>
  <c r="P8" i="1"/>
  <c r="T23" i="1" s="1"/>
  <c r="I23" i="1"/>
  <c r="I32" i="1"/>
  <c r="P26" i="1"/>
  <c r="J14" i="1"/>
  <c r="J15" i="1" s="1"/>
  <c r="L26" i="1"/>
  <c r="N23" i="1"/>
  <c r="D21" i="2"/>
  <c r="D50" i="2"/>
  <c r="S14" i="1"/>
  <c r="F60" i="2" l="1"/>
  <c r="V17" i="1"/>
  <c r="V29" i="1"/>
  <c r="F22" i="2"/>
  <c r="F38" i="2"/>
  <c r="C60" i="2"/>
  <c r="B23" i="2"/>
  <c r="B32" i="2" s="1"/>
  <c r="O10" i="1"/>
  <c r="O23" i="1"/>
  <c r="K59" i="2"/>
  <c r="U28" i="1"/>
  <c r="U15" i="1"/>
  <c r="T28" i="1"/>
  <c r="T15" i="1"/>
  <c r="J29" i="1"/>
  <c r="J17" i="1"/>
  <c r="Q15" i="1"/>
  <c r="Q28" i="1"/>
  <c r="L29" i="1"/>
  <c r="L17" i="1"/>
  <c r="D38" i="2"/>
  <c r="D22" i="2"/>
  <c r="D39" i="2" s="1"/>
  <c r="D29" i="1"/>
  <c r="D17" i="1"/>
  <c r="F29" i="1"/>
  <c r="F17" i="1"/>
  <c r="M28" i="1"/>
  <c r="M15" i="1"/>
  <c r="G38" i="2"/>
  <c r="H21" i="2"/>
  <c r="C35" i="2"/>
  <c r="C18" i="2"/>
  <c r="C38" i="2"/>
  <c r="D16" i="2"/>
  <c r="D60" i="2"/>
  <c r="S28" i="1"/>
  <c r="S15" i="1"/>
  <c r="F39" i="2"/>
  <c r="F36" i="2"/>
  <c r="P10" i="1"/>
  <c r="P23" i="1"/>
  <c r="E17" i="1"/>
  <c r="E29" i="1"/>
  <c r="E18" i="2"/>
  <c r="I29" i="1"/>
  <c r="I17" i="1"/>
  <c r="N17" i="1"/>
  <c r="N29" i="1"/>
  <c r="B29" i="1"/>
  <c r="B17" i="1"/>
  <c r="R10" i="1"/>
  <c r="R23" i="1"/>
  <c r="C17" i="1"/>
  <c r="C29" i="1"/>
  <c r="G10" i="1"/>
  <c r="G23" i="1"/>
  <c r="K23" i="1"/>
  <c r="H29" i="1"/>
  <c r="H17" i="1"/>
  <c r="H20" i="2"/>
  <c r="G37" i="2"/>
  <c r="K19" i="1"/>
  <c r="K30" i="1"/>
  <c r="E60" i="2"/>
  <c r="E38" i="2"/>
  <c r="V30" i="1" l="1"/>
  <c r="V19" i="1"/>
  <c r="G35" i="2"/>
  <c r="F18" i="2"/>
  <c r="F23" i="2" s="1"/>
  <c r="F25" i="2" s="1"/>
  <c r="F35" i="2"/>
  <c r="O15" i="1"/>
  <c r="O28" i="1"/>
  <c r="E39" i="2"/>
  <c r="U17" i="1"/>
  <c r="U29" i="1"/>
  <c r="T17" i="1"/>
  <c r="T30" i="1" s="1"/>
  <c r="T29" i="1"/>
  <c r="H16" i="2"/>
  <c r="G60" i="2"/>
  <c r="D35" i="2"/>
  <c r="D18" i="2"/>
  <c r="E35" i="2"/>
  <c r="F30" i="1"/>
  <c r="F19" i="1"/>
  <c r="D30" i="1"/>
  <c r="D19" i="1"/>
  <c r="D20" i="1" s="1"/>
  <c r="E30" i="1"/>
  <c r="E19" i="1"/>
  <c r="E20" i="1" s="1"/>
  <c r="Q29" i="1"/>
  <c r="Q17" i="1"/>
  <c r="B19" i="1"/>
  <c r="B20" i="1" s="1"/>
  <c r="B25" i="2"/>
  <c r="B30" i="1"/>
  <c r="K20" i="1"/>
  <c r="N19" i="1"/>
  <c r="N30" i="1"/>
  <c r="I20" i="2"/>
  <c r="H37" i="2"/>
  <c r="E23" i="2"/>
  <c r="E31" i="2"/>
  <c r="P15" i="1"/>
  <c r="P28" i="1"/>
  <c r="H38" i="2"/>
  <c r="I21" i="2"/>
  <c r="S17" i="1"/>
  <c r="S29" i="1"/>
  <c r="L19" i="1"/>
  <c r="L30" i="1"/>
  <c r="H59" i="2"/>
  <c r="C31" i="2"/>
  <c r="C23" i="2"/>
  <c r="C19" i="1"/>
  <c r="C20" i="1" s="1"/>
  <c r="C30" i="1"/>
  <c r="J30" i="1"/>
  <c r="J19" i="1"/>
  <c r="I30" i="1"/>
  <c r="I19" i="1"/>
  <c r="I20" i="1" s="1"/>
  <c r="H19" i="1"/>
  <c r="H20" i="1" s="1"/>
  <c r="H30" i="1"/>
  <c r="G15" i="1"/>
  <c r="G28" i="1"/>
  <c r="R28" i="1"/>
  <c r="R15" i="1"/>
  <c r="G36" i="2"/>
  <c r="G22" i="2"/>
  <c r="G39" i="2" s="1"/>
  <c r="M29" i="1"/>
  <c r="M17" i="1"/>
  <c r="V43" i="1" l="1"/>
  <c r="V20" i="1"/>
  <c r="O29" i="1"/>
  <c r="O17" i="1"/>
  <c r="U19" i="1"/>
  <c r="U30" i="1"/>
  <c r="T19" i="1"/>
  <c r="L20" i="1"/>
  <c r="C25" i="2"/>
  <c r="C32" i="2"/>
  <c r="N20" i="1"/>
  <c r="H35" i="2"/>
  <c r="N43" i="1"/>
  <c r="B33" i="2"/>
  <c r="B27" i="2"/>
  <c r="B28" i="2" s="1"/>
  <c r="S19" i="1"/>
  <c r="S20" i="1" s="1"/>
  <c r="S30" i="1"/>
  <c r="I38" i="2"/>
  <c r="J21" i="2"/>
  <c r="K21" i="2" s="1"/>
  <c r="P29" i="1"/>
  <c r="P17" i="1"/>
  <c r="E32" i="2"/>
  <c r="E25" i="2"/>
  <c r="H22" i="2"/>
  <c r="H39" i="2" s="1"/>
  <c r="H36" i="2"/>
  <c r="D23" i="2"/>
  <c r="D31" i="2"/>
  <c r="I59" i="2"/>
  <c r="Q30" i="1"/>
  <c r="Q19" i="1"/>
  <c r="Q20" i="1" s="1"/>
  <c r="J20" i="1"/>
  <c r="M30" i="1"/>
  <c r="M19" i="1"/>
  <c r="F20" i="1"/>
  <c r="J20" i="2"/>
  <c r="K20" i="2" s="1"/>
  <c r="I37" i="2"/>
  <c r="R29" i="1"/>
  <c r="R17" i="1"/>
  <c r="G29" i="1"/>
  <c r="G17" i="1"/>
  <c r="H60" i="2"/>
  <c r="V47" i="1" l="1"/>
  <c r="V46" i="1"/>
  <c r="V45" i="1"/>
  <c r="V44" i="1"/>
  <c r="O30" i="1"/>
  <c r="O19" i="1"/>
  <c r="O20" i="1" s="1"/>
  <c r="U20" i="1"/>
  <c r="U43" i="1"/>
  <c r="T20" i="1"/>
  <c r="T43" i="1"/>
  <c r="D25" i="2"/>
  <c r="D32" i="2"/>
  <c r="N45" i="1"/>
  <c r="N47" i="1"/>
  <c r="N46" i="1"/>
  <c r="N44" i="1"/>
  <c r="J37" i="2"/>
  <c r="M20" i="1"/>
  <c r="C27" i="2"/>
  <c r="C33" i="2"/>
  <c r="R30" i="1"/>
  <c r="R19" i="1"/>
  <c r="R20" i="1" s="1"/>
  <c r="J38" i="2"/>
  <c r="F31" i="2"/>
  <c r="G18" i="2" s="1"/>
  <c r="I60" i="2"/>
  <c r="I22" i="2"/>
  <c r="I39" i="2" s="1"/>
  <c r="I36" i="2"/>
  <c r="E27" i="2"/>
  <c r="E33" i="2"/>
  <c r="P30" i="1"/>
  <c r="P19" i="1"/>
  <c r="M43" i="1"/>
  <c r="J59" i="2"/>
  <c r="G30" i="1"/>
  <c r="G19" i="1"/>
  <c r="I16" i="2"/>
  <c r="O43" i="1"/>
  <c r="J60" i="2" l="1"/>
  <c r="J16" i="2"/>
  <c r="J35" i="2" s="1"/>
  <c r="U47" i="1"/>
  <c r="U46" i="1"/>
  <c r="U45" i="1"/>
  <c r="U44" i="1"/>
  <c r="T47" i="1"/>
  <c r="T46" i="1"/>
  <c r="T45" i="1"/>
  <c r="T44" i="1"/>
  <c r="C28" i="2"/>
  <c r="C52" i="2"/>
  <c r="C55" i="2"/>
  <c r="C54" i="2"/>
  <c r="C53" i="2"/>
  <c r="L21" i="2"/>
  <c r="K38" i="2"/>
  <c r="M44" i="1"/>
  <c r="M47" i="1"/>
  <c r="M45" i="1"/>
  <c r="M46" i="1"/>
  <c r="J36" i="2"/>
  <c r="J22" i="2"/>
  <c r="J39" i="2" s="1"/>
  <c r="O47" i="1"/>
  <c r="O46" i="1"/>
  <c r="O45" i="1"/>
  <c r="O44" i="1"/>
  <c r="S43" i="1"/>
  <c r="P20" i="1"/>
  <c r="Q43" i="1"/>
  <c r="R43" i="1"/>
  <c r="E53" i="2"/>
  <c r="E28" i="2"/>
  <c r="E54" i="2"/>
  <c r="E52" i="2"/>
  <c r="E55" i="2"/>
  <c r="L20" i="2"/>
  <c r="K37" i="2"/>
  <c r="I35" i="2"/>
  <c r="G23" i="2"/>
  <c r="G31" i="2"/>
  <c r="H18" i="2" s="1"/>
  <c r="P43" i="1"/>
  <c r="G20" i="1"/>
  <c r="I43" i="1"/>
  <c r="F32" i="2"/>
  <c r="D27" i="2"/>
  <c r="D33" i="2"/>
  <c r="K60" i="2" l="1"/>
  <c r="K16" i="2"/>
  <c r="K35" i="2" s="1"/>
  <c r="F33" i="2"/>
  <c r="F27" i="2"/>
  <c r="S47" i="1"/>
  <c r="S46" i="1"/>
  <c r="S45" i="1"/>
  <c r="S44" i="1"/>
  <c r="G32" i="2"/>
  <c r="M21" i="2"/>
  <c r="L38" i="2"/>
  <c r="P44" i="1"/>
  <c r="P47" i="1"/>
  <c r="P45" i="1"/>
  <c r="P46" i="1"/>
  <c r="R47" i="1"/>
  <c r="R46" i="1"/>
  <c r="R45" i="1"/>
  <c r="R44" i="1"/>
  <c r="H23" i="2"/>
  <c r="H31" i="2"/>
  <c r="I18" i="2" s="1"/>
  <c r="H17" i="2"/>
  <c r="D55" i="2"/>
  <c r="D54" i="2"/>
  <c r="D53" i="2"/>
  <c r="D28" i="2"/>
  <c r="D52" i="2"/>
  <c r="Q47" i="1"/>
  <c r="Q46" i="1"/>
  <c r="Q45" i="1"/>
  <c r="Q44" i="1"/>
  <c r="I46" i="1"/>
  <c r="I47" i="1"/>
  <c r="I45" i="1"/>
  <c r="I44" i="1"/>
  <c r="L37" i="2"/>
  <c r="M20" i="2"/>
  <c r="K36" i="2"/>
  <c r="L19" i="2"/>
  <c r="K22" i="2"/>
  <c r="K39" i="2" s="1"/>
  <c r="F28" i="2" l="1"/>
  <c r="F54" i="2"/>
  <c r="F53" i="2"/>
  <c r="F52" i="2"/>
  <c r="F55" i="2"/>
  <c r="L35" i="2"/>
  <c r="I23" i="2"/>
  <c r="I31" i="2"/>
  <c r="J18" i="2" s="1"/>
  <c r="I17" i="2"/>
  <c r="N21" i="2"/>
  <c r="M38" i="2"/>
  <c r="L36" i="2"/>
  <c r="M19" i="2"/>
  <c r="L22" i="2"/>
  <c r="L39" i="2" s="1"/>
  <c r="M37" i="2"/>
  <c r="N20" i="2"/>
  <c r="H32" i="2"/>
  <c r="M16" i="2" l="1"/>
  <c r="N16" i="2" s="1"/>
  <c r="J23" i="2"/>
  <c r="J31" i="2"/>
  <c r="K18" i="2" s="1"/>
  <c r="J17" i="2"/>
  <c r="N37" i="2"/>
  <c r="O20" i="2"/>
  <c r="M22" i="2"/>
  <c r="M39" i="2" s="1"/>
  <c r="M36" i="2"/>
  <c r="N19" i="2"/>
  <c r="O21" i="2"/>
  <c r="N38" i="2"/>
  <c r="I32" i="2"/>
  <c r="G24" i="2"/>
  <c r="G25" i="2" s="1"/>
  <c r="G26" i="2" s="1"/>
  <c r="M35" i="2" l="1"/>
  <c r="N36" i="2"/>
  <c r="O19" i="2"/>
  <c r="N22" i="2"/>
  <c r="N39" i="2" s="1"/>
  <c r="O37" i="2"/>
  <c r="P20" i="2"/>
  <c r="N35" i="2"/>
  <c r="O16" i="2"/>
  <c r="K31" i="2"/>
  <c r="L18" i="2" s="1"/>
  <c r="K23" i="2"/>
  <c r="K17" i="2"/>
  <c r="G33" i="2"/>
  <c r="P21" i="2"/>
  <c r="O38" i="2"/>
  <c r="J32" i="2"/>
  <c r="G27" i="2" l="1"/>
  <c r="P16" i="2"/>
  <c r="O35" i="2"/>
  <c r="L31" i="2"/>
  <c r="M18" i="2" s="1"/>
  <c r="L23" i="2"/>
  <c r="L17" i="2"/>
  <c r="P38" i="2"/>
  <c r="K32" i="2"/>
  <c r="P37" i="2"/>
  <c r="O22" i="2"/>
  <c r="O39" i="2" s="1"/>
  <c r="O36" i="2"/>
  <c r="P19" i="2"/>
  <c r="G28" i="2" l="1"/>
  <c r="H24" i="2"/>
  <c r="H25" i="2" s="1"/>
  <c r="H26" i="2" s="1"/>
  <c r="M23" i="2"/>
  <c r="M31" i="2"/>
  <c r="N18" i="2" s="1"/>
  <c r="M17" i="2"/>
  <c r="L32" i="2"/>
  <c r="P35" i="2"/>
  <c r="P22" i="2"/>
  <c r="P39" i="2" s="1"/>
  <c r="P36" i="2"/>
  <c r="H33" i="2" l="1"/>
  <c r="N31" i="2"/>
  <c r="O18" i="2" s="1"/>
  <c r="N23" i="2"/>
  <c r="N17" i="2"/>
  <c r="M32" i="2"/>
  <c r="H27" i="2" l="1"/>
  <c r="N32" i="2"/>
  <c r="O23" i="2"/>
  <c r="O31" i="2"/>
  <c r="P18" i="2" s="1"/>
  <c r="O17" i="2"/>
  <c r="H28" i="2" l="1"/>
  <c r="H41" i="2"/>
  <c r="I24" i="2" s="1"/>
  <c r="I25" i="2" s="1"/>
  <c r="I26" i="2" s="1"/>
  <c r="P23" i="2"/>
  <c r="P31" i="2"/>
  <c r="P17" i="2"/>
  <c r="O32" i="2"/>
  <c r="I33" i="2" l="1"/>
  <c r="P32" i="2"/>
  <c r="I27" i="2" l="1"/>
  <c r="I28" i="2" l="1"/>
  <c r="I41" i="2"/>
  <c r="J24" i="2" s="1"/>
  <c r="J25" i="2" s="1"/>
  <c r="J26" i="2" s="1"/>
  <c r="J33" i="2" l="1"/>
  <c r="J27" i="2" l="1"/>
  <c r="J28" i="2" l="1"/>
  <c r="J41" i="2"/>
  <c r="K24" i="2" s="1"/>
  <c r="K25" i="2" s="1"/>
  <c r="K26" i="2" s="1"/>
  <c r="K33" i="2" l="1"/>
  <c r="K27" i="2"/>
  <c r="K28" i="2" l="1"/>
  <c r="K41" i="2"/>
  <c r="L24" i="2" l="1"/>
  <c r="L25" i="2" s="1"/>
  <c r="L26" i="2" s="1"/>
  <c r="L33" i="2" l="1"/>
  <c r="L27" i="2"/>
  <c r="L28" i="2" l="1"/>
  <c r="L41" i="2"/>
  <c r="M24" i="2" l="1"/>
  <c r="M25" i="2" s="1"/>
  <c r="M26" i="2" s="1"/>
  <c r="M33" i="2" l="1"/>
  <c r="M27" i="2" l="1"/>
  <c r="M28" i="2" s="1"/>
  <c r="M41" i="2" l="1"/>
  <c r="N24" i="2" s="1"/>
  <c r="N25" i="2" s="1"/>
  <c r="N26" i="2" s="1"/>
  <c r="N33" i="2" l="1"/>
  <c r="N27" i="2" l="1"/>
  <c r="N28" i="2" l="1"/>
  <c r="N41" i="2"/>
  <c r="O24" i="2" l="1"/>
  <c r="O25" i="2" s="1"/>
  <c r="O26" i="2" s="1"/>
  <c r="O33" i="2" l="1"/>
  <c r="O27" i="2" l="1"/>
  <c r="O28" i="2" s="1"/>
  <c r="O41" i="2" l="1"/>
  <c r="P24" i="2" s="1"/>
  <c r="P25" i="2" s="1"/>
  <c r="P26" i="2" s="1"/>
  <c r="P33" i="2" l="1"/>
  <c r="P27" i="2"/>
  <c r="Q27" i="2" s="1"/>
  <c r="P28" i="2" l="1"/>
  <c r="P41" i="2"/>
  <c r="R27" i="2" l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F5" i="2" s="1"/>
  <c r="F6" i="2" s="1"/>
  <c r="F7" i="2" l="1"/>
  <c r="G7" i="2"/>
</calcChain>
</file>

<file path=xl/sharedStrings.xml><?xml version="1.0" encoding="utf-8"?>
<sst xmlns="http://schemas.openxmlformats.org/spreadsheetml/2006/main" count="152" uniqueCount="107">
  <si>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</si>
  <si>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</si>
  <si>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</si>
  <si>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</si>
  <si>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</si>
  <si>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</si>
  <si>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</si>
  <si>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</si>
  <si>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</si>
  <si>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</si>
  <si>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</si>
  <si>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</si>
  <si>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</si>
  <si>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</si>
  <si>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</si>
  <si>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</si>
  <si>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</si>
  <si>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</si>
  <si>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</si>
  <si>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</si>
  <si>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</si>
  <si>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</si>
  <si>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</si>
  <si>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</si>
  <si>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</si>
  <si>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</si>
  <si>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</si>
  <si>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</si>
  <si>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</si>
  <si>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</si>
  <si>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</si>
  <si>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</si>
  <si>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</si>
  <si>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</si>
  <si>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R&amp;D y/y</t>
  </si>
  <si>
    <t>S&amp;M y/y</t>
  </si>
  <si>
    <t>G&amp;A y/y</t>
  </si>
  <si>
    <t>31/12/2017</t>
  </si>
  <si>
    <t>31/12/2016</t>
  </si>
  <si>
    <t>30/6/2017</t>
  </si>
  <si>
    <t>30/9/2016</t>
  </si>
  <si>
    <t>30/9/2017</t>
  </si>
  <si>
    <t>31/3/2017</t>
  </si>
  <si>
    <t>30/6/2016</t>
  </si>
  <si>
    <t>31/3/2016</t>
  </si>
  <si>
    <t>31/12/2015</t>
  </si>
  <si>
    <t>30/9/2015</t>
  </si>
  <si>
    <t>Q115</t>
  </si>
  <si>
    <t>Q215</t>
  </si>
  <si>
    <t>Q315</t>
  </si>
  <si>
    <t>Q415</t>
  </si>
  <si>
    <t>30/6/2015</t>
  </si>
  <si>
    <t>31/3/2015</t>
  </si>
  <si>
    <t>Active diners</t>
  </si>
  <si>
    <t>Daily average grubs</t>
  </si>
  <si>
    <t>Investor Relations</t>
  </si>
  <si>
    <t>CEO</t>
  </si>
  <si>
    <t>Founder</t>
  </si>
  <si>
    <t>Matthew Maloney</t>
  </si>
  <si>
    <t>GrubHub Inc (GRUB)</t>
  </si>
  <si>
    <t>EDGAR</t>
  </si>
  <si>
    <t>Price</t>
  </si>
  <si>
    <t>Q318</t>
  </si>
  <si>
    <t>Expected return on invested capital (innovation grade)</t>
  </si>
  <si>
    <t>Market Cap</t>
  </si>
  <si>
    <t>EV</t>
  </si>
  <si>
    <t>per share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</si>
  <si>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</si>
  <si>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</si>
  <si>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</si>
  <si>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</si>
  <si>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</si>
  <si>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</si>
  <si>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</si>
  <si>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</si>
  <si>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</si>
  <si>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ARPU y/y</t>
  </si>
  <si>
    <t>ARPU</t>
  </si>
  <si>
    <t>Q118</t>
  </si>
  <si>
    <t>Q218</t>
  </si>
  <si>
    <t>Q418</t>
  </si>
  <si>
    <t>31/3/2018</t>
  </si>
  <si>
    <t>30/6/2018</t>
  </si>
  <si>
    <t>30/9/2018</t>
  </si>
  <si>
    <t>31/12/2018</t>
  </si>
  <si>
    <t>Gross food sales</t>
  </si>
  <si>
    <t>Platform</t>
  </si>
  <si>
    <t>NI 12M</t>
  </si>
  <si>
    <t>Active diners y/y</t>
  </si>
  <si>
    <t>Platform y/y</t>
  </si>
  <si>
    <t>Q119</t>
  </si>
  <si>
    <t>31/3/2019</t>
  </si>
  <si>
    <t>30/6/2019</t>
  </si>
  <si>
    <t>Q219</t>
  </si>
  <si>
    <t>Q319</t>
  </si>
  <si>
    <t>Q419</t>
  </si>
  <si>
    <t>30/9/2019</t>
  </si>
  <si>
    <t>31/12/2019</t>
  </si>
  <si>
    <t>OE y/y</t>
  </si>
  <si>
    <t>Risk-free rate + market premium (opportunity cost)</t>
  </si>
  <si>
    <t>Net present value on future net income (terminal value)</t>
  </si>
  <si>
    <t>http://www.worldgovernmentbonds.com/country/united-states/</t>
  </si>
  <si>
    <t>BADWILL</t>
  </si>
  <si>
    <t>08/05/2020</t>
  </si>
  <si>
    <t>350-370</t>
  </si>
  <si>
    <t>31/3/2020</t>
  </si>
  <si>
    <t>1 340-1 390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</si>
</sst>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4" fontId="5" fillId="0" borderId="0" xfId="0" applyNumberFormat="1" applyFont="1" applyBorder="1"/>
    <xf numFmtId="0" fontId="5" fillId="0" borderId="0" xfId="0" applyFont="1" applyBorder="1"/>
    <xf numFmtId="10" fontId="5" fillId="0" borderId="0" xfId="0" applyNumberFormat="1" applyFont="1"/>
    <xf numFmtId="3" fontId="5" fillId="0" borderId="0" xfId="0" applyNumberFormat="1" applyFont="1" applyBorder="1"/>
    <xf numFmtId="0" fontId="6" fillId="0" borderId="0" xfId="0" applyFont="1"/>
    <xf numFmtId="3" fontId="5" fillId="2" borderId="0" xfId="0" applyNumberFormat="1" applyFont="1" applyFill="1" applyBorder="1"/>
    <xf numFmtId="164" fontId="5" fillId="2" borderId="0" xfId="0" applyNumberFormat="1" applyFont="1" applyFill="1"/>
    <xf numFmtId="0" fontId="7" fillId="0" borderId="0" xfId="0" applyFont="1" applyBorder="1"/>
    <xf numFmtId="164" fontId="7" fillId="2" borderId="0" xfId="0" applyNumberFormat="1" applyFont="1" applyFill="1"/>
    <xf numFmtId="4" fontId="5" fillId="2" borderId="0" xfId="0" applyNumberFormat="1" applyFont="1" applyFill="1" applyBorder="1"/>
    <xf numFmtId="0" fontId="6" fillId="0" borderId="0" xfId="0" applyFont="1" applyBorder="1"/>
    <xf numFmtId="4" fontId="5" fillId="2" borderId="0" xfId="0" applyNumberFormat="1" applyFont="1" applyFill="1"/>
    <xf numFmtId="9" fontId="5" fillId="0" borderId="0" xfId="0" applyNumberFormat="1" applyFont="1"/>
    <xf numFmtId="0" fontId="8" fillId="0" borderId="0" xfId="4" applyFont="1"/>
    <xf numFmtId="0" fontId="7" fillId="0" borderId="0" xfId="0" applyFont="1"/>
    <xf numFmtId="3" fontId="7" fillId="0" borderId="0" xfId="0" applyNumberFormat="1" applyFont="1" applyBorder="1"/>
    <xf numFmtId="3" fontId="5" fillId="0" borderId="0" xfId="0" applyNumberFormat="1" applyFont="1"/>
    <xf numFmtId="3" fontId="5" fillId="0" borderId="0" xfId="0" applyNumberFormat="1" applyFont="1" applyFill="1" applyBorder="1"/>
    <xf numFmtId="2" fontId="5" fillId="0" borderId="0" xfId="0" applyNumberFormat="1" applyFont="1" applyBorder="1"/>
    <xf numFmtId="9" fontId="7" fillId="0" borderId="0" xfId="1" applyFont="1" applyBorder="1"/>
    <xf numFmtId="9" fontId="5" fillId="0" borderId="0" xfId="1" applyFont="1" applyBorder="1"/>
    <xf numFmtId="9" fontId="5" fillId="0" borderId="0" xfId="0" applyNumberFormat="1" applyFont="1" applyBorder="1"/>
    <xf numFmtId="3" fontId="7" fillId="2" borderId="0" xfId="0" applyNumberFormat="1" applyFont="1" applyFill="1" applyBorder="1"/>
    <xf numFmtId="0" fontId="8" fillId="0" borderId="0" xfId="4" applyFont="1" applyAlignment="1">
      <alignment horizontal="lef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1" xfId="0" applyNumberFormat="1" applyFont="1" applyBorder="1"/>
    <xf numFmtId="0" fontId="5" fillId="0" borderId="0" xfId="0" applyFont="1" applyAlignment="1">
      <alignment horizontal="left"/>
    </xf>
    <xf numFmtId="3" fontId="5" fillId="0" borderId="1" xfId="0" applyNumberFormat="1" applyFont="1" applyBorder="1"/>
    <xf numFmtId="0" fontId="5" fillId="0" borderId="1" xfId="0" applyFont="1" applyBorder="1"/>
    <xf numFmtId="9" fontId="7" fillId="0" borderId="0" xfId="1" applyNumberFormat="1" applyFont="1" applyBorder="1"/>
    <xf numFmtId="9" fontId="7" fillId="0" borderId="1" xfId="1" applyNumberFormat="1" applyFont="1" applyBorder="1"/>
    <xf numFmtId="9" fontId="5" fillId="0" borderId="0" xfId="1" applyNumberFormat="1" applyFont="1" applyBorder="1"/>
    <xf numFmtId="9" fontId="5" fillId="0" borderId="1" xfId="1" applyNumberFormat="1" applyFont="1" applyBorder="1"/>
    <xf numFmtId="9" fontId="5" fillId="0" borderId="1" xfId="0" applyNumberFormat="1" applyFont="1" applyBorder="1"/>
    <xf numFmtId="9" fontId="5" fillId="0" borderId="1" xfId="1" applyFont="1" applyBorder="1"/>
    <xf numFmtId="9" fontId="5" fillId="0" borderId="0" xfId="1" applyFont="1"/>
    <xf numFmtId="0" fontId="5" fillId="0" borderId="0" xfId="0" applyFont="1" applyFill="1" applyBorder="1"/>
    <xf numFmtId="2" fontId="5" fillId="2" borderId="0" xfId="0" applyNumberFormat="1" applyFont="1" applyFill="1" applyBorder="1"/>
    <xf numFmtId="3" fontId="7" fillId="2" borderId="1" xfId="0" applyNumberFormat="1" applyFont="1" applyFill="1" applyBorder="1"/>
    <xf numFmtId="3" fontId="5" fillId="2" borderId="1" xfId="0" applyNumberFormat="1" applyFont="1" applyFill="1" applyBorder="1"/>
    <xf numFmtId="3" fontId="5" fillId="2" borderId="0" xfId="0" applyNumberFormat="1" applyFont="1" applyFill="1"/>
    <xf numFmtId="3" fontId="7" fillId="2" borderId="0" xfId="0" applyNumberFormat="1" applyFont="1" applyFill="1"/>
    <xf numFmtId="2" fontId="5" fillId="2" borderId="1" xfId="0" applyNumberFormat="1" applyFont="1" applyFill="1" applyBorder="1"/>
    <xf numFmtId="2" fontId="5" fillId="2" borderId="0" xfId="0" applyNumberFormat="1" applyFont="1" applyFill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right"/>
    </xf>
    <xf numFmtId="4" fontId="5" fillId="2" borderId="0" xfId="0" applyNumberFormat="1" applyFont="1" applyFill="1" applyAlignment="1">
      <alignment horizontal="right"/>
    </xf>
    <xf numFmtId="165" fontId="5" fillId="0" borderId="0" xfId="0" applyNumberFormat="1" applyFont="1" applyBorder="1"/>
    <xf numFmtId="4" fontId="5" fillId="2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/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65" fontId="5" fillId="0" borderId="0" xfId="0" applyNumberFormat="1" applyFont="1" applyFill="1"/>
    <xf numFmtId="9" fontId="7" fillId="0" borderId="0" xfId="1" applyNumberFormat="1" applyFont="1" applyFill="1" applyBorder="1"/>
    <xf numFmtId="9" fontId="5" fillId="0" borderId="0" xfId="1" applyNumberFormat="1" applyFont="1" applyFill="1" applyBorder="1"/>
    <xf numFmtId="9" fontId="5" fillId="0" borderId="0" xfId="0" applyNumberFormat="1" applyFont="1" applyFill="1" applyBorder="1"/>
    <xf numFmtId="9" fontId="5" fillId="0" borderId="0" xfId="1" applyFont="1" applyFill="1" applyBorder="1"/>
    <xf numFmtId="3" fontId="5" fillId="0" borderId="0" xfId="0" applyNumberFormat="1" applyFont="1" applyFill="1"/>
    <xf numFmtId="0" fontId="5" fillId="0" borderId="0" xfId="0" applyFont="1" applyFill="1"/>
    <xf numFmtId="4" fontId="5" fillId="0" borderId="0" xfId="0" applyNumberFormat="1" applyFont="1"/>
    <xf numFmtId="3" fontId="6" fillId="0" borderId="0" xfId="0" applyNumberFormat="1" applyFont="1" applyFill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lef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9" fillId="0" borderId="0" xfId="0" applyFont="1" applyBorder="1"/>
    <xf numFmtId="9" fontId="6" fillId="0" borderId="0" xfId="1" applyFont="1" applyBorder="1"/>
    <xf numFmtId="0" fontId="6" fillId="0" borderId="0" xfId="0" applyFont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9</xdr:row>
      <xdr:rowOff>12700</xdr:rowOff>
    </xdr:from>
    <xdr:to>
      <xdr:col>6</xdr:col>
      <xdr:colOff>190500</xdr:colOff>
      <xdr:row>60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702300" y="1498600"/>
          <a:ext cx="0" cy="8064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239889</xdr:colOff>
      <xdr:row>1</xdr:row>
      <xdr:rowOff>14111</xdr:rowOff>
    </xdr:from>
    <xdr:to>
      <xdr:col>22</xdr:col>
      <xdr:colOff>239889</xdr:colOff>
      <xdr:row>56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9061289" y="179211"/>
          <a:ext cx="0" cy="906638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grubhub.com/investors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grub&amp;owner=exclude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6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42" sqref="H42"/>
    </sheetView>
  </sheetViews>
  <sheetFormatPr baseColWidth="10" defaultRowHeight="13" x14ac:dyDescent="0.15"/>
  <cols>
    <col min="1" max="1" width="18.1640625" style="1" bestFit="1" customWidth="1"/>
    <col min="2" max="16384" width="10.83203125" style="1"/>
  </cols>
  <sheetData>
    <row r="1" spans="1:21" x14ac:dyDescent="0.15">
      <c r="A1" s="15" t="s">
        <v>55</v>
      </c>
      <c r="B1" s="16" t="s">
        <v>59</v>
      </c>
    </row>
    <row r="2" spans="1:21" x14ac:dyDescent="0.15">
      <c r="B2" s="1" t="s">
        <v>61</v>
      </c>
      <c r="C2" s="2">
        <v>46.82</v>
      </c>
      <c r="D2" s="1" t="s">
        <v>103</v>
      </c>
      <c r="E2" s="3" t="s">
        <v>29</v>
      </c>
      <c r="F2" s="4">
        <v>5.0000000000000001E-3</v>
      </c>
      <c r="I2" s="18"/>
    </row>
    <row r="3" spans="1:21" x14ac:dyDescent="0.15">
      <c r="A3" s="16" t="s">
        <v>56</v>
      </c>
      <c r="B3" s="1" t="s">
        <v>17</v>
      </c>
      <c r="C3" s="5">
        <f>Reports!U21</f>
        <v>91.509</v>
      </c>
      <c r="D3" s="1" t="s">
        <v>95</v>
      </c>
      <c r="E3" s="3" t="s">
        <v>30</v>
      </c>
      <c r="F3" s="4">
        <v>0.02</v>
      </c>
      <c r="G3" s="6" t="s">
        <v>63</v>
      </c>
      <c r="I3" s="18"/>
    </row>
    <row r="4" spans="1:21" x14ac:dyDescent="0.15">
      <c r="A4" s="1" t="s">
        <v>58</v>
      </c>
      <c r="B4" s="1" t="s">
        <v>64</v>
      </c>
      <c r="C4" s="7">
        <f>C2*C3</f>
        <v>4284.4513800000004</v>
      </c>
      <c r="E4" s="3" t="s">
        <v>31</v>
      </c>
      <c r="F4" s="4">
        <f>6%</f>
        <v>0.06</v>
      </c>
      <c r="G4" s="6" t="s">
        <v>99</v>
      </c>
      <c r="I4" s="14"/>
      <c r="L4" s="15" t="s">
        <v>101</v>
      </c>
    </row>
    <row r="5" spans="1:21" x14ac:dyDescent="0.15">
      <c r="B5" s="1" t="s">
        <v>26</v>
      </c>
      <c r="C5" s="5">
        <f>Reports!U32</f>
        <v>-67.825000000000045</v>
      </c>
      <c r="D5" s="1" t="s">
        <v>95</v>
      </c>
      <c r="E5" s="3" t="s">
        <v>32</v>
      </c>
      <c r="F5" s="8">
        <f>NPV(F4,G27:EP27)</f>
        <v>1577.7573700999483</v>
      </c>
      <c r="G5" s="6" t="s">
        <v>100</v>
      </c>
      <c r="I5" s="14"/>
    </row>
    <row r="6" spans="1:21" x14ac:dyDescent="0.15">
      <c r="A6" s="16" t="s">
        <v>57</v>
      </c>
      <c r="B6" s="1" t="s">
        <v>65</v>
      </c>
      <c r="C6" s="7">
        <f>C4-C5</f>
        <v>4352.2763800000002</v>
      </c>
      <c r="E6" s="9" t="s">
        <v>33</v>
      </c>
      <c r="F6" s="10">
        <f>F5+C5</f>
        <v>1509.9323700999482</v>
      </c>
      <c r="I6" s="14"/>
    </row>
    <row r="7" spans="1:21" x14ac:dyDescent="0.15">
      <c r="A7" s="1" t="s">
        <v>58</v>
      </c>
      <c r="B7" s="6" t="s">
        <v>66</v>
      </c>
      <c r="C7" s="11">
        <f>C6/C3</f>
        <v>47.56118392726399</v>
      </c>
      <c r="E7" s="12" t="s">
        <v>66</v>
      </c>
      <c r="F7" s="13">
        <f>F6/C3</f>
        <v>16.500370128620663</v>
      </c>
      <c r="G7" s="14">
        <f>F7/C2-1</f>
        <v>-0.64757859614223268</v>
      </c>
    </row>
    <row r="10" spans="1:21" x14ac:dyDescent="0.15">
      <c r="B10" s="1">
        <v>2015</v>
      </c>
      <c r="C10" s="1">
        <v>2016</v>
      </c>
      <c r="D10" s="1">
        <v>2017</v>
      </c>
      <c r="E10" s="1">
        <f>D10+1</f>
        <v>2018</v>
      </c>
      <c r="F10" s="1">
        <f t="shared" ref="F10:P10" si="0">E10+1</f>
        <v>2019</v>
      </c>
      <c r="G10" s="1">
        <f t="shared" si="0"/>
        <v>2020</v>
      </c>
      <c r="H10" s="1">
        <f t="shared" si="0"/>
        <v>2021</v>
      </c>
      <c r="I10" s="1">
        <f t="shared" si="0"/>
        <v>2022</v>
      </c>
      <c r="J10" s="1">
        <f t="shared" si="0"/>
        <v>2023</v>
      </c>
      <c r="K10" s="1">
        <f t="shared" si="0"/>
        <v>2024</v>
      </c>
      <c r="L10" s="1">
        <f t="shared" si="0"/>
        <v>2025</v>
      </c>
      <c r="M10" s="1">
        <f t="shared" si="0"/>
        <v>2026</v>
      </c>
      <c r="N10" s="1">
        <f t="shared" si="0"/>
        <v>2027</v>
      </c>
      <c r="O10" s="1">
        <f t="shared" si="0"/>
        <v>2028</v>
      </c>
      <c r="P10" s="1">
        <f t="shared" si="0"/>
        <v>2029</v>
      </c>
    </row>
    <row r="11" spans="1:21" x14ac:dyDescent="0.15">
      <c r="A11" s="1" t="s">
        <v>86</v>
      </c>
      <c r="B11" s="18">
        <f>SUM(Reports!B3:E3)</f>
        <v>361.82499999999999</v>
      </c>
      <c r="C11" s="18">
        <f>SUM(Reports!F3:I3)</f>
        <v>493.33100000000002</v>
      </c>
      <c r="D11" s="18">
        <f>SUM(Reports!J3:M3)</f>
        <v>683.06700000000001</v>
      </c>
      <c r="E11" s="18">
        <f>SUM(Reports!N3:Q3)</f>
        <v>1007.2570000000001</v>
      </c>
      <c r="F11" s="18">
        <f>SUM(Reports!R3:U3)</f>
        <v>1312.098</v>
      </c>
    </row>
    <row r="13" spans="1:21" s="51" customFormat="1" x14ac:dyDescent="0.15">
      <c r="A13" s="51" t="s">
        <v>53</v>
      </c>
      <c r="B13" s="51">
        <f>Reports!E5</f>
        <v>6.7460000000000004</v>
      </c>
      <c r="C13" s="51">
        <f>Reports!I5</f>
        <v>8.1739999999999995</v>
      </c>
      <c r="D13" s="57">
        <f>Reports!M5</f>
        <v>14.462</v>
      </c>
      <c r="E13" s="51">
        <f>Reports!Q5</f>
        <v>17.687999999999999</v>
      </c>
      <c r="F13" s="51">
        <f>E13*1.25</f>
        <v>22.11</v>
      </c>
      <c r="G13" s="51">
        <f>F13*1.2</f>
        <v>26.532</v>
      </c>
      <c r="H13" s="51">
        <f t="shared" ref="H13:K13" si="1">G13*1.2</f>
        <v>31.8384</v>
      </c>
      <c r="I13" s="51">
        <f t="shared" si="1"/>
        <v>38.20608</v>
      </c>
      <c r="J13" s="51">
        <f t="shared" si="1"/>
        <v>45.847296</v>
      </c>
      <c r="K13" s="51">
        <f t="shared" si="1"/>
        <v>55.016755199999999</v>
      </c>
    </row>
    <row r="14" spans="1:21" s="69" customFormat="1" x14ac:dyDescent="0.15">
      <c r="A14" s="69" t="s">
        <v>77</v>
      </c>
      <c r="B14" s="13">
        <f>B11/B13</f>
        <v>53.635487696412682</v>
      </c>
      <c r="C14" s="13">
        <f>C11/C13</f>
        <v>60.353682407633968</v>
      </c>
      <c r="D14" s="13">
        <f>D11/D13</f>
        <v>47.231848983543081</v>
      </c>
      <c r="E14" s="13">
        <f>E11/E13</f>
        <v>56.945782451379472</v>
      </c>
      <c r="F14" s="13">
        <f>F11/F13</f>
        <v>59.344097693351422</v>
      </c>
      <c r="G14" s="69">
        <f>F14*0.98</f>
        <v>58.157215739484393</v>
      </c>
      <c r="H14" s="69">
        <f t="shared" ref="H14:K14" si="2">G14*0.98</f>
        <v>56.994071424694702</v>
      </c>
      <c r="I14" s="69">
        <f t="shared" si="2"/>
        <v>55.854189996200809</v>
      </c>
      <c r="J14" s="69">
        <f t="shared" si="2"/>
        <v>54.737106196276791</v>
      </c>
      <c r="K14" s="69">
        <f t="shared" si="2"/>
        <v>53.642364072351256</v>
      </c>
    </row>
    <row r="15" spans="1:21" s="77" customFormat="1" x14ac:dyDescent="0.15">
      <c r="F15" s="77" t="s">
        <v>106</v>
      </c>
    </row>
    <row r="16" spans="1:21" x14ac:dyDescent="0.15">
      <c r="A16" s="16" t="s">
        <v>4</v>
      </c>
      <c r="B16" s="24">
        <f>B14*B13</f>
        <v>361.82499999999999</v>
      </c>
      <c r="C16" s="24">
        <f>C14*C13</f>
        <v>493.33100000000002</v>
      </c>
      <c r="D16" s="24">
        <f>D14*D13</f>
        <v>683.06700000000001</v>
      </c>
      <c r="E16" s="24">
        <f>E14*E13</f>
        <v>1007.2570000000001</v>
      </c>
      <c r="F16" s="24">
        <f>F14*F13</f>
        <v>1312.098</v>
      </c>
      <c r="G16" s="17">
        <f>G13*G14</f>
        <v>1543.0272479999999</v>
      </c>
      <c r="H16" s="17">
        <f t="shared" ref="H16:K16" si="3">H13*H14</f>
        <v>1814.6000436479999</v>
      </c>
      <c r="I16" s="17">
        <f t="shared" si="3"/>
        <v>2133.9696513300478</v>
      </c>
      <c r="J16" s="17">
        <f t="shared" si="3"/>
        <v>2509.548309964136</v>
      </c>
      <c r="K16" s="17">
        <f t="shared" si="3"/>
        <v>2951.2288125178243</v>
      </c>
      <c r="L16" s="17">
        <f>K16*1.1</f>
        <v>3246.3516937696068</v>
      </c>
      <c r="M16" s="17">
        <f t="shared" ref="L16:P16" si="4">L16*1.1</f>
        <v>3570.9868631465679</v>
      </c>
      <c r="N16" s="17">
        <f t="shared" si="4"/>
        <v>3928.0855494612251</v>
      </c>
      <c r="O16" s="17">
        <f t="shared" si="4"/>
        <v>4320.8941044073481</v>
      </c>
      <c r="P16" s="17">
        <f t="shared" si="4"/>
        <v>4752.9835148480834</v>
      </c>
      <c r="Q16" s="17"/>
      <c r="R16" s="17"/>
      <c r="S16" s="17"/>
      <c r="T16" s="17"/>
      <c r="U16" s="17"/>
    </row>
    <row r="17" spans="1:146" x14ac:dyDescent="0.15">
      <c r="A17" s="1" t="s">
        <v>5</v>
      </c>
      <c r="B17" s="18">
        <f>SUM(Reports!B9:E9)</f>
        <v>107.42400000000001</v>
      </c>
      <c r="C17" s="18">
        <f>SUM(Reports!F9:I9)</f>
        <v>171.756</v>
      </c>
      <c r="D17" s="18">
        <f>SUM(Reports!J9:M9)</f>
        <v>269.45300000000003</v>
      </c>
      <c r="E17" s="5">
        <f>SUM(Reports!N9:Q9)</f>
        <v>454.32100000000003</v>
      </c>
      <c r="F17" s="18">
        <f>SUM(Reports!R9:U9)</f>
        <v>675.08399999999995</v>
      </c>
      <c r="G17" s="5">
        <f>G16-G18</f>
        <v>793.89878399999998</v>
      </c>
      <c r="H17" s="5">
        <f t="shared" ref="G17:H17" si="5">H16-H18</f>
        <v>933.62496998400002</v>
      </c>
      <c r="I17" s="5">
        <f t="shared" ref="I17:P17" si="6">I16-I18</f>
        <v>1097.9429647011839</v>
      </c>
      <c r="J17" s="5">
        <f t="shared" si="6"/>
        <v>1291.1809264885921</v>
      </c>
      <c r="K17" s="5">
        <f t="shared" si="6"/>
        <v>1518.4287695505845</v>
      </c>
      <c r="L17" s="5">
        <f t="shared" si="6"/>
        <v>1670.271646505643</v>
      </c>
      <c r="M17" s="5">
        <f t="shared" si="6"/>
        <v>1837.2988111562076</v>
      </c>
      <c r="N17" s="5">
        <f t="shared" si="6"/>
        <v>2021.0286922718287</v>
      </c>
      <c r="O17" s="5">
        <f t="shared" si="6"/>
        <v>2223.1315614990117</v>
      </c>
      <c r="P17" s="5">
        <f t="shared" si="6"/>
        <v>2445.444717648913</v>
      </c>
      <c r="Q17" s="5"/>
      <c r="R17" s="5"/>
      <c r="S17" s="5"/>
      <c r="T17" s="5"/>
      <c r="U17" s="5"/>
    </row>
    <row r="18" spans="1:146" x14ac:dyDescent="0.15">
      <c r="A18" s="1" t="s">
        <v>6</v>
      </c>
      <c r="B18" s="7">
        <f>B16-B17</f>
        <v>254.40099999999998</v>
      </c>
      <c r="C18" s="7">
        <f>C16-C17</f>
        <v>321.57500000000005</v>
      </c>
      <c r="D18" s="7">
        <f>D16-D17</f>
        <v>413.61399999999998</v>
      </c>
      <c r="E18" s="7">
        <f>E16-E17</f>
        <v>552.93600000000004</v>
      </c>
      <c r="F18" s="7">
        <f>F16-F17</f>
        <v>637.01400000000001</v>
      </c>
      <c r="G18" s="5">
        <f t="shared" ref="G18:P18" si="7">G16*F31</f>
        <v>749.12846399999989</v>
      </c>
      <c r="H18" s="5">
        <f t="shared" si="7"/>
        <v>880.97507366399986</v>
      </c>
      <c r="I18" s="5">
        <f t="shared" si="7"/>
        <v>1036.0266866288639</v>
      </c>
      <c r="J18" s="5">
        <f t="shared" si="7"/>
        <v>1218.3673834755439</v>
      </c>
      <c r="K18" s="5">
        <f t="shared" si="7"/>
        <v>1432.8000429672397</v>
      </c>
      <c r="L18" s="5">
        <f t="shared" si="7"/>
        <v>1576.0800472639637</v>
      </c>
      <c r="M18" s="5">
        <f t="shared" si="7"/>
        <v>1733.6880519903602</v>
      </c>
      <c r="N18" s="5">
        <f t="shared" si="7"/>
        <v>1907.0568571893964</v>
      </c>
      <c r="O18" s="5">
        <f t="shared" si="7"/>
        <v>2097.7625429083364</v>
      </c>
      <c r="P18" s="5">
        <f t="shared" si="7"/>
        <v>2307.5387971991704</v>
      </c>
      <c r="Q18" s="5"/>
      <c r="R18" s="5"/>
      <c r="S18" s="5"/>
      <c r="T18" s="5"/>
      <c r="U18" s="5"/>
    </row>
    <row r="19" spans="1:146" x14ac:dyDescent="0.15">
      <c r="A19" s="1" t="s">
        <v>7</v>
      </c>
      <c r="B19" s="18">
        <f>SUM(Reports!B11:E11)</f>
        <v>32.782000000000004</v>
      </c>
      <c r="C19" s="18">
        <f>SUM(Reports!F11:I11)</f>
        <v>42.454000000000001</v>
      </c>
      <c r="D19" s="18">
        <f>SUM(Reports!J11:M11)</f>
        <v>56.263000000000005</v>
      </c>
      <c r="E19" s="5">
        <f>SUM(Reports!N11:Q11)</f>
        <v>82.277999999999992</v>
      </c>
      <c r="F19" s="18">
        <f>SUM(Reports!R11:U11)</f>
        <v>114.81400000000001</v>
      </c>
      <c r="G19" s="5">
        <f>F19*1.2</f>
        <v>137.77680000000001</v>
      </c>
      <c r="H19" s="5">
        <f t="shared" ref="H19:K19" si="8">G19*1.2</f>
        <v>165.33216000000002</v>
      </c>
      <c r="I19" s="5">
        <f t="shared" si="8"/>
        <v>198.39859200000001</v>
      </c>
      <c r="J19" s="5">
        <f t="shared" si="8"/>
        <v>238.07831039999999</v>
      </c>
      <c r="K19" s="5">
        <f t="shared" si="8"/>
        <v>285.69397247999996</v>
      </c>
      <c r="L19" s="5">
        <f t="shared" ref="L19:P19" si="9">K19*1.1</f>
        <v>314.26336972799999</v>
      </c>
      <c r="M19" s="5">
        <f t="shared" si="9"/>
        <v>345.6897067008</v>
      </c>
      <c r="N19" s="5">
        <f t="shared" si="9"/>
        <v>380.25867737088004</v>
      </c>
      <c r="O19" s="5">
        <f t="shared" si="9"/>
        <v>418.28454510796809</v>
      </c>
      <c r="P19" s="5">
        <f t="shared" si="9"/>
        <v>460.11299961876495</v>
      </c>
      <c r="Q19" s="5"/>
      <c r="R19" s="5"/>
      <c r="S19" s="5"/>
      <c r="T19" s="5"/>
      <c r="U19" s="5"/>
    </row>
    <row r="20" spans="1:146" x14ac:dyDescent="0.15">
      <c r="A20" s="1" t="s">
        <v>8</v>
      </c>
      <c r="B20" s="18">
        <f>SUM(Reports!B12:E12)</f>
        <v>91.15</v>
      </c>
      <c r="C20" s="18">
        <f>SUM(Reports!F12:I12)</f>
        <v>110.32299999999999</v>
      </c>
      <c r="D20" s="18">
        <f>SUM(Reports!J12:M12)</f>
        <v>150.73000000000002</v>
      </c>
      <c r="E20" s="5">
        <f>SUM(Reports!N12:Q12)</f>
        <v>214.29000000000002</v>
      </c>
      <c r="F20" s="18">
        <f>SUM(Reports!R12:U12)</f>
        <v>310.68200000000002</v>
      </c>
      <c r="G20" s="5">
        <f t="shared" ref="G20:K20" si="10">F20*1.2</f>
        <v>372.8184</v>
      </c>
      <c r="H20" s="5">
        <f t="shared" si="10"/>
        <v>447.38207999999997</v>
      </c>
      <c r="I20" s="5">
        <f t="shared" si="10"/>
        <v>536.85849599999995</v>
      </c>
      <c r="J20" s="5">
        <f t="shared" si="10"/>
        <v>644.23019519999991</v>
      </c>
      <c r="K20" s="5">
        <f t="shared" si="10"/>
        <v>773.07623423999985</v>
      </c>
      <c r="L20" s="5">
        <f t="shared" ref="L20:P20" si="11">K20*1.05</f>
        <v>811.73004595199984</v>
      </c>
      <c r="M20" s="5">
        <f t="shared" si="11"/>
        <v>852.31654824959992</v>
      </c>
      <c r="N20" s="5">
        <f t="shared" si="11"/>
        <v>894.93237566207995</v>
      </c>
      <c r="O20" s="5">
        <f t="shared" si="11"/>
        <v>939.678994445184</v>
      </c>
      <c r="P20" s="5">
        <f t="shared" si="11"/>
        <v>986.66294416744324</v>
      </c>
      <c r="Q20" s="5"/>
      <c r="R20" s="5"/>
      <c r="S20" s="5"/>
      <c r="T20" s="5"/>
      <c r="U20" s="5"/>
    </row>
    <row r="21" spans="1:146" x14ac:dyDescent="0.15">
      <c r="A21" s="1" t="s">
        <v>9</v>
      </c>
      <c r="B21" s="18">
        <f>SUM(Reports!B13:E13)</f>
        <v>68.540000000000006</v>
      </c>
      <c r="C21" s="18">
        <f>SUM(Reports!F13:I13)</f>
        <v>84.945999999999998</v>
      </c>
      <c r="D21" s="18">
        <f>SUM(Reports!J13:M13)</f>
        <v>115.96299999999999</v>
      </c>
      <c r="E21" s="5">
        <f>SUM(Reports!N13:Q13)</f>
        <v>171.405</v>
      </c>
      <c r="F21" s="18">
        <f>SUM(Reports!R13:U13)</f>
        <v>217.38899999999998</v>
      </c>
      <c r="G21" s="5">
        <f t="shared" ref="G21:K21" si="12">F21*1.25</f>
        <v>271.73624999999998</v>
      </c>
      <c r="H21" s="5">
        <f t="shared" si="12"/>
        <v>339.67031249999997</v>
      </c>
      <c r="I21" s="5">
        <f t="shared" si="12"/>
        <v>424.58789062499994</v>
      </c>
      <c r="J21" s="5">
        <f t="shared" si="12"/>
        <v>530.73486328124989</v>
      </c>
      <c r="K21" s="5">
        <f t="shared" si="12"/>
        <v>663.41857910156239</v>
      </c>
      <c r="L21" s="5">
        <f t="shared" ref="L21:P21" si="13">K21*0.98</f>
        <v>650.15020751953114</v>
      </c>
      <c r="M21" s="5">
        <f t="shared" si="13"/>
        <v>637.14720336914047</v>
      </c>
      <c r="N21" s="5">
        <f t="shared" si="13"/>
        <v>624.40425930175763</v>
      </c>
      <c r="O21" s="5">
        <f t="shared" si="13"/>
        <v>611.91617411572247</v>
      </c>
      <c r="P21" s="5">
        <f t="shared" si="13"/>
        <v>599.67785063340796</v>
      </c>
      <c r="Q21" s="5"/>
      <c r="R21" s="5"/>
      <c r="S21" s="5"/>
      <c r="T21" s="5"/>
      <c r="U21" s="5"/>
    </row>
    <row r="22" spans="1:146" x14ac:dyDescent="0.15">
      <c r="A22" s="1" t="s">
        <v>10</v>
      </c>
      <c r="B22" s="7">
        <f>SUM(B19:B21)</f>
        <v>192.47200000000004</v>
      </c>
      <c r="C22" s="7">
        <f>SUM(C19:C21)</f>
        <v>237.72299999999998</v>
      </c>
      <c r="D22" s="7">
        <f>SUM(D19:D21)</f>
        <v>322.95600000000002</v>
      </c>
      <c r="E22" s="7">
        <f>SUM(E19:E21)</f>
        <v>467.97299999999996</v>
      </c>
      <c r="F22" s="7">
        <f>SUM(F19:F21)</f>
        <v>642.88499999999999</v>
      </c>
      <c r="G22" s="5">
        <f t="shared" ref="G22:H22" si="14">SUM(G19:G21)</f>
        <v>782.3314499999999</v>
      </c>
      <c r="H22" s="5">
        <f t="shared" si="14"/>
        <v>952.38455249999993</v>
      </c>
      <c r="I22" s="5">
        <f t="shared" ref="I22:P22" si="15">SUM(I19:I21)</f>
        <v>1159.8449786249998</v>
      </c>
      <c r="J22" s="5">
        <f t="shared" si="15"/>
        <v>1413.0433688812498</v>
      </c>
      <c r="K22" s="5">
        <f t="shared" si="15"/>
        <v>1722.1887858215623</v>
      </c>
      <c r="L22" s="5">
        <f t="shared" si="15"/>
        <v>1776.1436231995308</v>
      </c>
      <c r="M22" s="5">
        <f t="shared" si="15"/>
        <v>1835.1534583195405</v>
      </c>
      <c r="N22" s="5">
        <f t="shared" si="15"/>
        <v>1899.5953123347176</v>
      </c>
      <c r="O22" s="5">
        <f t="shared" si="15"/>
        <v>1969.8797136688745</v>
      </c>
      <c r="P22" s="5">
        <f t="shared" si="15"/>
        <v>2046.4537944196163</v>
      </c>
      <c r="Q22" s="5"/>
      <c r="R22" s="5"/>
      <c r="S22" s="5"/>
      <c r="T22" s="5"/>
      <c r="U22" s="5"/>
    </row>
    <row r="23" spans="1:146" x14ac:dyDescent="0.15">
      <c r="A23" s="1" t="s">
        <v>11</v>
      </c>
      <c r="B23" s="7">
        <f>B18-B22</f>
        <v>61.928999999999945</v>
      </c>
      <c r="C23" s="7">
        <f>C18-C22</f>
        <v>83.852000000000061</v>
      </c>
      <c r="D23" s="7">
        <f>D18-D22</f>
        <v>90.657999999999959</v>
      </c>
      <c r="E23" s="7">
        <f>E18-E22</f>
        <v>84.963000000000079</v>
      </c>
      <c r="F23" s="7">
        <f>F18-F22</f>
        <v>-5.8709999999999809</v>
      </c>
      <c r="G23" s="5">
        <f t="shared" ref="G23:H23" si="16">G18-G22</f>
        <v>-33.20298600000001</v>
      </c>
      <c r="H23" s="5">
        <f t="shared" si="16"/>
        <v>-71.409478836000062</v>
      </c>
      <c r="I23" s="5">
        <f t="shared" ref="I23:P23" si="17">I18-I22</f>
        <v>-123.81829199613594</v>
      </c>
      <c r="J23" s="5">
        <f t="shared" si="17"/>
        <v>-194.67598540570589</v>
      </c>
      <c r="K23" s="5">
        <f t="shared" si="17"/>
        <v>-289.38874285432257</v>
      </c>
      <c r="L23" s="5">
        <f t="shared" si="17"/>
        <v>-200.06357593556709</v>
      </c>
      <c r="M23" s="5">
        <f t="shared" si="17"/>
        <v>-101.46540632918027</v>
      </c>
      <c r="N23" s="5">
        <f t="shared" si="17"/>
        <v>7.4615448546787775</v>
      </c>
      <c r="O23" s="5">
        <f t="shared" si="17"/>
        <v>127.8828292394619</v>
      </c>
      <c r="P23" s="5">
        <f t="shared" si="17"/>
        <v>261.08500277955409</v>
      </c>
      <c r="Q23" s="5"/>
      <c r="R23" s="5"/>
      <c r="S23" s="5"/>
      <c r="T23" s="5"/>
      <c r="U23" s="5"/>
    </row>
    <row r="24" spans="1:146" x14ac:dyDescent="0.15">
      <c r="A24" s="1" t="s">
        <v>12</v>
      </c>
      <c r="B24" s="18">
        <f>SUM(Reports!B16:E16)</f>
        <v>0</v>
      </c>
      <c r="C24" s="18">
        <f>SUM(Reports!F16:I16)</f>
        <v>0</v>
      </c>
      <c r="D24" s="18">
        <f>SUM(Reports!J16:M16)</f>
        <v>-1.01</v>
      </c>
      <c r="E24" s="5">
        <f>SUM(Reports!N16:Q16)</f>
        <v>-2.84</v>
      </c>
      <c r="F24" s="18">
        <f>SUM(Reports!R16:U16)</f>
        <v>-20.468</v>
      </c>
      <c r="G24" s="5">
        <f t="shared" ref="G24:P24" si="18">F41*$F$3</f>
        <v>-1.3565000000000009</v>
      </c>
      <c r="H24" s="5">
        <f t="shared" si="18"/>
        <v>-1.9440112620000012</v>
      </c>
      <c r="I24" s="5">
        <f t="shared" si="18"/>
        <v>-3.1910205936660021</v>
      </c>
      <c r="J24" s="5">
        <f t="shared" si="18"/>
        <v>-5.3501789076926345</v>
      </c>
      <c r="K24" s="5">
        <f t="shared" si="18"/>
        <v>-8.7506237010204089</v>
      </c>
      <c r="L24" s="5">
        <f t="shared" si="18"/>
        <v>-13.81899293246124</v>
      </c>
      <c r="M24" s="5">
        <f t="shared" si="18"/>
        <v>-17.454996603217722</v>
      </c>
      <c r="N24" s="5">
        <f t="shared" si="18"/>
        <v>-19.476643453068487</v>
      </c>
      <c r="O24" s="5">
        <f t="shared" si="18"/>
        <v>-19.68090012924111</v>
      </c>
      <c r="P24" s="5">
        <f t="shared" si="18"/>
        <v>-17.841467334367358</v>
      </c>
      <c r="Q24" s="5"/>
      <c r="R24" s="5"/>
      <c r="S24" s="5"/>
      <c r="T24" s="5"/>
      <c r="U24" s="5"/>
    </row>
    <row r="25" spans="1:146" x14ac:dyDescent="0.15">
      <c r="A25" s="1" t="s">
        <v>13</v>
      </c>
      <c r="B25" s="7">
        <f>SUM(Reports!B17:E17)</f>
        <v>61.928999999999995</v>
      </c>
      <c r="C25" s="7">
        <f>C23+C24</f>
        <v>83.852000000000061</v>
      </c>
      <c r="D25" s="7">
        <f>D23+D24</f>
        <v>89.647999999999954</v>
      </c>
      <c r="E25" s="7">
        <f>E23+E24</f>
        <v>82.123000000000076</v>
      </c>
      <c r="F25" s="7">
        <f>F23+F24</f>
        <v>-26.338999999999981</v>
      </c>
      <c r="G25" s="5">
        <f t="shared" ref="G25:H25" si="19">G23+G24</f>
        <v>-34.559486000000014</v>
      </c>
      <c r="H25" s="5">
        <f t="shared" si="19"/>
        <v>-73.353490098000066</v>
      </c>
      <c r="I25" s="5">
        <f t="shared" ref="I25:P25" si="20">I23+I24</f>
        <v>-127.00931258980194</v>
      </c>
      <c r="J25" s="5">
        <f t="shared" si="20"/>
        <v>-200.02616431339851</v>
      </c>
      <c r="K25" s="5">
        <f t="shared" si="20"/>
        <v>-298.13936655534297</v>
      </c>
      <c r="L25" s="5">
        <f t="shared" si="20"/>
        <v>-213.88256886802833</v>
      </c>
      <c r="M25" s="5">
        <f t="shared" si="20"/>
        <v>-118.92040293239799</v>
      </c>
      <c r="N25" s="5">
        <f t="shared" si="20"/>
        <v>-12.015098598389709</v>
      </c>
      <c r="O25" s="5">
        <f t="shared" si="20"/>
        <v>108.20192911022079</v>
      </c>
      <c r="P25" s="5">
        <f t="shared" si="20"/>
        <v>243.24353544518672</v>
      </c>
      <c r="Q25" s="5"/>
      <c r="R25" s="5"/>
      <c r="S25" s="5"/>
      <c r="T25" s="5"/>
      <c r="U25" s="5"/>
    </row>
    <row r="26" spans="1:146" x14ac:dyDescent="0.15">
      <c r="A26" s="1" t="s">
        <v>14</v>
      </c>
      <c r="B26" s="18">
        <f>SUM(Reports!B18:E18)</f>
        <v>23.851999999999997</v>
      </c>
      <c r="C26" s="18">
        <f>SUM(Reports!F18:I18)</f>
        <v>34.295000000000002</v>
      </c>
      <c r="D26" s="18">
        <f>SUM(Reports!J18:M18)</f>
        <v>-9.3350000000000009</v>
      </c>
      <c r="E26" s="5">
        <f>SUM(Reports!N18:Q18)</f>
        <v>2.952</v>
      </c>
      <c r="F26" s="18">
        <f>SUM(Reports!R18:U18)</f>
        <v>-7.7629999999999999</v>
      </c>
      <c r="G26" s="5">
        <f>G25*0.15</f>
        <v>-5.1839229000000016</v>
      </c>
      <c r="H26" s="5">
        <f>H25*0.15</f>
        <v>-11.003023514700009</v>
      </c>
      <c r="I26" s="5">
        <f>I25*0.15</f>
        <v>-19.05139688847029</v>
      </c>
      <c r="J26" s="5">
        <f>J25*0.15</f>
        <v>-30.003924647009775</v>
      </c>
      <c r="K26" s="5">
        <f t="shared" ref="K26:P26" si="21">K25*0.15</f>
        <v>-44.720904983301445</v>
      </c>
      <c r="L26" s="5">
        <f t="shared" si="21"/>
        <v>-32.082385330204247</v>
      </c>
      <c r="M26" s="5">
        <f t="shared" si="21"/>
        <v>-17.838060439859699</v>
      </c>
      <c r="N26" s="5">
        <f t="shared" si="21"/>
        <v>-1.8022647897584563</v>
      </c>
      <c r="O26" s="5">
        <f t="shared" si="21"/>
        <v>16.230289366533118</v>
      </c>
      <c r="P26" s="5">
        <f t="shared" si="21"/>
        <v>36.486530316778008</v>
      </c>
      <c r="Q26" s="5"/>
      <c r="R26" s="5"/>
      <c r="S26" s="5"/>
      <c r="T26" s="5"/>
      <c r="U26" s="5"/>
    </row>
    <row r="27" spans="1:146" s="16" customFormat="1" x14ac:dyDescent="0.15">
      <c r="A27" s="16" t="s">
        <v>15</v>
      </c>
      <c r="B27" s="24">
        <f>B25-B26</f>
        <v>38.076999999999998</v>
      </c>
      <c r="C27" s="24">
        <f>C25-C26</f>
        <v>49.557000000000059</v>
      </c>
      <c r="D27" s="24">
        <f>D25-D26</f>
        <v>98.982999999999947</v>
      </c>
      <c r="E27" s="24">
        <f t="shared" ref="E27" si="22">E25-E26</f>
        <v>79.171000000000078</v>
      </c>
      <c r="F27" s="24">
        <f t="shared" ref="F27:H27" si="23">F25-F26</f>
        <v>-18.575999999999979</v>
      </c>
      <c r="G27" s="24">
        <f t="shared" si="23"/>
        <v>-29.375563100000011</v>
      </c>
      <c r="H27" s="24">
        <f t="shared" si="23"/>
        <v>-62.350466583300054</v>
      </c>
      <c r="I27" s="24">
        <f t="shared" ref="I27:P27" si="24">I25-I26</f>
        <v>-107.95791570133164</v>
      </c>
      <c r="J27" s="24">
        <f t="shared" si="24"/>
        <v>-170.02223966638874</v>
      </c>
      <c r="K27" s="24">
        <f t="shared" si="24"/>
        <v>-253.41846157204154</v>
      </c>
      <c r="L27" s="24">
        <f t="shared" si="24"/>
        <v>-181.80018353782407</v>
      </c>
      <c r="M27" s="24">
        <f t="shared" si="24"/>
        <v>-101.08234249253829</v>
      </c>
      <c r="N27" s="24">
        <f t="shared" si="24"/>
        <v>-10.212833808631252</v>
      </c>
      <c r="O27" s="24">
        <f t="shared" si="24"/>
        <v>91.971639743687675</v>
      </c>
      <c r="P27" s="24">
        <f t="shared" si="24"/>
        <v>206.75700512840871</v>
      </c>
      <c r="Q27" s="24">
        <f t="shared" ref="Q27:CB27" si="25">P27*($F$2+1)</f>
        <v>207.79079015405074</v>
      </c>
      <c r="R27" s="24">
        <f t="shared" si="25"/>
        <v>208.82974410482097</v>
      </c>
      <c r="S27" s="24">
        <f t="shared" si="25"/>
        <v>209.87389282534505</v>
      </c>
      <c r="T27" s="24">
        <f t="shared" si="25"/>
        <v>210.92326228947175</v>
      </c>
      <c r="U27" s="24">
        <f t="shared" si="25"/>
        <v>211.9778786009191</v>
      </c>
      <c r="V27" s="24">
        <f t="shared" si="25"/>
        <v>213.03776799392367</v>
      </c>
      <c r="W27" s="24">
        <f t="shared" si="25"/>
        <v>214.10295683389327</v>
      </c>
      <c r="X27" s="24">
        <f t="shared" si="25"/>
        <v>215.17347161806271</v>
      </c>
      <c r="Y27" s="24">
        <f t="shared" si="25"/>
        <v>216.24933897615298</v>
      </c>
      <c r="Z27" s="24">
        <f t="shared" si="25"/>
        <v>217.33058567103373</v>
      </c>
      <c r="AA27" s="24">
        <f t="shared" si="25"/>
        <v>218.41723859938887</v>
      </c>
      <c r="AB27" s="24">
        <f t="shared" si="25"/>
        <v>219.5093247923858</v>
      </c>
      <c r="AC27" s="24">
        <f t="shared" si="25"/>
        <v>220.6068714163477</v>
      </c>
      <c r="AD27" s="24">
        <f t="shared" si="25"/>
        <v>221.70990577342943</v>
      </c>
      <c r="AE27" s="24">
        <f t="shared" si="25"/>
        <v>222.81845530229654</v>
      </c>
      <c r="AF27" s="24">
        <f t="shared" si="25"/>
        <v>223.932547578808</v>
      </c>
      <c r="AG27" s="24">
        <f t="shared" si="25"/>
        <v>225.052210316702</v>
      </c>
      <c r="AH27" s="24">
        <f t="shared" si="25"/>
        <v>226.1774713682855</v>
      </c>
      <c r="AI27" s="24">
        <f t="shared" si="25"/>
        <v>227.30835872512691</v>
      </c>
      <c r="AJ27" s="24">
        <f t="shared" si="25"/>
        <v>228.44490051875252</v>
      </c>
      <c r="AK27" s="24">
        <f t="shared" si="25"/>
        <v>229.58712502134625</v>
      </c>
      <c r="AL27" s="24">
        <f t="shared" si="25"/>
        <v>230.73506064645295</v>
      </c>
      <c r="AM27" s="24">
        <f t="shared" si="25"/>
        <v>231.88873594968518</v>
      </c>
      <c r="AN27" s="24">
        <f t="shared" si="25"/>
        <v>233.04817962943358</v>
      </c>
      <c r="AO27" s="24">
        <f t="shared" si="25"/>
        <v>234.21342052758072</v>
      </c>
      <c r="AP27" s="24">
        <f t="shared" si="25"/>
        <v>235.38448763021862</v>
      </c>
      <c r="AQ27" s="24">
        <f t="shared" si="25"/>
        <v>236.5614100683697</v>
      </c>
      <c r="AR27" s="24">
        <f t="shared" si="25"/>
        <v>237.74421711871153</v>
      </c>
      <c r="AS27" s="24">
        <f t="shared" si="25"/>
        <v>238.93293820430506</v>
      </c>
      <c r="AT27" s="24">
        <f t="shared" si="25"/>
        <v>240.12760289532656</v>
      </c>
      <c r="AU27" s="24">
        <f t="shared" si="25"/>
        <v>241.32824090980316</v>
      </c>
      <c r="AV27" s="24">
        <f t="shared" si="25"/>
        <v>242.53488211435214</v>
      </c>
      <c r="AW27" s="24">
        <f t="shared" si="25"/>
        <v>243.74755652492388</v>
      </c>
      <c r="AX27" s="24">
        <f t="shared" si="25"/>
        <v>244.96629430754848</v>
      </c>
      <c r="AY27" s="24">
        <f t="shared" si="25"/>
        <v>246.19112577908621</v>
      </c>
      <c r="AZ27" s="24">
        <f t="shared" si="25"/>
        <v>247.42208140798161</v>
      </c>
      <c r="BA27" s="24">
        <f t="shared" si="25"/>
        <v>248.6591918150215</v>
      </c>
      <c r="BB27" s="24">
        <f t="shared" si="25"/>
        <v>249.90248777409658</v>
      </c>
      <c r="BC27" s="24">
        <f t="shared" si="25"/>
        <v>251.15200021296704</v>
      </c>
      <c r="BD27" s="24">
        <f t="shared" si="25"/>
        <v>252.40776021403184</v>
      </c>
      <c r="BE27" s="24">
        <f t="shared" si="25"/>
        <v>253.66979901510197</v>
      </c>
      <c r="BF27" s="24">
        <f t="shared" si="25"/>
        <v>254.93814801017746</v>
      </c>
      <c r="BG27" s="24">
        <f t="shared" si="25"/>
        <v>256.21283875022834</v>
      </c>
      <c r="BH27" s="24">
        <f t="shared" si="25"/>
        <v>257.49390294397944</v>
      </c>
      <c r="BI27" s="24">
        <f t="shared" si="25"/>
        <v>258.78137245869931</v>
      </c>
      <c r="BJ27" s="24">
        <f t="shared" si="25"/>
        <v>260.07527932099276</v>
      </c>
      <c r="BK27" s="24">
        <f t="shared" si="25"/>
        <v>261.37565571759768</v>
      </c>
      <c r="BL27" s="24">
        <f t="shared" si="25"/>
        <v>262.68253399618567</v>
      </c>
      <c r="BM27" s="24">
        <f t="shared" si="25"/>
        <v>263.99594666616656</v>
      </c>
      <c r="BN27" s="24">
        <f t="shared" si="25"/>
        <v>265.31592639949736</v>
      </c>
      <c r="BO27" s="24">
        <f t="shared" si="25"/>
        <v>266.6425060314948</v>
      </c>
      <c r="BP27" s="24">
        <f t="shared" si="25"/>
        <v>267.97571856165223</v>
      </c>
      <c r="BQ27" s="24">
        <f t="shared" si="25"/>
        <v>269.31559715446048</v>
      </c>
      <c r="BR27" s="24">
        <f t="shared" si="25"/>
        <v>270.66217514023276</v>
      </c>
      <c r="BS27" s="24">
        <f t="shared" si="25"/>
        <v>272.0154860159339</v>
      </c>
      <c r="BT27" s="24">
        <f t="shared" si="25"/>
        <v>273.37556344601353</v>
      </c>
      <c r="BU27" s="24">
        <f t="shared" si="25"/>
        <v>274.74244126324356</v>
      </c>
      <c r="BV27" s="24">
        <f t="shared" si="25"/>
        <v>276.11615346955978</v>
      </c>
      <c r="BW27" s="24">
        <f t="shared" si="25"/>
        <v>277.49673423690757</v>
      </c>
      <c r="BX27" s="24">
        <f t="shared" si="25"/>
        <v>278.88421790809207</v>
      </c>
      <c r="BY27" s="24">
        <f t="shared" si="25"/>
        <v>280.27863899763253</v>
      </c>
      <c r="BZ27" s="24">
        <f t="shared" si="25"/>
        <v>281.68003219262067</v>
      </c>
      <c r="CA27" s="24">
        <f t="shared" si="25"/>
        <v>283.08843235358376</v>
      </c>
      <c r="CB27" s="24">
        <f t="shared" si="25"/>
        <v>284.50387451535164</v>
      </c>
      <c r="CC27" s="24">
        <f t="shared" ref="CC27:DQ27" si="26">CB27*($F$2+1)</f>
        <v>285.92639388792838</v>
      </c>
      <c r="CD27" s="24">
        <f t="shared" si="26"/>
        <v>287.35602585736797</v>
      </c>
      <c r="CE27" s="24">
        <f t="shared" si="26"/>
        <v>288.7928059866548</v>
      </c>
      <c r="CF27" s="24">
        <f t="shared" si="26"/>
        <v>290.23677001658803</v>
      </c>
      <c r="CG27" s="24">
        <f t="shared" si="26"/>
        <v>291.68795386667091</v>
      </c>
      <c r="CH27" s="24">
        <f t="shared" si="26"/>
        <v>293.14639363600423</v>
      </c>
      <c r="CI27" s="24">
        <f t="shared" si="26"/>
        <v>294.6121256041842</v>
      </c>
      <c r="CJ27" s="24">
        <f t="shared" si="26"/>
        <v>296.0851862322051</v>
      </c>
      <c r="CK27" s="24">
        <f t="shared" si="26"/>
        <v>297.5656121633661</v>
      </c>
      <c r="CL27" s="24">
        <f t="shared" si="26"/>
        <v>299.05344022418291</v>
      </c>
      <c r="CM27" s="24">
        <f t="shared" si="26"/>
        <v>300.5487074253038</v>
      </c>
      <c r="CN27" s="24">
        <f t="shared" si="26"/>
        <v>302.05145096243029</v>
      </c>
      <c r="CO27" s="24">
        <f t="shared" si="26"/>
        <v>303.56170821724243</v>
      </c>
      <c r="CP27" s="24">
        <f t="shared" si="26"/>
        <v>305.07951675832862</v>
      </c>
      <c r="CQ27" s="24">
        <f t="shared" si="26"/>
        <v>306.60491434212025</v>
      </c>
      <c r="CR27" s="24">
        <f t="shared" si="26"/>
        <v>308.13793891383079</v>
      </c>
      <c r="CS27" s="24">
        <f t="shared" si="26"/>
        <v>309.67862860839989</v>
      </c>
      <c r="CT27" s="24">
        <f t="shared" si="26"/>
        <v>311.22702175144184</v>
      </c>
      <c r="CU27" s="24">
        <f t="shared" si="26"/>
        <v>312.78315686019903</v>
      </c>
      <c r="CV27" s="24">
        <f t="shared" si="26"/>
        <v>314.34707264449997</v>
      </c>
      <c r="CW27" s="24">
        <f t="shared" si="26"/>
        <v>315.91880800772242</v>
      </c>
      <c r="CX27" s="24">
        <f t="shared" si="26"/>
        <v>317.49840204776098</v>
      </c>
      <c r="CY27" s="24">
        <f t="shared" si="26"/>
        <v>319.08589405799972</v>
      </c>
      <c r="CZ27" s="24">
        <f t="shared" si="26"/>
        <v>320.68132352828968</v>
      </c>
      <c r="DA27" s="24">
        <f t="shared" si="26"/>
        <v>322.28473014593112</v>
      </c>
      <c r="DB27" s="24">
        <f t="shared" si="26"/>
        <v>323.89615379666077</v>
      </c>
      <c r="DC27" s="24">
        <f t="shared" si="26"/>
        <v>325.51563456564406</v>
      </c>
      <c r="DD27" s="24">
        <f t="shared" si="26"/>
        <v>327.14321273847224</v>
      </c>
      <c r="DE27" s="24">
        <f t="shared" si="26"/>
        <v>328.77892880216456</v>
      </c>
      <c r="DF27" s="24">
        <f t="shared" si="26"/>
        <v>330.42282344617536</v>
      </c>
      <c r="DG27" s="24">
        <f t="shared" si="26"/>
        <v>332.07493756340619</v>
      </c>
      <c r="DH27" s="24">
        <f t="shared" si="26"/>
        <v>333.73531225122321</v>
      </c>
      <c r="DI27" s="24">
        <f t="shared" si="26"/>
        <v>335.40398881247927</v>
      </c>
      <c r="DJ27" s="24">
        <f t="shared" si="26"/>
        <v>337.08100875654162</v>
      </c>
      <c r="DK27" s="24">
        <f t="shared" si="26"/>
        <v>338.7664138003243</v>
      </c>
      <c r="DL27" s="24">
        <f t="shared" si="26"/>
        <v>340.46024586932589</v>
      </c>
      <c r="DM27" s="24">
        <f t="shared" si="26"/>
        <v>342.16254709867246</v>
      </c>
      <c r="DN27" s="24">
        <f t="shared" si="26"/>
        <v>343.8733598341658</v>
      </c>
      <c r="DO27" s="24">
        <f t="shared" si="26"/>
        <v>345.59272663333661</v>
      </c>
      <c r="DP27" s="24">
        <f t="shared" si="26"/>
        <v>347.32069026650328</v>
      </c>
      <c r="DQ27" s="24">
        <f t="shared" si="26"/>
        <v>349.05729371783576</v>
      </c>
      <c r="DR27" s="24">
        <f t="shared" ref="DR27" si="27">DQ27*($F$2+1)</f>
        <v>350.8025801864249</v>
      </c>
      <c r="DS27" s="24">
        <f t="shared" ref="DS27" si="28">DR27*($F$2+1)</f>
        <v>352.55659308735699</v>
      </c>
      <c r="DT27" s="24">
        <f t="shared" ref="DT27" si="29">DS27*($F$2+1)</f>
        <v>354.31937605279376</v>
      </c>
      <c r="DU27" s="24">
        <f t="shared" ref="DU27" si="30">DT27*($F$2+1)</f>
        <v>356.09097293305769</v>
      </c>
      <c r="DV27" s="24">
        <f t="shared" ref="DV27" si="31">DU27*($F$2+1)</f>
        <v>357.87142779772296</v>
      </c>
      <c r="DW27" s="24">
        <f t="shared" ref="DW27" si="32">DV27*($F$2+1)</f>
        <v>359.66078493671154</v>
      </c>
      <c r="DX27" s="24">
        <f t="shared" ref="DX27" si="33">DW27*($F$2+1)</f>
        <v>361.45908886139506</v>
      </c>
      <c r="DY27" s="24">
        <f t="shared" ref="DY27" si="34">DX27*($F$2+1)</f>
        <v>363.26638430570199</v>
      </c>
      <c r="DZ27" s="24">
        <f t="shared" ref="DZ27" si="35">DY27*($F$2+1)</f>
        <v>365.08271622723043</v>
      </c>
      <c r="EA27" s="24">
        <f t="shared" ref="EA27" si="36">DZ27*($F$2+1)</f>
        <v>366.90812980836654</v>
      </c>
      <c r="EB27" s="24">
        <f t="shared" ref="EB27" si="37">EA27*($F$2+1)</f>
        <v>368.74267045740834</v>
      </c>
      <c r="EC27" s="24">
        <f t="shared" ref="EC27" si="38">EB27*($F$2+1)</f>
        <v>370.58638380969535</v>
      </c>
      <c r="ED27" s="24">
        <f t="shared" ref="ED27" si="39">EC27*($F$2+1)</f>
        <v>372.43931572874379</v>
      </c>
      <c r="EE27" s="24">
        <f t="shared" ref="EE27" si="40">ED27*($F$2+1)</f>
        <v>374.3015123073875</v>
      </c>
      <c r="EF27" s="24">
        <f t="shared" ref="EF27" si="41">EE27*($F$2+1)</f>
        <v>376.17301986892437</v>
      </c>
      <c r="EG27" s="24">
        <f t="shared" ref="EG27" si="42">EF27*($F$2+1)</f>
        <v>378.05388496826896</v>
      </c>
      <c r="EH27" s="24">
        <f t="shared" ref="EH27" si="43">EG27*($F$2+1)</f>
        <v>379.94415439311024</v>
      </c>
      <c r="EI27" s="24">
        <f t="shared" ref="EI27" si="44">EH27*($F$2+1)</f>
        <v>381.84387516507576</v>
      </c>
      <c r="EJ27" s="24">
        <f t="shared" ref="EJ27" si="45">EI27*($F$2+1)</f>
        <v>383.75309454090109</v>
      </c>
      <c r="EK27" s="24">
        <f t="shared" ref="EK27" si="46">EJ27*($F$2+1)</f>
        <v>385.67186001360557</v>
      </c>
      <c r="EL27" s="24">
        <f t="shared" ref="EL27" si="47">EK27*($F$2+1)</f>
        <v>387.60021931367356</v>
      </c>
      <c r="EM27" s="24">
        <f t="shared" ref="EM27" si="48">EL27*($F$2+1)</f>
        <v>389.53822041024188</v>
      </c>
      <c r="EN27" s="24">
        <f t="shared" ref="EN27" si="49">EM27*($F$2+1)</f>
        <v>391.48591151229306</v>
      </c>
      <c r="EO27" s="24">
        <f t="shared" ref="EO27" si="50">EN27*($F$2+1)</f>
        <v>393.44334106985445</v>
      </c>
      <c r="EP27" s="24">
        <f t="shared" ref="EP27" si="51">EO27*($F$2+1)</f>
        <v>395.4105577752037</v>
      </c>
    </row>
    <row r="28" spans="1:146" x14ac:dyDescent="0.15">
      <c r="A28" s="1" t="s">
        <v>16</v>
      </c>
      <c r="B28" s="41">
        <f>B27/B29</f>
        <v>0.44261170781605985</v>
      </c>
      <c r="C28" s="41">
        <f>C27/C29</f>
        <v>0.57181593704567024</v>
      </c>
      <c r="D28" s="41">
        <f>D27/D29</f>
        <v>1.1179088126672909</v>
      </c>
      <c r="E28" s="41">
        <f>E27/E29</f>
        <v>0.84998496950957736</v>
      </c>
      <c r="F28" s="41">
        <f>F27/F29</f>
        <v>-0.20299642658099182</v>
      </c>
      <c r="G28" s="20">
        <f t="shared" ref="G28:H28" si="52">G27/G29</f>
        <v>-0.32101283043197948</v>
      </c>
      <c r="H28" s="20">
        <f t="shared" si="52"/>
        <v>-0.68135884539553548</v>
      </c>
      <c r="I28" s="20">
        <f t="shared" ref="I28:P28" si="53">I27/I29</f>
        <v>-1.179751889992587</v>
      </c>
      <c r="J28" s="20">
        <f t="shared" si="53"/>
        <v>-1.8579838012259859</v>
      </c>
      <c r="K28" s="20">
        <f t="shared" si="53"/>
        <v>-2.7693282799729158</v>
      </c>
      <c r="L28" s="20">
        <f t="shared" si="53"/>
        <v>-1.9866918394674193</v>
      </c>
      <c r="M28" s="20">
        <f t="shared" si="53"/>
        <v>-1.1046164037694466</v>
      </c>
      <c r="N28" s="20">
        <f t="shared" si="53"/>
        <v>-0.11160469252894527</v>
      </c>
      <c r="O28" s="20">
        <f t="shared" si="53"/>
        <v>1.0050556747826735</v>
      </c>
      <c r="P28" s="20">
        <f t="shared" si="53"/>
        <v>2.2594171625567836</v>
      </c>
      <c r="Q28" s="20"/>
      <c r="R28" s="20"/>
      <c r="S28" s="20"/>
      <c r="T28" s="20"/>
      <c r="U28" s="20"/>
    </row>
    <row r="29" spans="1:146" x14ac:dyDescent="0.15">
      <c r="A29" s="1" t="s">
        <v>17</v>
      </c>
      <c r="B29" s="5">
        <f>Reports!E21</f>
        <v>86.028000000000006</v>
      </c>
      <c r="C29" s="5">
        <f>Reports!I21</f>
        <v>86.665999999999997</v>
      </c>
      <c r="D29" s="5">
        <f>Reports!L21</f>
        <v>88.543000000000006</v>
      </c>
      <c r="E29" s="5">
        <f>Reports!Q21</f>
        <v>93.144000000000005</v>
      </c>
      <c r="F29" s="5">
        <f>Reports!U21</f>
        <v>91.509</v>
      </c>
      <c r="G29" s="5">
        <f t="shared" ref="G29" si="54">F29</f>
        <v>91.509</v>
      </c>
      <c r="H29" s="5">
        <f t="shared" ref="H29" si="55">G29</f>
        <v>91.509</v>
      </c>
      <c r="I29" s="5">
        <f t="shared" ref="I29" si="56">H29</f>
        <v>91.509</v>
      </c>
      <c r="J29" s="5">
        <f t="shared" ref="J29" si="57">I29</f>
        <v>91.509</v>
      </c>
      <c r="K29" s="5">
        <f t="shared" ref="K29" si="58">J29</f>
        <v>91.509</v>
      </c>
      <c r="L29" s="5">
        <f t="shared" ref="L29" si="59">K29</f>
        <v>91.509</v>
      </c>
      <c r="M29" s="5">
        <f t="shared" ref="M29" si="60">L29</f>
        <v>91.509</v>
      </c>
      <c r="N29" s="5">
        <f t="shared" ref="N29" si="61">M29</f>
        <v>91.509</v>
      </c>
      <c r="O29" s="5">
        <f t="shared" ref="O29" si="62">N29</f>
        <v>91.509</v>
      </c>
      <c r="P29" s="5">
        <f t="shared" ref="P29" si="63">O29</f>
        <v>91.509</v>
      </c>
      <c r="Q29" s="5"/>
      <c r="R29" s="5"/>
      <c r="S29" s="5"/>
      <c r="T29" s="5"/>
      <c r="U29" s="5"/>
    </row>
    <row r="30" spans="1:146" x14ac:dyDescent="0.1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146" x14ac:dyDescent="0.15">
      <c r="A31" s="1" t="s">
        <v>19</v>
      </c>
      <c r="B31" s="23">
        <f t="shared" ref="B31:P31" si="64">IFERROR(B18/B16,0)</f>
        <v>0.70310509224072404</v>
      </c>
      <c r="C31" s="23">
        <f t="shared" si="64"/>
        <v>0.65184429926357768</v>
      </c>
      <c r="D31" s="23">
        <f t="shared" si="64"/>
        <v>0.60552478746594396</v>
      </c>
      <c r="E31" s="23">
        <f t="shared" si="64"/>
        <v>0.54895225349637677</v>
      </c>
      <c r="F31" s="23">
        <f t="shared" si="64"/>
        <v>0.4854926994782402</v>
      </c>
      <c r="G31" s="23">
        <f t="shared" si="64"/>
        <v>0.48549269947824014</v>
      </c>
      <c r="H31" s="23">
        <f t="shared" si="64"/>
        <v>0.48549269947824014</v>
      </c>
      <c r="I31" s="23">
        <f t="shared" si="64"/>
        <v>0.4854926994782402</v>
      </c>
      <c r="J31" s="23">
        <f t="shared" si="64"/>
        <v>0.4854926994782402</v>
      </c>
      <c r="K31" s="23">
        <f t="shared" si="64"/>
        <v>0.4854926994782402</v>
      </c>
      <c r="L31" s="23">
        <f t="shared" si="64"/>
        <v>0.4854926994782402</v>
      </c>
      <c r="M31" s="23">
        <f t="shared" si="64"/>
        <v>0.48549269947824014</v>
      </c>
      <c r="N31" s="23">
        <f t="shared" si="64"/>
        <v>0.48549269947824014</v>
      </c>
      <c r="O31" s="23">
        <f t="shared" si="64"/>
        <v>0.4854926994782402</v>
      </c>
      <c r="P31" s="23">
        <f t="shared" si="64"/>
        <v>0.4854926994782402</v>
      </c>
      <c r="Q31" s="23"/>
      <c r="R31" s="23"/>
      <c r="S31" s="23"/>
      <c r="T31" s="23"/>
      <c r="U31" s="23"/>
    </row>
    <row r="32" spans="1:146" x14ac:dyDescent="0.15">
      <c r="A32" s="1" t="s">
        <v>20</v>
      </c>
      <c r="B32" s="22">
        <f t="shared" ref="B32:P32" si="65">IFERROR(B23/B16,0)</f>
        <v>0.17115732743729689</v>
      </c>
      <c r="C32" s="22">
        <f t="shared" si="65"/>
        <v>0.16997107418751317</v>
      </c>
      <c r="D32" s="22">
        <f t="shared" si="65"/>
        <v>0.1327219731007353</v>
      </c>
      <c r="E32" s="22">
        <f t="shared" si="65"/>
        <v>8.4350865767128025E-2</v>
      </c>
      <c r="F32" s="22">
        <f t="shared" si="65"/>
        <v>-4.4745133366562414E-3</v>
      </c>
      <c r="G32" s="22">
        <f t="shared" si="65"/>
        <v>-2.1518081448682242E-2</v>
      </c>
      <c r="H32" s="22">
        <f t="shared" si="65"/>
        <v>-3.9352737307578413E-2</v>
      </c>
      <c r="I32" s="22">
        <f t="shared" si="65"/>
        <v>-5.8022517761188976E-2</v>
      </c>
      <c r="J32" s="22">
        <f t="shared" si="65"/>
        <v>-7.7574113489964264E-2</v>
      </c>
      <c r="K32" s="22">
        <f t="shared" si="65"/>
        <v>-9.8057033608123456E-2</v>
      </c>
      <c r="L32" s="22">
        <f t="shared" si="65"/>
        <v>-6.1627203337065666E-2</v>
      </c>
      <c r="M32" s="22">
        <f t="shared" si="65"/>
        <v>-2.8413827946646163E-2</v>
      </c>
      <c r="N32" s="22">
        <f t="shared" si="65"/>
        <v>1.8995372582204073E-3</v>
      </c>
      <c r="O32" s="22">
        <f t="shared" si="65"/>
        <v>2.959638124642313E-2</v>
      </c>
      <c r="P32" s="22">
        <f t="shared" si="65"/>
        <v>5.4930761271091637E-2</v>
      </c>
      <c r="Q32" s="22"/>
      <c r="R32" s="22"/>
      <c r="S32" s="22"/>
      <c r="T32" s="22"/>
      <c r="U32" s="22"/>
    </row>
    <row r="33" spans="1:21" x14ac:dyDescent="0.15">
      <c r="A33" s="1" t="s">
        <v>21</v>
      </c>
      <c r="B33" s="22">
        <f t="shared" ref="B33:P33" si="66">IFERROR(B26/B25,0)</f>
        <v>0.38515073713446041</v>
      </c>
      <c r="C33" s="22">
        <f t="shared" si="66"/>
        <v>0.40899441873777581</v>
      </c>
      <c r="D33" s="22">
        <f t="shared" si="66"/>
        <v>-0.10412948420489031</v>
      </c>
      <c r="E33" s="22">
        <f t="shared" si="66"/>
        <v>3.5946080878681945E-2</v>
      </c>
      <c r="F33" s="22">
        <f t="shared" si="66"/>
        <v>0.29473404457268709</v>
      </c>
      <c r="G33" s="22">
        <f t="shared" si="66"/>
        <v>0.15</v>
      </c>
      <c r="H33" s="22">
        <f t="shared" si="66"/>
        <v>0.15</v>
      </c>
      <c r="I33" s="22">
        <f t="shared" si="66"/>
        <v>0.15</v>
      </c>
      <c r="J33" s="22">
        <f t="shared" si="66"/>
        <v>0.15</v>
      </c>
      <c r="K33" s="22">
        <f t="shared" si="66"/>
        <v>0.15</v>
      </c>
      <c r="L33" s="22">
        <f t="shared" si="66"/>
        <v>0.15</v>
      </c>
      <c r="M33" s="22">
        <f t="shared" si="66"/>
        <v>0.15</v>
      </c>
      <c r="N33" s="22">
        <f t="shared" si="66"/>
        <v>0.15</v>
      </c>
      <c r="O33" s="22">
        <f t="shared" si="66"/>
        <v>0.15</v>
      </c>
      <c r="P33" s="22">
        <f t="shared" si="66"/>
        <v>0.15</v>
      </c>
      <c r="Q33" s="22"/>
      <c r="R33" s="22"/>
      <c r="S33" s="22"/>
      <c r="T33" s="22"/>
      <c r="U33" s="22"/>
    </row>
    <row r="34" spans="1:2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15">
      <c r="A35" s="16" t="s">
        <v>18</v>
      </c>
      <c r="B35" s="9"/>
      <c r="C35" s="21">
        <f t="shared" ref="C35:P35" si="67">C16/B16-1</f>
        <v>0.3634519450010365</v>
      </c>
      <c r="D35" s="21">
        <f t="shared" si="67"/>
        <v>0.38460181906265767</v>
      </c>
      <c r="E35" s="21">
        <f t="shared" si="67"/>
        <v>0.47460937214065391</v>
      </c>
      <c r="F35" s="21">
        <f>F16/E16-1</f>
        <v>0.30264470735869775</v>
      </c>
      <c r="G35" s="21">
        <f>G16/F16-1</f>
        <v>0.17599999999999993</v>
      </c>
      <c r="H35" s="21">
        <f t="shared" si="67"/>
        <v>0.17599999999999993</v>
      </c>
      <c r="I35" s="21">
        <f t="shared" si="67"/>
        <v>0.17599999999999993</v>
      </c>
      <c r="J35" s="21">
        <f t="shared" si="67"/>
        <v>0.17599999999999993</v>
      </c>
      <c r="K35" s="21">
        <f t="shared" si="67"/>
        <v>0.17600000000000016</v>
      </c>
      <c r="L35" s="21">
        <f t="shared" si="67"/>
        <v>0.10000000000000009</v>
      </c>
      <c r="M35" s="21">
        <f t="shared" si="67"/>
        <v>0.10000000000000009</v>
      </c>
      <c r="N35" s="21">
        <f t="shared" si="67"/>
        <v>0.10000000000000009</v>
      </c>
      <c r="O35" s="21">
        <f t="shared" si="67"/>
        <v>0.10000000000000009</v>
      </c>
      <c r="P35" s="21">
        <f t="shared" si="67"/>
        <v>0.10000000000000009</v>
      </c>
      <c r="Q35" s="21"/>
      <c r="R35" s="21"/>
      <c r="S35" s="21"/>
      <c r="T35" s="21"/>
      <c r="U35" s="21"/>
    </row>
    <row r="36" spans="1:21" x14ac:dyDescent="0.15">
      <c r="A36" s="1" t="s">
        <v>34</v>
      </c>
      <c r="B36" s="9"/>
      <c r="C36" s="22">
        <f t="shared" ref="C36:P36" si="68">C19/B19-1</f>
        <v>0.29503996095418206</v>
      </c>
      <c r="D36" s="22">
        <f t="shared" si="68"/>
        <v>0.32526970367927643</v>
      </c>
      <c r="E36" s="22">
        <f t="shared" si="68"/>
        <v>0.46238202726480959</v>
      </c>
      <c r="F36" s="22">
        <f t="shared" si="68"/>
        <v>0.39543985026374018</v>
      </c>
      <c r="G36" s="22">
        <f t="shared" si="68"/>
        <v>0.19999999999999996</v>
      </c>
      <c r="H36" s="22">
        <f t="shared" si="68"/>
        <v>0.19999999999999996</v>
      </c>
      <c r="I36" s="22">
        <f t="shared" si="68"/>
        <v>0.19999999999999996</v>
      </c>
      <c r="J36" s="22">
        <f t="shared" si="68"/>
        <v>0.19999999999999996</v>
      </c>
      <c r="K36" s="22">
        <f t="shared" si="68"/>
        <v>0.19999999999999996</v>
      </c>
      <c r="L36" s="22">
        <f t="shared" si="68"/>
        <v>0.10000000000000009</v>
      </c>
      <c r="M36" s="22">
        <f t="shared" si="68"/>
        <v>0.10000000000000009</v>
      </c>
      <c r="N36" s="22">
        <f t="shared" si="68"/>
        <v>0.10000000000000009</v>
      </c>
      <c r="O36" s="22">
        <f t="shared" si="68"/>
        <v>0.10000000000000009</v>
      </c>
      <c r="P36" s="22">
        <f t="shared" si="68"/>
        <v>0.10000000000000009</v>
      </c>
      <c r="Q36" s="22"/>
      <c r="R36" s="22"/>
      <c r="S36" s="22"/>
      <c r="T36" s="22"/>
      <c r="U36" s="22"/>
    </row>
    <row r="37" spans="1:21" x14ac:dyDescent="0.15">
      <c r="A37" s="1" t="s">
        <v>35</v>
      </c>
      <c r="B37" s="9"/>
      <c r="C37" s="22">
        <f t="shared" ref="C37:P37" si="69">C20/B20-1</f>
        <v>0.21034558420186489</v>
      </c>
      <c r="D37" s="22">
        <f t="shared" si="69"/>
        <v>0.36626088848200311</v>
      </c>
      <c r="E37" s="22">
        <f t="shared" si="69"/>
        <v>0.42168115172825571</v>
      </c>
      <c r="F37" s="22">
        <f t="shared" si="69"/>
        <v>0.44982033692659473</v>
      </c>
      <c r="G37" s="22">
        <f t="shared" si="69"/>
        <v>0.19999999999999996</v>
      </c>
      <c r="H37" s="22">
        <f t="shared" si="69"/>
        <v>0.19999999999999996</v>
      </c>
      <c r="I37" s="22">
        <f t="shared" si="69"/>
        <v>0.19999999999999996</v>
      </c>
      <c r="J37" s="22">
        <f t="shared" si="69"/>
        <v>0.19999999999999996</v>
      </c>
      <c r="K37" s="22">
        <f t="shared" si="69"/>
        <v>0.19999999999999996</v>
      </c>
      <c r="L37" s="22">
        <f t="shared" si="69"/>
        <v>5.0000000000000044E-2</v>
      </c>
      <c r="M37" s="22">
        <f t="shared" si="69"/>
        <v>5.0000000000000044E-2</v>
      </c>
      <c r="N37" s="22">
        <f t="shared" si="69"/>
        <v>5.0000000000000044E-2</v>
      </c>
      <c r="O37" s="22">
        <f t="shared" si="69"/>
        <v>5.0000000000000044E-2</v>
      </c>
      <c r="P37" s="22">
        <f t="shared" si="69"/>
        <v>5.0000000000000044E-2</v>
      </c>
      <c r="Q37" s="22"/>
      <c r="R37" s="22"/>
      <c r="S37" s="22"/>
      <c r="T37" s="22"/>
      <c r="U37" s="22"/>
    </row>
    <row r="38" spans="1:21" x14ac:dyDescent="0.15">
      <c r="A38" s="1" t="s">
        <v>36</v>
      </c>
      <c r="B38" s="9"/>
      <c r="C38" s="22">
        <f t="shared" ref="C38:P38" si="70">C21/B21-1</f>
        <v>0.23936387510942492</v>
      </c>
      <c r="D38" s="22">
        <f t="shared" si="70"/>
        <v>0.36513785228262652</v>
      </c>
      <c r="E38" s="22">
        <f t="shared" si="70"/>
        <v>0.47810077352258928</v>
      </c>
      <c r="F38" s="22">
        <f t="shared" si="70"/>
        <v>0.26827688807210981</v>
      </c>
      <c r="G38" s="22">
        <f t="shared" si="70"/>
        <v>0.25</v>
      </c>
      <c r="H38" s="22">
        <f t="shared" si="70"/>
        <v>0.25</v>
      </c>
      <c r="I38" s="22">
        <f t="shared" si="70"/>
        <v>0.25</v>
      </c>
      <c r="J38" s="22">
        <f t="shared" si="70"/>
        <v>0.25</v>
      </c>
      <c r="K38" s="22">
        <f t="shared" si="70"/>
        <v>0.25</v>
      </c>
      <c r="L38" s="22">
        <f t="shared" si="70"/>
        <v>-2.0000000000000018E-2</v>
      </c>
      <c r="M38" s="22">
        <f t="shared" si="70"/>
        <v>-2.0000000000000018E-2</v>
      </c>
      <c r="N38" s="22">
        <f t="shared" si="70"/>
        <v>-2.0000000000000018E-2</v>
      </c>
      <c r="O38" s="22">
        <f t="shared" si="70"/>
        <v>-2.0000000000000018E-2</v>
      </c>
      <c r="P38" s="22">
        <f t="shared" si="70"/>
        <v>-2.0000000000000129E-2</v>
      </c>
      <c r="Q38" s="22"/>
      <c r="R38" s="22"/>
      <c r="S38" s="22"/>
      <c r="T38" s="22"/>
      <c r="U38" s="22"/>
    </row>
    <row r="39" spans="1:21" s="6" customFormat="1" x14ac:dyDescent="0.15">
      <c r="A39" s="6" t="s">
        <v>98</v>
      </c>
      <c r="B39" s="75"/>
      <c r="C39" s="76">
        <f>C22/B22-1</f>
        <v>0.23510432686312788</v>
      </c>
      <c r="D39" s="76">
        <f t="shared" ref="D39:P39" si="71">D22/C22-1</f>
        <v>0.35853914009161936</v>
      </c>
      <c r="E39" s="76">
        <f t="shared" si="71"/>
        <v>0.44903020844944797</v>
      </c>
      <c r="F39" s="76">
        <f t="shared" si="71"/>
        <v>0.37376515311780811</v>
      </c>
      <c r="G39" s="76">
        <f t="shared" si="71"/>
        <v>0.21690730068363684</v>
      </c>
      <c r="H39" s="76">
        <f t="shared" si="71"/>
        <v>0.21736707951597767</v>
      </c>
      <c r="I39" s="76">
        <f t="shared" si="71"/>
        <v>0.21783262399670211</v>
      </c>
      <c r="J39" s="76">
        <f t="shared" si="71"/>
        <v>0.21830364826549276</v>
      </c>
      <c r="K39" s="76">
        <f t="shared" si="71"/>
        <v>0.21877985046210768</v>
      </c>
      <c r="L39" s="76">
        <f t="shared" si="71"/>
        <v>3.1329223498705705E-2</v>
      </c>
      <c r="M39" s="76">
        <f t="shared" si="71"/>
        <v>3.3223571759196879E-2</v>
      </c>
      <c r="N39" s="76">
        <f t="shared" si="71"/>
        <v>3.5115239939763399E-2</v>
      </c>
      <c r="O39" s="76">
        <f t="shared" si="71"/>
        <v>3.6999670865566214E-2</v>
      </c>
      <c r="P39" s="76">
        <f t="shared" si="71"/>
        <v>3.887246526749788E-2</v>
      </c>
      <c r="Q39" s="76"/>
      <c r="R39" s="76"/>
      <c r="S39" s="76"/>
      <c r="T39" s="76"/>
      <c r="U39" s="76"/>
    </row>
    <row r="40" spans="1:2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15">
      <c r="A41" s="16" t="s">
        <v>26</v>
      </c>
      <c r="B41" s="24">
        <f>B42-B43</f>
        <v>310.74099999999999</v>
      </c>
      <c r="C41" s="24">
        <f>C42-C43</f>
        <v>323.61899999999997</v>
      </c>
      <c r="D41" s="24">
        <f>D42-D43</f>
        <v>84.143999999999977</v>
      </c>
      <c r="E41" s="24">
        <f>E42-E43</f>
        <v>-116.46899999999999</v>
      </c>
      <c r="F41" s="24">
        <f>F42-F43</f>
        <v>-67.825000000000045</v>
      </c>
      <c r="G41" s="17">
        <f>F41+G27</f>
        <v>-97.200563100000053</v>
      </c>
      <c r="H41" s="17">
        <f t="shared" ref="H41:P41" si="72">G41+H27</f>
        <v>-159.5510296833001</v>
      </c>
      <c r="I41" s="17">
        <f t="shared" si="72"/>
        <v>-267.50894538463172</v>
      </c>
      <c r="J41" s="17">
        <f t="shared" si="72"/>
        <v>-437.53118505102043</v>
      </c>
      <c r="K41" s="17">
        <f t="shared" si="72"/>
        <v>-690.94964662306199</v>
      </c>
      <c r="L41" s="17">
        <f t="shared" si="72"/>
        <v>-872.74983016088606</v>
      </c>
      <c r="M41" s="17">
        <f t="shared" si="72"/>
        <v>-973.83217265342432</v>
      </c>
      <c r="N41" s="17">
        <f t="shared" si="72"/>
        <v>-984.04500646205554</v>
      </c>
      <c r="O41" s="17">
        <f t="shared" si="72"/>
        <v>-892.07336671836788</v>
      </c>
      <c r="P41" s="17">
        <f t="shared" si="72"/>
        <v>-685.31636158995912</v>
      </c>
      <c r="Q41" s="17"/>
      <c r="R41" s="17"/>
      <c r="S41" s="17"/>
      <c r="T41" s="17"/>
      <c r="U41" s="17"/>
    </row>
    <row r="42" spans="1:21" x14ac:dyDescent="0.15">
      <c r="A42" s="1" t="s">
        <v>27</v>
      </c>
      <c r="B42" s="18">
        <f>Reports!E33</f>
        <v>310.74099999999999</v>
      </c>
      <c r="C42" s="18">
        <f>Reports!I33</f>
        <v>323.61899999999997</v>
      </c>
      <c r="D42" s="18">
        <f>Reports!M33</f>
        <v>257.69499999999999</v>
      </c>
      <c r="E42" s="18">
        <f>Reports!Q33</f>
        <v>225.32900000000001</v>
      </c>
      <c r="F42" s="18">
        <f>Reports!U33</f>
        <v>425.18399999999997</v>
      </c>
    </row>
    <row r="43" spans="1:21" x14ac:dyDescent="0.15">
      <c r="A43" s="1" t="s">
        <v>28</v>
      </c>
      <c r="B43" s="18">
        <f>Reports!E34</f>
        <v>0</v>
      </c>
      <c r="C43" s="18">
        <f>Reports!I34</f>
        <v>0</v>
      </c>
      <c r="D43" s="18">
        <f>Reports!M34</f>
        <v>173.55100000000002</v>
      </c>
      <c r="E43" s="18">
        <f>Reports!Q34</f>
        <v>341.798</v>
      </c>
      <c r="F43" s="18">
        <f>Reports!U34</f>
        <v>493.00900000000001</v>
      </c>
    </row>
    <row r="45" spans="1:21" x14ac:dyDescent="0.15">
      <c r="A45" s="1" t="s">
        <v>67</v>
      </c>
      <c r="B45" s="18"/>
      <c r="C45" s="18">
        <f>Reports!I36</f>
        <v>750.08500000000004</v>
      </c>
      <c r="D45" s="18">
        <f>Reports!M36</f>
        <v>1105.395</v>
      </c>
      <c r="E45" s="18">
        <f>Reports!Q36</f>
        <v>1568.252</v>
      </c>
      <c r="F45" s="18">
        <f>Reports!U36</f>
        <v>1508.4490000000001</v>
      </c>
    </row>
    <row r="46" spans="1:21" x14ac:dyDescent="0.15">
      <c r="A46" s="1" t="s">
        <v>68</v>
      </c>
      <c r="B46" s="18"/>
      <c r="C46" s="18">
        <f>Reports!I37</f>
        <v>1197.5070000000001</v>
      </c>
      <c r="D46" s="18">
        <f>Reports!M37</f>
        <v>1543.769</v>
      </c>
      <c r="E46" s="18">
        <f>Reports!Q37</f>
        <v>2065.7080000000001</v>
      </c>
      <c r="F46" s="18">
        <f>Reports!U37</f>
        <v>2375</v>
      </c>
    </row>
    <row r="47" spans="1:21" x14ac:dyDescent="0.15">
      <c r="A47" s="1" t="s">
        <v>69</v>
      </c>
      <c r="B47" s="18"/>
      <c r="C47" s="18">
        <f>Reports!I38</f>
        <v>225.38799999999998</v>
      </c>
      <c r="D47" s="18">
        <f>Reports!M38</f>
        <v>425.95299999999997</v>
      </c>
      <c r="E47" s="18">
        <f>Reports!Q38</f>
        <v>623.36900000000003</v>
      </c>
      <c r="F47" s="18">
        <f>Reports!U38</f>
        <v>881</v>
      </c>
    </row>
    <row r="49" spans="1:11" x14ac:dyDescent="0.15">
      <c r="A49" s="1" t="s">
        <v>70</v>
      </c>
      <c r="C49" s="44">
        <f>C46-C45-C42</f>
        <v>123.80300000000005</v>
      </c>
      <c r="D49" s="44">
        <f>D46-D45-D42</f>
        <v>180.67900000000003</v>
      </c>
      <c r="E49" s="44">
        <f>E46-E45-E42</f>
        <v>272.12700000000012</v>
      </c>
      <c r="F49" s="44">
        <f>F46-F45-F42</f>
        <v>441.36699999999996</v>
      </c>
    </row>
    <row r="50" spans="1:11" x14ac:dyDescent="0.15">
      <c r="A50" s="1" t="s">
        <v>71</v>
      </c>
      <c r="C50" s="44">
        <f>C46-C47</f>
        <v>972.11900000000014</v>
      </c>
      <c r="D50" s="44">
        <f>D46-D47</f>
        <v>1117.816</v>
      </c>
      <c r="E50" s="44">
        <f>E46-E47</f>
        <v>1442.3389999999999</v>
      </c>
      <c r="F50" s="44">
        <f>F46-F47</f>
        <v>1494</v>
      </c>
    </row>
    <row r="52" spans="1:11" x14ac:dyDescent="0.15">
      <c r="A52" s="40" t="s">
        <v>72</v>
      </c>
      <c r="C52" s="14">
        <f>C27/C50</f>
        <v>5.0978326727489177E-2</v>
      </c>
      <c r="D52" s="14">
        <f>D27/D50</f>
        <v>8.8550351757355358E-2</v>
      </c>
      <c r="E52" s="14">
        <f>E27/E50</f>
        <v>5.4890701839165466E-2</v>
      </c>
      <c r="F52" s="14">
        <f>F27/F50</f>
        <v>-1.2433734939759022E-2</v>
      </c>
    </row>
    <row r="53" spans="1:11" x14ac:dyDescent="0.15">
      <c r="A53" s="40" t="s">
        <v>73</v>
      </c>
      <c r="C53" s="14">
        <f>C27/C46</f>
        <v>4.1383474167583201E-2</v>
      </c>
      <c r="D53" s="14">
        <f>D27/D46</f>
        <v>6.4117753368541502E-2</v>
      </c>
      <c r="E53" s="14">
        <f>E27/E46</f>
        <v>3.8326326857426159E-2</v>
      </c>
      <c r="F53" s="14">
        <f>F27/F46</f>
        <v>-7.821473684210517E-3</v>
      </c>
    </row>
    <row r="54" spans="1:11" x14ac:dyDescent="0.15">
      <c r="A54" s="40" t="s">
        <v>74</v>
      </c>
      <c r="C54" s="14">
        <f>C27/(C50-C45)</f>
        <v>0.22319554662799407</v>
      </c>
      <c r="D54" s="14">
        <f>D27/(D50-D45)</f>
        <v>7.9690041059495655</v>
      </c>
      <c r="E54" s="14">
        <f>E27/(E50-E45)</f>
        <v>-0.62877542430090672</v>
      </c>
      <c r="F54" s="14">
        <f>F27/(F50-F45)</f>
        <v>1.2856253027891127</v>
      </c>
    </row>
    <row r="55" spans="1:11" x14ac:dyDescent="0.15">
      <c r="A55" s="40" t="s">
        <v>75</v>
      </c>
      <c r="C55" s="14">
        <f>C27/C49</f>
        <v>0.40028916908314044</v>
      </c>
      <c r="D55" s="14">
        <f>D27/D49</f>
        <v>0.54783898516152918</v>
      </c>
      <c r="E55" s="14">
        <f>E27/E49</f>
        <v>0.29093401242802092</v>
      </c>
      <c r="F55" s="14">
        <f>F27/F49</f>
        <v>-4.2087423844555619E-2</v>
      </c>
    </row>
    <row r="56" spans="1:11" x14ac:dyDescent="0.15">
      <c r="A56" s="40"/>
      <c r="C56" s="14"/>
      <c r="D56" s="14"/>
      <c r="E56" s="14"/>
      <c r="F56" s="14"/>
    </row>
    <row r="57" spans="1:11" x14ac:dyDescent="0.15">
      <c r="A57" s="40" t="s">
        <v>102</v>
      </c>
      <c r="C57" s="14">
        <f>(C45/C29)/$C$2</f>
        <v>0.18485462407477068</v>
      </c>
      <c r="D57" s="14">
        <f>(D45/D29)/$C$2</f>
        <v>0.26664402345159988</v>
      </c>
      <c r="E57" s="14">
        <f>(E45/E29)/$C$2</f>
        <v>0.35960817519261534</v>
      </c>
      <c r="F57" s="14">
        <f>(F45/F29)/$C$2</f>
        <v>0.35207518214385713</v>
      </c>
    </row>
    <row r="59" spans="1:11" x14ac:dyDescent="0.15">
      <c r="A59" s="1" t="s">
        <v>88</v>
      </c>
      <c r="C59" s="14">
        <f>C13/B13-1</f>
        <v>0.21168099614586411</v>
      </c>
      <c r="D59" s="14">
        <f>D13/C13-1</f>
        <v>0.76926841203816987</v>
      </c>
      <c r="E59" s="14">
        <f t="shared" ref="E59:K59" si="73">E13/D13-1</f>
        <v>0.22306734891439639</v>
      </c>
      <c r="F59" s="14">
        <f t="shared" si="73"/>
        <v>0.25</v>
      </c>
      <c r="G59" s="14">
        <f>G13/F13-1</f>
        <v>0.19999999999999996</v>
      </c>
      <c r="H59" s="14">
        <f t="shared" si="73"/>
        <v>0.19999999999999996</v>
      </c>
      <c r="I59" s="14">
        <f t="shared" si="73"/>
        <v>0.19999999999999996</v>
      </c>
      <c r="J59" s="14">
        <f t="shared" si="73"/>
        <v>0.19999999999999996</v>
      </c>
      <c r="K59" s="14">
        <f t="shared" si="73"/>
        <v>0.19999999999999996</v>
      </c>
    </row>
    <row r="60" spans="1:11" x14ac:dyDescent="0.15">
      <c r="A60" s="1" t="s">
        <v>76</v>
      </c>
      <c r="C60" s="14">
        <f>C14/B14-1</f>
        <v>0.12525652324161896</v>
      </c>
      <c r="D60" s="14">
        <f>D14/C14-1</f>
        <v>-0.21741562238845502</v>
      </c>
      <c r="E60" s="14">
        <f t="shared" ref="E60:K60" si="74">E14/D14-1</f>
        <v>0.20566489936104349</v>
      </c>
      <c r="F60" s="14">
        <f t="shared" si="74"/>
        <v>4.2115765886958201E-2</v>
      </c>
      <c r="G60" s="14">
        <f t="shared" si="74"/>
        <v>-2.0000000000000018E-2</v>
      </c>
      <c r="H60" s="14">
        <f t="shared" si="74"/>
        <v>-2.0000000000000018E-2</v>
      </c>
      <c r="I60" s="14">
        <f t="shared" si="74"/>
        <v>-2.0000000000000018E-2</v>
      </c>
      <c r="J60" s="14">
        <f t="shared" si="74"/>
        <v>-2.0000000000000018E-2</v>
      </c>
      <c r="K60" s="14">
        <f t="shared" si="74"/>
        <v>-2.0000000000000018E-2</v>
      </c>
    </row>
  </sheetData>
  <phoneticPr fontId="4" type="noConversion"/>
  <hyperlinks>
    <hyperlink ref="A1" r:id="rId1" xr:uid="{00000000-0004-0000-0000-000000000000}"/>
    <hyperlink ref="L4" r:id="rId2" xr:uid="{77506908-8DC9-B040-BA4A-1ACFD2FB88E8}"/>
  </hyperlinks>
  <pageMargins left="0.7" right="0.7" top="0.75" bottom="0.75" header="0.3" footer="0.3"/>
  <pageSetup paperSize="9"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V24" sqref="V24"/>
    </sheetView>
  </sheetViews>
  <sheetFormatPr baseColWidth="10" defaultRowHeight="13" x14ac:dyDescent="0.15"/>
  <cols>
    <col min="1" max="1" width="19.5" style="30" bestFit="1" customWidth="1"/>
    <col min="2" max="5" width="10.83203125" style="1" customWidth="1"/>
    <col min="6" max="6" width="10.83203125" style="32" customWidth="1"/>
    <col min="7" max="8" width="10.83203125" style="1" customWidth="1"/>
    <col min="9" max="9" width="10.83203125" style="1"/>
    <col min="10" max="10" width="10.83203125" style="32"/>
    <col min="11" max="11" width="10.83203125" style="1" customWidth="1"/>
    <col min="12" max="13" width="10.83203125" style="1"/>
    <col min="14" max="14" width="10.83203125" style="32"/>
    <col min="15" max="16" width="10.83203125" style="1"/>
    <col min="17" max="17" width="10.83203125" style="68"/>
    <col min="18" max="18" width="10.83203125" style="32"/>
    <col min="19" max="21" width="10.83203125" style="1"/>
    <col min="22" max="22" width="10.83203125" style="32"/>
    <col min="23" max="16384" width="10.83203125" style="1"/>
  </cols>
  <sheetData>
    <row r="1" spans="1:22" s="26" customFormat="1" x14ac:dyDescent="0.15">
      <c r="A1" s="25" t="s">
        <v>60</v>
      </c>
      <c r="B1" s="26" t="s">
        <v>47</v>
      </c>
      <c r="C1" s="26" t="s">
        <v>48</v>
      </c>
      <c r="D1" s="26" t="s">
        <v>49</v>
      </c>
      <c r="E1" s="26" t="s">
        <v>50</v>
      </c>
      <c r="F1" s="48" t="s">
        <v>22</v>
      </c>
      <c r="G1" s="26" t="s">
        <v>23</v>
      </c>
      <c r="H1" s="26" t="s">
        <v>24</v>
      </c>
      <c r="I1" s="26" t="s">
        <v>25</v>
      </c>
      <c r="J1" s="49" t="s">
        <v>0</v>
      </c>
      <c r="K1" s="27" t="s">
        <v>1</v>
      </c>
      <c r="L1" s="27" t="s">
        <v>2</v>
      </c>
      <c r="M1" s="27" t="s">
        <v>3</v>
      </c>
      <c r="N1" s="49" t="s">
        <v>78</v>
      </c>
      <c r="O1" s="27" t="s">
        <v>79</v>
      </c>
      <c r="P1" s="27" t="s">
        <v>62</v>
      </c>
      <c r="Q1" s="60" t="s">
        <v>80</v>
      </c>
      <c r="R1" s="48" t="s">
        <v>90</v>
      </c>
      <c r="S1" s="26" t="s">
        <v>93</v>
      </c>
      <c r="T1" s="27" t="s">
        <v>94</v>
      </c>
      <c r="U1" s="60" t="s">
        <v>95</v>
      </c>
      <c r="V1" s="48" t="s">
        <v>90</v>
      </c>
    </row>
    <row r="2" spans="1:22" s="26" customFormat="1" x14ac:dyDescent="0.15">
      <c r="A2" s="25"/>
      <c r="B2" s="26" t="s">
        <v>52</v>
      </c>
      <c r="C2" s="26" t="s">
        <v>51</v>
      </c>
      <c r="D2" s="26" t="s">
        <v>46</v>
      </c>
      <c r="E2" s="26" t="s">
        <v>45</v>
      </c>
      <c r="F2" s="48" t="s">
        <v>44</v>
      </c>
      <c r="G2" s="26" t="s">
        <v>43</v>
      </c>
      <c r="H2" s="26" t="s">
        <v>40</v>
      </c>
      <c r="I2" s="26" t="s">
        <v>38</v>
      </c>
      <c r="J2" s="48" t="s">
        <v>42</v>
      </c>
      <c r="K2" s="26" t="s">
        <v>39</v>
      </c>
      <c r="L2" s="26" t="s">
        <v>41</v>
      </c>
      <c r="M2" s="26" t="s">
        <v>37</v>
      </c>
      <c r="N2" s="48" t="s">
        <v>81</v>
      </c>
      <c r="O2" s="26" t="s">
        <v>82</v>
      </c>
      <c r="P2" s="26" t="s">
        <v>83</v>
      </c>
      <c r="Q2" s="61" t="s">
        <v>84</v>
      </c>
      <c r="R2" s="48" t="s">
        <v>91</v>
      </c>
      <c r="S2" s="26" t="s">
        <v>92</v>
      </c>
      <c r="T2" s="26" t="s">
        <v>96</v>
      </c>
      <c r="U2" s="61" t="s">
        <v>97</v>
      </c>
      <c r="V2" s="48" t="s">
        <v>105</v>
      </c>
    </row>
    <row r="3" spans="1:22" s="27" customFormat="1" x14ac:dyDescent="0.15">
      <c r="A3" s="53" t="s">
        <v>86</v>
      </c>
      <c r="B3" s="19">
        <v>88.248999999999995</v>
      </c>
      <c r="C3" s="19">
        <v>87.954999999999998</v>
      </c>
      <c r="D3" s="19">
        <v>85.662000000000006</v>
      </c>
      <c r="E3" s="19">
        <v>99.959000000000003</v>
      </c>
      <c r="F3" s="49">
        <v>112.24</v>
      </c>
      <c r="G3" s="27">
        <v>120.173</v>
      </c>
      <c r="H3" s="27">
        <v>123.461</v>
      </c>
      <c r="I3" s="27">
        <v>137.45699999999999</v>
      </c>
      <c r="J3" s="49">
        <v>156.13399999999999</v>
      </c>
      <c r="K3" s="27">
        <v>158.79400000000001</v>
      </c>
      <c r="L3" s="27">
        <v>163.059</v>
      </c>
      <c r="M3" s="27">
        <v>205.08</v>
      </c>
      <c r="N3" s="49">
        <v>232.57</v>
      </c>
      <c r="O3" s="27">
        <v>239.74100000000001</v>
      </c>
      <c r="P3" s="27">
        <v>247.22499999999999</v>
      </c>
      <c r="Q3" s="60">
        <v>287.721</v>
      </c>
      <c r="R3" s="49">
        <v>323.77</v>
      </c>
      <c r="S3" s="27">
        <v>325.05799999999999</v>
      </c>
      <c r="T3" s="27">
        <v>322</v>
      </c>
      <c r="U3" s="27">
        <v>341.27</v>
      </c>
      <c r="V3" s="49">
        <v>363</v>
      </c>
    </row>
    <row r="4" spans="1:22" s="26" customFormat="1" x14ac:dyDescent="0.15">
      <c r="A4" s="30"/>
      <c r="F4" s="48"/>
      <c r="J4" s="48"/>
      <c r="N4" s="48"/>
      <c r="Q4" s="61"/>
      <c r="R4" s="48"/>
      <c r="V4" s="48"/>
    </row>
    <row r="5" spans="1:22" s="51" customFormat="1" x14ac:dyDescent="0.15">
      <c r="A5" s="50" t="s">
        <v>53</v>
      </c>
      <c r="E5" s="51">
        <v>6.7460000000000004</v>
      </c>
      <c r="F5" s="52">
        <v>6.97</v>
      </c>
      <c r="G5" s="51">
        <v>7.3520000000000003</v>
      </c>
      <c r="H5" s="51">
        <v>7.6849999999999996</v>
      </c>
      <c r="I5" s="51">
        <v>8.1739999999999995</v>
      </c>
      <c r="J5" s="52">
        <v>8.7509999999999994</v>
      </c>
      <c r="K5" s="51">
        <v>9.1769999999999996</v>
      </c>
      <c r="L5" s="51">
        <v>9.8059999999999992</v>
      </c>
      <c r="M5" s="51">
        <v>14.462</v>
      </c>
      <c r="N5" s="52">
        <v>15.077999999999999</v>
      </c>
      <c r="O5" s="51">
        <v>15.581</v>
      </c>
      <c r="P5" s="51">
        <v>16.379000000000001</v>
      </c>
      <c r="Q5" s="62">
        <v>17.687999999999999</v>
      </c>
      <c r="R5" s="52">
        <v>19.286000000000001</v>
      </c>
      <c r="S5" s="51">
        <v>20.288</v>
      </c>
      <c r="T5" s="51">
        <v>21.196999999999999</v>
      </c>
      <c r="U5" s="51">
        <v>22.620999999999999</v>
      </c>
      <c r="V5" s="52">
        <v>23.891999999999999</v>
      </c>
    </row>
    <row r="6" spans="1:22" s="55" customFormat="1" x14ac:dyDescent="0.15">
      <c r="A6" s="54" t="s">
        <v>77</v>
      </c>
      <c r="E6" s="56">
        <f t="shared" ref="E6:R6" si="0">E3/E5</f>
        <v>14.817521494218795</v>
      </c>
      <c r="F6" s="58">
        <f t="shared" si="0"/>
        <v>16.103299856527975</v>
      </c>
      <c r="G6" s="56">
        <f t="shared" si="0"/>
        <v>16.345620239390641</v>
      </c>
      <c r="H6" s="56">
        <f t="shared" si="0"/>
        <v>16.065191932335718</v>
      </c>
      <c r="I6" s="56">
        <f t="shared" si="0"/>
        <v>16.816368974798142</v>
      </c>
      <c r="J6" s="58">
        <f t="shared" si="0"/>
        <v>17.84184664609759</v>
      </c>
      <c r="K6" s="56">
        <f t="shared" si="0"/>
        <v>17.303476081508119</v>
      </c>
      <c r="L6" s="56">
        <f t="shared" si="0"/>
        <v>16.628492759534979</v>
      </c>
      <c r="M6" s="56">
        <f t="shared" si="0"/>
        <v>14.180611257087541</v>
      </c>
      <c r="N6" s="58">
        <f t="shared" si="0"/>
        <v>15.424459477384268</v>
      </c>
      <c r="O6" s="56">
        <f t="shared" si="0"/>
        <v>15.386753096720366</v>
      </c>
      <c r="P6" s="56">
        <f t="shared" si="0"/>
        <v>15.094022834116855</v>
      </c>
      <c r="Q6" s="56">
        <f>Q3/Q5</f>
        <v>16.266451831750341</v>
      </c>
      <c r="R6" s="58">
        <f t="shared" si="0"/>
        <v>16.787825365550137</v>
      </c>
      <c r="S6" s="56">
        <f>S3/S5</f>
        <v>16.022180599369083</v>
      </c>
      <c r="T6" s="56">
        <f t="shared" ref="T6" si="1">T3/T5</f>
        <v>15.190828890880786</v>
      </c>
      <c r="U6" s="56">
        <f>U3/U5</f>
        <v>15.086424119181292</v>
      </c>
      <c r="V6" s="58">
        <f t="shared" ref="V6" si="2">V3/V5</f>
        <v>15.193370165745856</v>
      </c>
    </row>
    <row r="7" spans="1:22" s="74" customFormat="1" x14ac:dyDescent="0.15">
      <c r="F7" s="71"/>
      <c r="J7" s="71"/>
      <c r="N7" s="71"/>
      <c r="Q7" s="70"/>
      <c r="R7" s="71"/>
      <c r="V7" s="71" t="s">
        <v>104</v>
      </c>
    </row>
    <row r="8" spans="1:22" s="73" customFormat="1" x14ac:dyDescent="0.15">
      <c r="A8" s="72" t="s">
        <v>4</v>
      </c>
      <c r="B8" s="24">
        <f>B3</f>
        <v>88.248999999999995</v>
      </c>
      <c r="C8" s="24">
        <f t="shared" ref="C8:D8" si="3">C3</f>
        <v>87.954999999999998</v>
      </c>
      <c r="D8" s="24">
        <f t="shared" si="3"/>
        <v>85.662000000000006</v>
      </c>
      <c r="E8" s="24">
        <f t="shared" ref="E8:O8" si="4">E5*E6</f>
        <v>99.959000000000003</v>
      </c>
      <c r="F8" s="42">
        <f t="shared" si="4"/>
        <v>112.23999999999998</v>
      </c>
      <c r="G8" s="24">
        <f t="shared" si="4"/>
        <v>120.173</v>
      </c>
      <c r="H8" s="24">
        <f t="shared" si="4"/>
        <v>123.46099999999998</v>
      </c>
      <c r="I8" s="24">
        <f t="shared" si="4"/>
        <v>137.45699999999999</v>
      </c>
      <c r="J8" s="42">
        <f t="shared" si="4"/>
        <v>156.13399999999999</v>
      </c>
      <c r="K8" s="24">
        <f t="shared" si="4"/>
        <v>158.79400000000001</v>
      </c>
      <c r="L8" s="24">
        <f t="shared" si="4"/>
        <v>163.059</v>
      </c>
      <c r="M8" s="24">
        <f t="shared" si="4"/>
        <v>205.08</v>
      </c>
      <c r="N8" s="42">
        <f t="shared" si="4"/>
        <v>232.57</v>
      </c>
      <c r="O8" s="24">
        <f t="shared" si="4"/>
        <v>239.74100000000001</v>
      </c>
      <c r="P8" s="24">
        <f t="shared" ref="P8:U8" si="5">P5*P6</f>
        <v>247.22499999999999</v>
      </c>
      <c r="Q8" s="24">
        <f t="shared" si="5"/>
        <v>287.721</v>
      </c>
      <c r="R8" s="42">
        <f t="shared" si="5"/>
        <v>323.77</v>
      </c>
      <c r="S8" s="24">
        <f t="shared" si="5"/>
        <v>325.05799999999994</v>
      </c>
      <c r="T8" s="24">
        <f t="shared" si="5"/>
        <v>322</v>
      </c>
      <c r="U8" s="24">
        <f>U5*U6</f>
        <v>341.27</v>
      </c>
      <c r="V8" s="42">
        <f t="shared" ref="V8" si="6">V5*V6</f>
        <v>363</v>
      </c>
    </row>
    <row r="9" spans="1:22" s="18" customFormat="1" x14ac:dyDescent="0.15">
      <c r="A9" s="53" t="s">
        <v>5</v>
      </c>
      <c r="B9" s="5">
        <v>22.701000000000001</v>
      </c>
      <c r="C9" s="5">
        <v>24.603000000000002</v>
      </c>
      <c r="D9" s="5">
        <v>27.637</v>
      </c>
      <c r="E9" s="5">
        <v>32.482999999999997</v>
      </c>
      <c r="F9" s="31">
        <v>34.987000000000002</v>
      </c>
      <c r="G9" s="18">
        <v>40.695999999999998</v>
      </c>
      <c r="H9" s="18">
        <v>44.345999999999997</v>
      </c>
      <c r="I9" s="18">
        <v>51.726999999999997</v>
      </c>
      <c r="J9" s="31">
        <v>59.518999999999998</v>
      </c>
      <c r="K9" s="5">
        <v>62.923999999999999</v>
      </c>
      <c r="L9" s="5">
        <v>65.352000000000004</v>
      </c>
      <c r="M9" s="5">
        <v>81.658000000000001</v>
      </c>
      <c r="N9" s="31">
        <v>96.283000000000001</v>
      </c>
      <c r="O9" s="5">
        <v>102.44499999999999</v>
      </c>
      <c r="P9" s="5">
        <v>111.511</v>
      </c>
      <c r="Q9" s="19">
        <v>144.08199999999999</v>
      </c>
      <c r="R9" s="31">
        <v>161.35</v>
      </c>
      <c r="S9" s="5">
        <v>162.40600000000001</v>
      </c>
      <c r="T9" s="5">
        <v>161</v>
      </c>
      <c r="U9" s="5">
        <v>190.328</v>
      </c>
      <c r="V9" s="31">
        <v>215</v>
      </c>
    </row>
    <row r="10" spans="1:22" s="18" customFormat="1" x14ac:dyDescent="0.15">
      <c r="A10" s="53" t="s">
        <v>6</v>
      </c>
      <c r="B10" s="7">
        <f>B8-B9</f>
        <v>65.548000000000002</v>
      </c>
      <c r="C10" s="7">
        <f>C8-C9</f>
        <v>63.351999999999997</v>
      </c>
      <c r="D10" s="7">
        <f>D8-D9</f>
        <v>58.025000000000006</v>
      </c>
      <c r="E10" s="7">
        <f>E8-E9</f>
        <v>67.475999999999999</v>
      </c>
      <c r="F10" s="43">
        <f>F8-F9</f>
        <v>77.252999999999986</v>
      </c>
      <c r="G10" s="44">
        <f t="shared" ref="G10:L10" si="7">G8-G9</f>
        <v>79.477000000000004</v>
      </c>
      <c r="H10" s="44">
        <f t="shared" si="7"/>
        <v>79.114999999999981</v>
      </c>
      <c r="I10" s="44">
        <f t="shared" si="7"/>
        <v>85.72999999999999</v>
      </c>
      <c r="J10" s="43">
        <f t="shared" si="7"/>
        <v>96.614999999999981</v>
      </c>
      <c r="K10" s="7">
        <f t="shared" si="7"/>
        <v>95.87</v>
      </c>
      <c r="L10" s="7">
        <f t="shared" si="7"/>
        <v>97.706999999999994</v>
      </c>
      <c r="M10" s="7">
        <f t="shared" ref="M10" si="8">M8-M9</f>
        <v>123.42200000000001</v>
      </c>
      <c r="N10" s="43">
        <f t="shared" ref="N10" si="9">N8-N9</f>
        <v>136.28699999999998</v>
      </c>
      <c r="O10" s="7">
        <f t="shared" ref="O10:R10" si="10">O8-O9</f>
        <v>137.29600000000002</v>
      </c>
      <c r="P10" s="7">
        <f t="shared" si="10"/>
        <v>135.714</v>
      </c>
      <c r="Q10" s="7">
        <f t="shared" si="10"/>
        <v>143.63900000000001</v>
      </c>
      <c r="R10" s="43">
        <f t="shared" si="10"/>
        <v>162.41999999999999</v>
      </c>
      <c r="S10" s="7">
        <f t="shared" ref="S10:T10" si="11">S8-S9</f>
        <v>162.65199999999993</v>
      </c>
      <c r="T10" s="7">
        <f t="shared" si="11"/>
        <v>161</v>
      </c>
      <c r="U10" s="7">
        <f t="shared" ref="U10:V10" si="12">U8-U9</f>
        <v>150.94199999999998</v>
      </c>
      <c r="V10" s="43">
        <f t="shared" si="12"/>
        <v>148</v>
      </c>
    </row>
    <row r="11" spans="1:22" s="18" customFormat="1" x14ac:dyDescent="0.15">
      <c r="A11" s="53" t="s">
        <v>7</v>
      </c>
      <c r="B11" s="5">
        <v>7.6660000000000004</v>
      </c>
      <c r="C11" s="5">
        <v>7.9020000000000001</v>
      </c>
      <c r="D11" s="5">
        <v>8.4120000000000008</v>
      </c>
      <c r="E11" s="5">
        <v>8.8019999999999996</v>
      </c>
      <c r="F11" s="31">
        <v>10.192</v>
      </c>
      <c r="G11" s="18">
        <v>10.567</v>
      </c>
      <c r="H11" s="18">
        <v>11.006</v>
      </c>
      <c r="I11" s="18">
        <v>10.689</v>
      </c>
      <c r="J11" s="31">
        <v>13.192</v>
      </c>
      <c r="K11" s="5">
        <v>14.076000000000001</v>
      </c>
      <c r="L11" s="5">
        <v>14.292</v>
      </c>
      <c r="M11" s="5">
        <v>14.702999999999999</v>
      </c>
      <c r="N11" s="31">
        <v>17.331</v>
      </c>
      <c r="O11" s="5">
        <v>18.716999999999999</v>
      </c>
      <c r="P11" s="5">
        <v>21.257999999999999</v>
      </c>
      <c r="Q11" s="19">
        <v>24.972000000000001</v>
      </c>
      <c r="R11" s="31">
        <v>27.25</v>
      </c>
      <c r="S11" s="5">
        <v>29.4</v>
      </c>
      <c r="T11" s="5">
        <v>29</v>
      </c>
      <c r="U11" s="5">
        <v>29.164000000000001</v>
      </c>
      <c r="V11" s="31">
        <v>31</v>
      </c>
    </row>
    <row r="12" spans="1:22" s="18" customFormat="1" x14ac:dyDescent="0.15">
      <c r="A12" s="53" t="s">
        <v>8</v>
      </c>
      <c r="B12" s="5">
        <v>24.106999999999999</v>
      </c>
      <c r="C12" s="5">
        <v>20.678999999999998</v>
      </c>
      <c r="D12" s="5">
        <v>21.443000000000001</v>
      </c>
      <c r="E12" s="5">
        <v>24.920999999999999</v>
      </c>
      <c r="F12" s="31">
        <v>28.832999999999998</v>
      </c>
      <c r="G12" s="18">
        <v>25.355</v>
      </c>
      <c r="H12" s="18">
        <v>26.498999999999999</v>
      </c>
      <c r="I12" s="18">
        <v>29.635999999999999</v>
      </c>
      <c r="J12" s="31">
        <v>35.438000000000002</v>
      </c>
      <c r="K12" s="5">
        <v>34.770000000000003</v>
      </c>
      <c r="L12" s="5">
        <v>35.137999999999998</v>
      </c>
      <c r="M12" s="5">
        <v>45.384</v>
      </c>
      <c r="N12" s="31">
        <v>48.756</v>
      </c>
      <c r="O12" s="5">
        <v>46.231000000000002</v>
      </c>
      <c r="P12" s="5">
        <v>49.426000000000002</v>
      </c>
      <c r="Q12" s="19">
        <v>69.876999999999995</v>
      </c>
      <c r="R12" s="31">
        <v>78.453999999999994</v>
      </c>
      <c r="S12" s="5">
        <v>74.128</v>
      </c>
      <c r="T12" s="5">
        <v>72</v>
      </c>
      <c r="U12" s="5">
        <v>86.1</v>
      </c>
      <c r="V12" s="31">
        <v>91</v>
      </c>
    </row>
    <row r="13" spans="1:22" s="18" customFormat="1" x14ac:dyDescent="0.15">
      <c r="A13" s="53" t="s">
        <v>9</v>
      </c>
      <c r="B13" s="5">
        <f>9.101+6.249</f>
        <v>15.350000000000001</v>
      </c>
      <c r="C13" s="5">
        <f>9.745+8.829</f>
        <v>18.573999999999998</v>
      </c>
      <c r="D13" s="5">
        <f>10.203+6.299</f>
        <v>16.501999999999999</v>
      </c>
      <c r="E13" s="5">
        <f>11.457+6.657</f>
        <v>18.114000000000001</v>
      </c>
      <c r="F13" s="31">
        <f>13.589+7.308</f>
        <v>20.896999999999998</v>
      </c>
      <c r="G13" s="18">
        <f>12.158+8.885</f>
        <v>21.042999999999999</v>
      </c>
      <c r="H13" s="18">
        <f>11.754+9.089</f>
        <v>20.843</v>
      </c>
      <c r="I13" s="18">
        <f>12.252+9.911</f>
        <v>22.163</v>
      </c>
      <c r="J13" s="31">
        <f>12.96+10.04</f>
        <v>23</v>
      </c>
      <c r="K13" s="5">
        <f>14.515+10.414</f>
        <v>24.929000000000002</v>
      </c>
      <c r="L13" s="5">
        <f>18.244+12.613</f>
        <v>30.856999999999999</v>
      </c>
      <c r="M13" s="5">
        <f>18.396+18.781</f>
        <v>37.177</v>
      </c>
      <c r="N13" s="31">
        <f>17.697+20.951</f>
        <v>38.647999999999996</v>
      </c>
      <c r="O13" s="5">
        <f>18.18+19.849</f>
        <v>38.028999999999996</v>
      </c>
      <c r="P13" s="5">
        <f>22.195+20.987</f>
        <v>43.182000000000002</v>
      </c>
      <c r="Q13" s="19">
        <f>27.393+24.153</f>
        <v>51.545999999999999</v>
      </c>
      <c r="R13" s="31">
        <f>22.787+25.089</f>
        <v>47.875999999999998</v>
      </c>
      <c r="S13" s="5">
        <f>25.784+27.223</f>
        <v>53.006999999999998</v>
      </c>
      <c r="T13" s="5">
        <f>25+31</f>
        <v>56</v>
      </c>
      <c r="U13" s="5">
        <f>28.018+32.488</f>
        <v>60.506</v>
      </c>
      <c r="V13" s="31">
        <f>39+33</f>
        <v>72</v>
      </c>
    </row>
    <row r="14" spans="1:22" s="18" customFormat="1" x14ac:dyDescent="0.15">
      <c r="A14" s="53" t="s">
        <v>10</v>
      </c>
      <c r="B14" s="7">
        <f>SUM(B11:B13)</f>
        <v>47.123000000000005</v>
      </c>
      <c r="C14" s="7">
        <f>SUM(C11:C13)</f>
        <v>47.155000000000001</v>
      </c>
      <c r="D14" s="7">
        <f>SUM(D11:D13)</f>
        <v>46.356999999999999</v>
      </c>
      <c r="E14" s="7">
        <f>SUM(E11:E13)</f>
        <v>51.837000000000003</v>
      </c>
      <c r="F14" s="43">
        <f>SUM(F11:F13)</f>
        <v>59.921999999999997</v>
      </c>
      <c r="G14" s="44">
        <f t="shared" ref="G14:L14" si="13">SUM(G11:G13)</f>
        <v>56.964999999999996</v>
      </c>
      <c r="H14" s="44">
        <f t="shared" si="13"/>
        <v>58.347999999999999</v>
      </c>
      <c r="I14" s="44">
        <f t="shared" si="13"/>
        <v>62.488</v>
      </c>
      <c r="J14" s="43">
        <f t="shared" si="13"/>
        <v>71.63</v>
      </c>
      <c r="K14" s="7">
        <f t="shared" si="13"/>
        <v>73.775000000000006</v>
      </c>
      <c r="L14" s="7">
        <f t="shared" si="13"/>
        <v>80.287000000000006</v>
      </c>
      <c r="M14" s="7">
        <f t="shared" ref="M14" si="14">SUM(M11:M13)</f>
        <v>97.26400000000001</v>
      </c>
      <c r="N14" s="43">
        <f t="shared" ref="N14" si="15">SUM(N11:N13)</f>
        <v>104.735</v>
      </c>
      <c r="O14" s="7">
        <f t="shared" ref="O14:P14" si="16">SUM(O11:O13)</f>
        <v>102.977</v>
      </c>
      <c r="P14" s="7">
        <f t="shared" si="16"/>
        <v>113.866</v>
      </c>
      <c r="Q14" s="7">
        <f t="shared" ref="Q14:S14" si="17">SUM(Q11:Q13)</f>
        <v>146.39499999999998</v>
      </c>
      <c r="R14" s="43">
        <f t="shared" si="17"/>
        <v>153.57999999999998</v>
      </c>
      <c r="S14" s="7">
        <f t="shared" si="17"/>
        <v>156.535</v>
      </c>
      <c r="T14" s="7">
        <f t="shared" ref="T14:V14" si="18">SUM(T11:T13)</f>
        <v>157</v>
      </c>
      <c r="U14" s="7">
        <f t="shared" si="18"/>
        <v>175.76999999999998</v>
      </c>
      <c r="V14" s="43">
        <f t="shared" si="18"/>
        <v>194</v>
      </c>
    </row>
    <row r="15" spans="1:22" s="18" customFormat="1" x14ac:dyDescent="0.15">
      <c r="A15" s="53" t="s">
        <v>11</v>
      </c>
      <c r="B15" s="7">
        <f>B10-B14</f>
        <v>18.424999999999997</v>
      </c>
      <c r="C15" s="7">
        <f>C10-C14</f>
        <v>16.196999999999996</v>
      </c>
      <c r="D15" s="7">
        <f>D10-D14</f>
        <v>11.668000000000006</v>
      </c>
      <c r="E15" s="7">
        <f>E10-E14</f>
        <v>15.638999999999996</v>
      </c>
      <c r="F15" s="43">
        <f>F10-F14</f>
        <v>17.330999999999989</v>
      </c>
      <c r="G15" s="44">
        <f t="shared" ref="G15" si="19">G10-G14</f>
        <v>22.512000000000008</v>
      </c>
      <c r="H15" s="44">
        <f t="shared" ref="H15:N15" si="20">H10-H14</f>
        <v>20.766999999999982</v>
      </c>
      <c r="I15" s="44">
        <f t="shared" si="20"/>
        <v>23.24199999999999</v>
      </c>
      <c r="J15" s="43">
        <f>J10-J14</f>
        <v>24.984999999999985</v>
      </c>
      <c r="K15" s="7">
        <f t="shared" si="20"/>
        <v>22.094999999999999</v>
      </c>
      <c r="L15" s="7">
        <f t="shared" si="20"/>
        <v>17.419999999999987</v>
      </c>
      <c r="M15" s="7">
        <f t="shared" ref="M15" si="21">M10-M14</f>
        <v>26.158000000000001</v>
      </c>
      <c r="N15" s="43">
        <f t="shared" si="20"/>
        <v>31.551999999999978</v>
      </c>
      <c r="O15" s="7">
        <f t="shared" ref="O15:P15" si="22">O10-O14</f>
        <v>34.319000000000017</v>
      </c>
      <c r="P15" s="7">
        <f t="shared" si="22"/>
        <v>21.847999999999999</v>
      </c>
      <c r="Q15" s="7">
        <f t="shared" ref="Q15:S15" si="23">Q10-Q14</f>
        <v>-2.7559999999999718</v>
      </c>
      <c r="R15" s="43">
        <f t="shared" si="23"/>
        <v>8.8400000000000034</v>
      </c>
      <c r="S15" s="7">
        <f t="shared" si="23"/>
        <v>6.1169999999999334</v>
      </c>
      <c r="T15" s="7">
        <f t="shared" ref="T15:V15" si="24">T10-T14</f>
        <v>4</v>
      </c>
      <c r="U15" s="7">
        <f t="shared" si="24"/>
        <v>-24.828000000000003</v>
      </c>
      <c r="V15" s="43">
        <f t="shared" si="24"/>
        <v>-46</v>
      </c>
    </row>
    <row r="16" spans="1:22" s="18" customFormat="1" x14ac:dyDescent="0.15">
      <c r="A16" s="53" t="s">
        <v>12</v>
      </c>
      <c r="B16" s="5">
        <v>0</v>
      </c>
      <c r="C16" s="5">
        <v>0</v>
      </c>
      <c r="D16" s="5">
        <v>0</v>
      </c>
      <c r="E16" s="5">
        <v>0</v>
      </c>
      <c r="F16" s="31">
        <v>0</v>
      </c>
      <c r="G16" s="18">
        <v>0</v>
      </c>
      <c r="H16" s="18">
        <v>0</v>
      </c>
      <c r="I16" s="18">
        <v>0</v>
      </c>
      <c r="J16" s="31">
        <v>0</v>
      </c>
      <c r="K16" s="5">
        <v>0</v>
      </c>
      <c r="L16" s="5">
        <v>0</v>
      </c>
      <c r="M16" s="5">
        <v>-1.01</v>
      </c>
      <c r="N16" s="31">
        <v>-1.022</v>
      </c>
      <c r="O16" s="5">
        <v>8.0000000000000002E-3</v>
      </c>
      <c r="P16" s="5">
        <v>0.33700000000000002</v>
      </c>
      <c r="Q16" s="19">
        <v>-2.1629999999999998</v>
      </c>
      <c r="R16" s="31">
        <v>-2.8119999999999998</v>
      </c>
      <c r="S16" s="5">
        <v>-5.4669999999999996</v>
      </c>
      <c r="T16" s="5">
        <v>-6</v>
      </c>
      <c r="U16" s="5">
        <v>-6.1890000000000001</v>
      </c>
      <c r="V16" s="31">
        <v>-6</v>
      </c>
    </row>
    <row r="17" spans="1:22" s="18" customFormat="1" x14ac:dyDescent="0.15">
      <c r="A17" s="53" t="s">
        <v>13</v>
      </c>
      <c r="B17" s="7">
        <f>B15+B16</f>
        <v>18.424999999999997</v>
      </c>
      <c r="C17" s="7">
        <f>C15+C16</f>
        <v>16.196999999999996</v>
      </c>
      <c r="D17" s="7">
        <f>D15+D16</f>
        <v>11.668000000000006</v>
      </c>
      <c r="E17" s="7">
        <f>E15+E16</f>
        <v>15.638999999999996</v>
      </c>
      <c r="F17" s="43">
        <f>F15+F16</f>
        <v>17.330999999999989</v>
      </c>
      <c r="G17" s="44">
        <f t="shared" ref="G17:I17" si="25">G15+G16</f>
        <v>22.512000000000008</v>
      </c>
      <c r="H17" s="44">
        <f t="shared" si="25"/>
        <v>20.766999999999982</v>
      </c>
      <c r="I17" s="44">
        <f t="shared" si="25"/>
        <v>23.24199999999999</v>
      </c>
      <c r="J17" s="43">
        <f t="shared" ref="J17:K17" si="26">J15+J16</f>
        <v>24.984999999999985</v>
      </c>
      <c r="K17" s="7">
        <f t="shared" si="26"/>
        <v>22.094999999999999</v>
      </c>
      <c r="L17" s="7">
        <f t="shared" ref="L17:M17" si="27">L15+L16</f>
        <v>17.419999999999987</v>
      </c>
      <c r="M17" s="7">
        <f t="shared" si="27"/>
        <v>25.148</v>
      </c>
      <c r="N17" s="43">
        <f t="shared" ref="N17" si="28">N15+N16</f>
        <v>30.52999999999998</v>
      </c>
      <c r="O17" s="7">
        <f t="shared" ref="O17:R17" si="29">O15+O16</f>
        <v>34.327000000000019</v>
      </c>
      <c r="P17" s="7">
        <f t="shared" si="29"/>
        <v>22.184999999999999</v>
      </c>
      <c r="Q17" s="7">
        <f t="shared" si="29"/>
        <v>-4.9189999999999721</v>
      </c>
      <c r="R17" s="43">
        <f t="shared" si="29"/>
        <v>6.028000000000004</v>
      </c>
      <c r="S17" s="7">
        <f t="shared" ref="S17:T17" si="30">S15+S16</f>
        <v>0.64999999999993374</v>
      </c>
      <c r="T17" s="7">
        <f t="shared" si="30"/>
        <v>-2</v>
      </c>
      <c r="U17" s="7">
        <f t="shared" ref="U17:V17" si="31">U15+U16</f>
        <v>-31.017000000000003</v>
      </c>
      <c r="V17" s="43">
        <f t="shared" si="31"/>
        <v>-52</v>
      </c>
    </row>
    <row r="18" spans="1:22" s="18" customFormat="1" x14ac:dyDescent="0.15">
      <c r="A18" s="53" t="s">
        <v>14</v>
      </c>
      <c r="B18" s="5">
        <v>7.8550000000000004</v>
      </c>
      <c r="C18" s="5">
        <v>6.8449999999999998</v>
      </c>
      <c r="D18" s="5">
        <v>4.8010000000000002</v>
      </c>
      <c r="E18" s="5">
        <v>4.351</v>
      </c>
      <c r="F18" s="31">
        <v>7.3979999999999997</v>
      </c>
      <c r="G18" s="18">
        <v>9.7070000000000007</v>
      </c>
      <c r="H18" s="18">
        <v>7.585</v>
      </c>
      <c r="I18" s="18">
        <v>9.6050000000000004</v>
      </c>
      <c r="J18" s="31">
        <v>7.27</v>
      </c>
      <c r="K18" s="5">
        <v>7.3410000000000002</v>
      </c>
      <c r="L18" s="5">
        <v>4.4320000000000004</v>
      </c>
      <c r="M18" s="5">
        <v>-28.378</v>
      </c>
      <c r="N18" s="31">
        <v>-0.23599999999999999</v>
      </c>
      <c r="O18" s="5">
        <v>4.1909999999999998</v>
      </c>
      <c r="P18" s="5">
        <v>-1.234</v>
      </c>
      <c r="Q18" s="19">
        <v>0.23100000000000001</v>
      </c>
      <c r="R18" s="31">
        <v>-0.86199999999999999</v>
      </c>
      <c r="S18" s="5">
        <v>-0.60199999999999998</v>
      </c>
      <c r="T18" s="5">
        <v>-3</v>
      </c>
      <c r="U18" s="5">
        <v>-3.2989999999999999</v>
      </c>
      <c r="V18" s="31">
        <v>-19</v>
      </c>
    </row>
    <row r="19" spans="1:22" s="73" customFormat="1" x14ac:dyDescent="0.15">
      <c r="A19" s="72" t="s">
        <v>15</v>
      </c>
      <c r="B19" s="24">
        <f t="shared" ref="B19:G19" si="32">B17-B18</f>
        <v>10.569999999999997</v>
      </c>
      <c r="C19" s="24">
        <f t="shared" si="32"/>
        <v>9.3519999999999968</v>
      </c>
      <c r="D19" s="24">
        <f t="shared" si="32"/>
        <v>6.8670000000000062</v>
      </c>
      <c r="E19" s="24">
        <f>E17-E18</f>
        <v>11.287999999999997</v>
      </c>
      <c r="F19" s="42">
        <f t="shared" si="32"/>
        <v>9.9329999999999892</v>
      </c>
      <c r="G19" s="45">
        <f t="shared" si="32"/>
        <v>12.805000000000007</v>
      </c>
      <c r="H19" s="45">
        <f t="shared" ref="H19" si="33">H17-H18</f>
        <v>13.181999999999981</v>
      </c>
      <c r="I19" s="45">
        <f t="shared" ref="I19:Q19" si="34">I17-I18</f>
        <v>13.63699999999999</v>
      </c>
      <c r="J19" s="42">
        <f t="shared" si="34"/>
        <v>17.714999999999986</v>
      </c>
      <c r="K19" s="24">
        <f t="shared" si="34"/>
        <v>14.753999999999998</v>
      </c>
      <c r="L19" s="24">
        <f t="shared" si="34"/>
        <v>12.987999999999987</v>
      </c>
      <c r="M19" s="24">
        <f t="shared" si="34"/>
        <v>53.525999999999996</v>
      </c>
      <c r="N19" s="42">
        <f t="shared" si="34"/>
        <v>30.76599999999998</v>
      </c>
      <c r="O19" s="24">
        <f t="shared" si="34"/>
        <v>30.136000000000021</v>
      </c>
      <c r="P19" s="24">
        <f t="shared" si="34"/>
        <v>23.418999999999997</v>
      </c>
      <c r="Q19" s="24">
        <f t="shared" si="34"/>
        <v>-5.1499999999999719</v>
      </c>
      <c r="R19" s="42">
        <f t="shared" ref="R19:S19" si="35">R17-R18</f>
        <v>6.8900000000000041</v>
      </c>
      <c r="S19" s="24">
        <f t="shared" si="35"/>
        <v>1.2519999999999336</v>
      </c>
      <c r="T19" s="24">
        <f t="shared" ref="T19:V19" si="36">T17-T18</f>
        <v>1</v>
      </c>
      <c r="U19" s="24">
        <f t="shared" si="36"/>
        <v>-27.718000000000004</v>
      </c>
      <c r="V19" s="42">
        <f t="shared" si="36"/>
        <v>-33</v>
      </c>
    </row>
    <row r="20" spans="1:22" x14ac:dyDescent="0.15">
      <c r="A20" s="30" t="s">
        <v>16</v>
      </c>
      <c r="B20" s="41">
        <f t="shared" ref="B20:H20" si="37">IFERROR(B19/B21,0)</f>
        <v>0.12420973465886385</v>
      </c>
      <c r="C20" s="41">
        <f t="shared" si="37"/>
        <v>0.10895576293500166</v>
      </c>
      <c r="D20" s="41">
        <f t="shared" si="37"/>
        <v>7.9972515634644345E-2</v>
      </c>
      <c r="E20" s="41">
        <f t="shared" si="37"/>
        <v>0.13121309341144738</v>
      </c>
      <c r="F20" s="46">
        <f t="shared" si="37"/>
        <v>0.11590566984445547</v>
      </c>
      <c r="G20" s="47">
        <f t="shared" si="37"/>
        <v>0.14933118753571478</v>
      </c>
      <c r="H20" s="47">
        <f t="shared" si="37"/>
        <v>0.15252707581227415</v>
      </c>
      <c r="I20" s="47">
        <f t="shared" ref="I20:L20" si="38">IFERROR(I19/I21,0)</f>
        <v>0.15735121039392599</v>
      </c>
      <c r="J20" s="46">
        <f t="shared" si="38"/>
        <v>0.20334022038567476</v>
      </c>
      <c r="K20" s="41">
        <f t="shared" si="38"/>
        <v>0.16823261117445834</v>
      </c>
      <c r="L20" s="41">
        <f t="shared" si="38"/>
        <v>0.14668579108455762</v>
      </c>
      <c r="M20" s="41">
        <f t="shared" ref="M20" si="39">IFERROR(M19/M21,0)</f>
        <v>0</v>
      </c>
      <c r="N20" s="46">
        <f t="shared" ref="N20" si="40">IFERROR(N19/N21,0)</f>
        <v>0.34149915085857613</v>
      </c>
      <c r="O20" s="41">
        <f t="shared" ref="O20:Q20" si="41">IFERROR(O19/O21,0)</f>
        <v>0.32578402862609884</v>
      </c>
      <c r="P20" s="41">
        <f t="shared" si="41"/>
        <v>0.25826551092878092</v>
      </c>
      <c r="Q20" s="41">
        <f t="shared" si="41"/>
        <v>-5.5290732629047191E-2</v>
      </c>
      <c r="R20" s="46">
        <f t="shared" ref="R20:S20" si="42">IFERROR(R19/R21,0)</f>
        <v>7.4151402311715742E-2</v>
      </c>
      <c r="S20" s="41">
        <f t="shared" si="42"/>
        <v>1.3493414954841609E-2</v>
      </c>
      <c r="T20" s="41">
        <f t="shared" ref="T20:V20" si="43">IFERROR(T19/T21,0)</f>
        <v>1.0770407229097332E-2</v>
      </c>
      <c r="U20" s="41">
        <f t="shared" si="43"/>
        <v>-0.30289916838780889</v>
      </c>
      <c r="V20" s="46">
        <f t="shared" si="43"/>
        <v>-0.35950453738302485</v>
      </c>
    </row>
    <row r="21" spans="1:22" s="18" customFormat="1" x14ac:dyDescent="0.15">
      <c r="A21" s="53" t="s">
        <v>17</v>
      </c>
      <c r="B21" s="5">
        <v>85.097999999999999</v>
      </c>
      <c r="C21" s="5">
        <v>85.832999999999998</v>
      </c>
      <c r="D21" s="5">
        <v>85.867000000000004</v>
      </c>
      <c r="E21" s="5">
        <v>86.028000000000006</v>
      </c>
      <c r="F21" s="31">
        <v>85.698999999999998</v>
      </c>
      <c r="G21" s="5">
        <v>85.748999999999995</v>
      </c>
      <c r="H21" s="5">
        <v>86.424000000000007</v>
      </c>
      <c r="I21" s="5">
        <v>86.665999999999997</v>
      </c>
      <c r="J21" s="31">
        <v>87.12</v>
      </c>
      <c r="K21" s="5">
        <v>87.7</v>
      </c>
      <c r="L21" s="5">
        <v>88.543000000000006</v>
      </c>
      <c r="M21" s="5"/>
      <c r="N21" s="31">
        <v>90.090999999999994</v>
      </c>
      <c r="O21" s="5">
        <v>92.503</v>
      </c>
      <c r="P21" s="5">
        <v>90.677999999999997</v>
      </c>
      <c r="Q21" s="19">
        <v>93.144000000000005</v>
      </c>
      <c r="R21" s="31">
        <v>92.918000000000006</v>
      </c>
      <c r="S21" s="5">
        <v>92.786000000000001</v>
      </c>
      <c r="T21" s="5">
        <v>92.846999999999994</v>
      </c>
      <c r="U21" s="5">
        <v>91.509</v>
      </c>
      <c r="V21" s="31">
        <v>91.793000000000006</v>
      </c>
    </row>
    <row r="22" spans="1:22" x14ac:dyDescent="0.15">
      <c r="B22" s="3"/>
      <c r="C22" s="3"/>
      <c r="D22" s="3"/>
      <c r="E22" s="3"/>
      <c r="K22" s="3"/>
      <c r="L22" s="3"/>
      <c r="M22" s="3"/>
      <c r="O22" s="3"/>
      <c r="P22" s="3"/>
      <c r="Q22" s="40"/>
      <c r="S22" s="3"/>
      <c r="T22" s="3"/>
      <c r="U22" s="3"/>
    </row>
    <row r="23" spans="1:22" s="16" customFormat="1" x14ac:dyDescent="0.15">
      <c r="A23" s="28" t="s">
        <v>18</v>
      </c>
      <c r="B23" s="33"/>
      <c r="C23" s="33"/>
      <c r="D23" s="33"/>
      <c r="E23" s="33"/>
      <c r="F23" s="34">
        <f t="shared" ref="F23:M23" si="44">IFERROR((F8/B8)-1,0)</f>
        <v>0.27185577173678999</v>
      </c>
      <c r="G23" s="33">
        <f t="shared" si="44"/>
        <v>0.36630094934909896</v>
      </c>
      <c r="H23" s="33">
        <f t="shared" si="44"/>
        <v>0.44125750040858236</v>
      </c>
      <c r="I23" s="33">
        <f t="shared" si="44"/>
        <v>0.37513380485999259</v>
      </c>
      <c r="J23" s="34">
        <f t="shared" si="44"/>
        <v>0.39107270135424099</v>
      </c>
      <c r="K23" s="33">
        <f t="shared" si="44"/>
        <v>0.32137834621753636</v>
      </c>
      <c r="L23" s="33">
        <f t="shared" si="44"/>
        <v>0.32073286300937154</v>
      </c>
      <c r="M23" s="33">
        <f t="shared" si="44"/>
        <v>0.49195748488618274</v>
      </c>
      <c r="N23" s="34">
        <f t="shared" ref="N23:T23" si="45">IFERROR((N8/J8)-1,0)</f>
        <v>0.48955384477436059</v>
      </c>
      <c r="O23" s="33">
        <f t="shared" si="45"/>
        <v>0.50976107409599858</v>
      </c>
      <c r="P23" s="33">
        <f t="shared" si="45"/>
        <v>0.51616899404510019</v>
      </c>
      <c r="Q23" s="63">
        <f t="shared" si="45"/>
        <v>0.40296957284961965</v>
      </c>
      <c r="R23" s="34">
        <f>IFERROR((R8/N8)-1,0)</f>
        <v>0.39214000085995604</v>
      </c>
      <c r="S23" s="33">
        <f t="shared" si="45"/>
        <v>0.35587154470866444</v>
      </c>
      <c r="T23" s="33">
        <f t="shared" si="45"/>
        <v>0.3024572757609465</v>
      </c>
      <c r="U23" s="33">
        <f>IFERROR((U8/Q8)-1,0)</f>
        <v>0.18611432603112044</v>
      </c>
      <c r="V23" s="34">
        <f>IFERROR((V8/R8)-1,0)</f>
        <v>0.12116625999938235</v>
      </c>
    </row>
    <row r="24" spans="1:22" s="16" customFormat="1" x14ac:dyDescent="0.15">
      <c r="A24" s="30" t="s">
        <v>34</v>
      </c>
      <c r="B24" s="35"/>
      <c r="C24" s="35"/>
      <c r="D24" s="35"/>
      <c r="E24" s="35"/>
      <c r="F24" s="36">
        <f>IFERROR((F11/B11)-1,0)</f>
        <v>0.32950691364466467</v>
      </c>
      <c r="G24" s="35">
        <f t="shared" ref="G24:H24" si="46">IFERROR((G11/C11)-1,0)</f>
        <v>0.33725639078714242</v>
      </c>
      <c r="H24" s="35">
        <f t="shared" si="46"/>
        <v>0.30836899667142159</v>
      </c>
      <c r="I24" s="35">
        <f>IFERROR((I11/E11)-1,0)</f>
        <v>0.21438309475119288</v>
      </c>
      <c r="J24" s="36">
        <f>IFERROR((J11/F11)-1,0)</f>
        <v>0.29434850863422302</v>
      </c>
      <c r="K24" s="35">
        <f t="shared" ref="K24:M24" si="47">IFERROR((K11/G11)-1,0)</f>
        <v>0.3320715434844328</v>
      </c>
      <c r="L24" s="35">
        <f t="shared" si="47"/>
        <v>0.29856441940759582</v>
      </c>
      <c r="M24" s="35">
        <f t="shared" si="47"/>
        <v>0.37552624193095707</v>
      </c>
      <c r="N24" s="36">
        <f t="shared" ref="N24:V26" si="48">IFERROR((N11/J11)-1,0)</f>
        <v>0.31375075803517283</v>
      </c>
      <c r="O24" s="35">
        <f t="shared" si="48"/>
        <v>0.32971014492753614</v>
      </c>
      <c r="P24" s="35">
        <f t="shared" si="48"/>
        <v>0.4874055415617129</v>
      </c>
      <c r="Q24" s="64">
        <f t="shared" si="48"/>
        <v>0.69842889206284453</v>
      </c>
      <c r="R24" s="36">
        <f t="shared" si="48"/>
        <v>0.57232704402515733</v>
      </c>
      <c r="S24" s="35">
        <f t="shared" si="48"/>
        <v>0.57076454560025658</v>
      </c>
      <c r="T24" s="35">
        <f t="shared" si="48"/>
        <v>0.36419230407376046</v>
      </c>
      <c r="U24" s="35">
        <f t="shared" si="48"/>
        <v>0.16786801217363445</v>
      </c>
      <c r="V24" s="36">
        <f t="shared" si="48"/>
        <v>0.13761467889908263</v>
      </c>
    </row>
    <row r="25" spans="1:22" s="16" customFormat="1" x14ac:dyDescent="0.15">
      <c r="A25" s="30" t="s">
        <v>35</v>
      </c>
      <c r="B25" s="35"/>
      <c r="C25" s="35"/>
      <c r="D25" s="35"/>
      <c r="E25" s="35"/>
      <c r="F25" s="36">
        <f>IFERROR((F12/B12)-1,0)</f>
        <v>0.19604264321566345</v>
      </c>
      <c r="G25" s="35">
        <f t="shared" ref="G25:M25" si="49">IFERROR((G12/C12)-1,0)</f>
        <v>0.22612312007350455</v>
      </c>
      <c r="H25" s="35">
        <f t="shared" si="49"/>
        <v>0.23578790281210638</v>
      </c>
      <c r="I25" s="35">
        <f t="shared" si="49"/>
        <v>0.18919786525420323</v>
      </c>
      <c r="J25" s="36">
        <f t="shared" si="49"/>
        <v>0.22907779280685348</v>
      </c>
      <c r="K25" s="35">
        <f t="shared" si="49"/>
        <v>0.37132715440741482</v>
      </c>
      <c r="L25" s="35">
        <f t="shared" si="49"/>
        <v>0.32601230235103218</v>
      </c>
      <c r="M25" s="35">
        <f t="shared" si="49"/>
        <v>0.53138075313807542</v>
      </c>
      <c r="N25" s="36">
        <f t="shared" si="48"/>
        <v>0.37581127603137876</v>
      </c>
      <c r="O25" s="35">
        <f t="shared" si="48"/>
        <v>0.3296232384239286</v>
      </c>
      <c r="P25" s="35">
        <f t="shared" si="48"/>
        <v>0.40662530593659296</v>
      </c>
      <c r="Q25" s="64">
        <f t="shared" si="48"/>
        <v>0.53968358893001933</v>
      </c>
      <c r="R25" s="36">
        <f t="shared" si="48"/>
        <v>0.60911477561735983</v>
      </c>
      <c r="S25" s="35">
        <f t="shared" si="48"/>
        <v>0.60342627241461355</v>
      </c>
      <c r="T25" s="35">
        <f t="shared" si="48"/>
        <v>0.45672318213086216</v>
      </c>
      <c r="U25" s="35">
        <f t="shared" si="48"/>
        <v>0.23216509008686703</v>
      </c>
      <c r="V25" s="36">
        <f t="shared" si="48"/>
        <v>0.15991536441736565</v>
      </c>
    </row>
    <row r="26" spans="1:22" s="16" customFormat="1" x14ac:dyDescent="0.15">
      <c r="A26" s="30" t="s">
        <v>36</v>
      </c>
      <c r="B26" s="35"/>
      <c r="C26" s="35"/>
      <c r="D26" s="35"/>
      <c r="E26" s="35"/>
      <c r="F26" s="36">
        <f>IFERROR((F13/B13)-1,0)</f>
        <v>0.36136807817589545</v>
      </c>
      <c r="G26" s="35">
        <f t="shared" ref="G26:M26" si="50">IFERROR((G13/C13)-1,0)</f>
        <v>0.13292774846559707</v>
      </c>
      <c r="H26" s="35">
        <f t="shared" si="50"/>
        <v>0.26305902314870933</v>
      </c>
      <c r="I26" s="35">
        <f t="shared" si="50"/>
        <v>0.22352876228331664</v>
      </c>
      <c r="J26" s="36">
        <f>IFERROR((J13/F13)-1,0)</f>
        <v>0.1006364549935399</v>
      </c>
      <c r="K26" s="35">
        <f t="shared" si="50"/>
        <v>0.18466948628997781</v>
      </c>
      <c r="L26" s="35">
        <f t="shared" si="50"/>
        <v>0.48044907163076322</v>
      </c>
      <c r="M26" s="35">
        <f t="shared" si="50"/>
        <v>0.67743536524838688</v>
      </c>
      <c r="N26" s="36">
        <f t="shared" si="48"/>
        <v>0.68034782608695643</v>
      </c>
      <c r="O26" s="35">
        <f t="shared" si="48"/>
        <v>0.52549239841148832</v>
      </c>
      <c r="P26" s="35">
        <f t="shared" si="48"/>
        <v>0.39942314547752544</v>
      </c>
      <c r="Q26" s="64">
        <f t="shared" si="48"/>
        <v>0.38650240740242614</v>
      </c>
      <c r="R26" s="36">
        <f t="shared" si="48"/>
        <v>0.23877044090250465</v>
      </c>
      <c r="S26" s="35">
        <f t="shared" si="48"/>
        <v>0.39385731941413149</v>
      </c>
      <c r="T26" s="35">
        <f t="shared" si="48"/>
        <v>0.29683664489833728</v>
      </c>
      <c r="U26" s="35">
        <f t="shared" si="48"/>
        <v>0.17382532107244009</v>
      </c>
      <c r="V26" s="36">
        <f t="shared" si="48"/>
        <v>0.50388503634388848</v>
      </c>
    </row>
    <row r="27" spans="1:22" x14ac:dyDescent="0.15">
      <c r="B27" s="3"/>
      <c r="C27" s="3"/>
      <c r="D27" s="3"/>
      <c r="E27" s="3"/>
      <c r="K27" s="3"/>
      <c r="L27" s="3"/>
      <c r="M27" s="3"/>
      <c r="O27" s="3"/>
      <c r="P27" s="3"/>
      <c r="Q27" s="40"/>
      <c r="S27" s="3"/>
      <c r="T27" s="3"/>
      <c r="U27" s="3"/>
    </row>
    <row r="28" spans="1:22" x14ac:dyDescent="0.15">
      <c r="A28" s="30" t="s">
        <v>19</v>
      </c>
      <c r="B28" s="23">
        <f>IFERROR(B10/B8,0)</f>
        <v>0.74276195764257957</v>
      </c>
      <c r="C28" s="23">
        <f>IFERROR(C10/C8,0)</f>
        <v>0.72027741458700467</v>
      </c>
      <c r="D28" s="23">
        <f>IFERROR(D10/D8,0)</f>
        <v>0.67737152996661298</v>
      </c>
      <c r="E28" s="23">
        <f>IFERROR(E10/E8,0)</f>
        <v>0.67503676507368016</v>
      </c>
      <c r="F28" s="37">
        <f>IFERROR(F10/F8,0)</f>
        <v>0.68828403421240203</v>
      </c>
      <c r="G28" s="14">
        <f t="shared" ref="G28:L28" si="51">IFERROR(G10/G8,0)</f>
        <v>0.66135488004793097</v>
      </c>
      <c r="H28" s="14">
        <f t="shared" si="51"/>
        <v>0.64080964839098975</v>
      </c>
      <c r="I28" s="14">
        <f t="shared" si="51"/>
        <v>0.62368595269793459</v>
      </c>
      <c r="J28" s="37">
        <f t="shared" si="51"/>
        <v>0.61879539370028303</v>
      </c>
      <c r="K28" s="23">
        <f t="shared" si="51"/>
        <v>0.60373817650540951</v>
      </c>
      <c r="L28" s="23">
        <f t="shared" si="51"/>
        <v>0.59921255496476733</v>
      </c>
      <c r="M28" s="23">
        <f t="shared" ref="M28:N28" si="52">IFERROR(M10/M8,0)</f>
        <v>0.60182367856446262</v>
      </c>
      <c r="N28" s="37">
        <f t="shared" si="52"/>
        <v>0.58600421378509693</v>
      </c>
      <c r="O28" s="23">
        <f t="shared" ref="O28:P28" si="53">IFERROR(O10/O8,0)</f>
        <v>0.57268468889343083</v>
      </c>
      <c r="P28" s="23">
        <f t="shared" si="53"/>
        <v>0.54894933764789156</v>
      </c>
      <c r="Q28" s="65">
        <f t="shared" ref="Q28:S28" si="54">IFERROR(Q10/Q8,0)</f>
        <v>0.49923015699236417</v>
      </c>
      <c r="R28" s="37">
        <f t="shared" si="54"/>
        <v>0.50165240757327734</v>
      </c>
      <c r="S28" s="23">
        <f t="shared" si="54"/>
        <v>0.50037839400968431</v>
      </c>
      <c r="T28" s="23">
        <f t="shared" ref="T28:V28" si="55">IFERROR(T10/T8,0)</f>
        <v>0.5</v>
      </c>
      <c r="U28" s="23">
        <f t="shared" si="55"/>
        <v>0.44229495707211297</v>
      </c>
      <c r="V28" s="37">
        <f t="shared" si="55"/>
        <v>0.40771349862258954</v>
      </c>
    </row>
    <row r="29" spans="1:22" x14ac:dyDescent="0.15">
      <c r="A29" s="30" t="s">
        <v>20</v>
      </c>
      <c r="B29" s="22">
        <f>IFERROR(B15/B8,0)</f>
        <v>0.20878423551541658</v>
      </c>
      <c r="C29" s="22">
        <f>IFERROR(C15/C8,0)</f>
        <v>0.18415098629981236</v>
      </c>
      <c r="D29" s="22">
        <f>IFERROR(D15/D8,0)</f>
        <v>0.13620975461698309</v>
      </c>
      <c r="E29" s="22">
        <f>IFERROR(E15/E8,0)</f>
        <v>0.15645414619994194</v>
      </c>
      <c r="F29" s="38">
        <f>IFERROR(F15/F8,0)</f>
        <v>0.15441019244476115</v>
      </c>
      <c r="G29" s="39">
        <f t="shared" ref="G29:L29" si="56">IFERROR(G15/G8,0)</f>
        <v>0.18732993268038584</v>
      </c>
      <c r="H29" s="39">
        <f t="shared" si="56"/>
        <v>0.16820696414252262</v>
      </c>
      <c r="I29" s="39">
        <f t="shared" si="56"/>
        <v>0.16908560495282154</v>
      </c>
      <c r="J29" s="38">
        <f t="shared" si="56"/>
        <v>0.16002280092740842</v>
      </c>
      <c r="K29" s="22">
        <f>IFERROR(K15/K8,0)</f>
        <v>0.13914253687167019</v>
      </c>
      <c r="L29" s="22">
        <f t="shared" si="56"/>
        <v>0.10683249621302711</v>
      </c>
      <c r="M29" s="22">
        <f t="shared" ref="M29:N29" si="57">IFERROR(M15/M8,0)</f>
        <v>0.12755022430271112</v>
      </c>
      <c r="N29" s="38">
        <f t="shared" si="57"/>
        <v>0.13566668099926896</v>
      </c>
      <c r="O29" s="22">
        <f t="shared" ref="O29:P29" si="58">IFERROR(O15/O8,0)</f>
        <v>0.14315031638309683</v>
      </c>
      <c r="P29" s="22">
        <f t="shared" si="58"/>
        <v>8.8372939629891803E-2</v>
      </c>
      <c r="Q29" s="66">
        <f t="shared" ref="Q29:S29" si="59">IFERROR(Q15/Q8,0)</f>
        <v>-9.5787238331577172E-3</v>
      </c>
      <c r="R29" s="38">
        <f t="shared" si="59"/>
        <v>2.7303332612657147E-2</v>
      </c>
      <c r="S29" s="22">
        <f t="shared" si="59"/>
        <v>1.8818180140159402E-2</v>
      </c>
      <c r="T29" s="22">
        <f t="shared" ref="T29:V29" si="60">IFERROR(T15/T8,0)</f>
        <v>1.2422360248447204E-2</v>
      </c>
      <c r="U29" s="22">
        <f t="shared" si="60"/>
        <v>-7.2751780115451123E-2</v>
      </c>
      <c r="V29" s="38">
        <f t="shared" si="60"/>
        <v>-0.12672176308539945</v>
      </c>
    </row>
    <row r="30" spans="1:22" x14ac:dyDescent="0.15">
      <c r="A30" s="30" t="s">
        <v>21</v>
      </c>
      <c r="B30" s="22">
        <f>IFERROR(B18/B17,0)</f>
        <v>0.42632293080054284</v>
      </c>
      <c r="C30" s="22">
        <f t="shared" ref="C30" si="61">IFERROR(C18/C17,0)</f>
        <v>0.42260912514663218</v>
      </c>
      <c r="D30" s="22">
        <f t="shared" ref="D30:E30" si="62">IFERROR(D18/D17,0)</f>
        <v>0.41146726088447011</v>
      </c>
      <c r="E30" s="22">
        <f t="shared" si="62"/>
        <v>0.2782147196112284</v>
      </c>
      <c r="F30" s="38">
        <f>IFERROR(F18/F17,0)</f>
        <v>0.42686515492470167</v>
      </c>
      <c r="G30" s="39">
        <f>IFERROR(G18/G17,0)</f>
        <v>0.43119225302061109</v>
      </c>
      <c r="H30" s="39">
        <f>IFERROR(H18/H17,0)</f>
        <v>0.36524293350026515</v>
      </c>
      <c r="I30" s="39">
        <f t="shared" ref="I30:L30" si="63">IFERROR(I18/I17,0)</f>
        <v>0.41326047672317373</v>
      </c>
      <c r="J30" s="38">
        <f t="shared" si="63"/>
        <v>0.29097458475085064</v>
      </c>
      <c r="K30" s="22">
        <f t="shared" si="63"/>
        <v>0.33224711473183982</v>
      </c>
      <c r="L30" s="22">
        <f t="shared" si="63"/>
        <v>0.25442020665901283</v>
      </c>
      <c r="M30" s="22">
        <f>IFERROR(M18/M17,0)</f>
        <v>-1.1284396373469063</v>
      </c>
      <c r="N30" s="38">
        <f t="shared" ref="N30" si="64">IFERROR(N18/N17,0)</f>
        <v>-7.7301015394693794E-3</v>
      </c>
      <c r="O30" s="22">
        <f t="shared" ref="O30:P30" si="65">IFERROR(O18/O17,0)</f>
        <v>0.12209048271040282</v>
      </c>
      <c r="P30" s="22">
        <f t="shared" si="65"/>
        <v>-5.562316880775299E-2</v>
      </c>
      <c r="Q30" s="66">
        <f t="shared" ref="Q30:S30" si="66">IFERROR(Q18/Q17,0)</f>
        <v>-4.6960764383004942E-2</v>
      </c>
      <c r="R30" s="38">
        <f t="shared" si="66"/>
        <v>-0.14299933642999327</v>
      </c>
      <c r="S30" s="22">
        <f t="shared" si="66"/>
        <v>-0.92615384615394059</v>
      </c>
      <c r="T30" s="22">
        <f>IFERROR(T18/T17,0)</f>
        <v>1.5</v>
      </c>
      <c r="U30" s="22">
        <f>IFERROR(U18/U17,0)</f>
        <v>0.10636102782345164</v>
      </c>
      <c r="V30" s="38">
        <f t="shared" ref="V30" si="67">IFERROR(V18/V17,0)</f>
        <v>0.36538461538461536</v>
      </c>
    </row>
    <row r="31" spans="1:22" x14ac:dyDescent="0.15">
      <c r="B31" s="3"/>
      <c r="C31" s="3"/>
      <c r="D31" s="3"/>
      <c r="E31" s="3"/>
      <c r="K31" s="3"/>
      <c r="L31" s="3"/>
      <c r="M31" s="3"/>
      <c r="O31" s="3"/>
      <c r="P31" s="3"/>
      <c r="Q31" s="40"/>
      <c r="S31" s="3"/>
      <c r="T31" s="3"/>
      <c r="U31" s="3"/>
    </row>
    <row r="32" spans="1:22" s="16" customFormat="1" x14ac:dyDescent="0.15">
      <c r="A32" s="28" t="s">
        <v>26</v>
      </c>
      <c r="B32" s="17"/>
      <c r="C32" s="17"/>
      <c r="D32" s="17"/>
      <c r="E32" s="24">
        <f>E33-E34</f>
        <v>310.74099999999999</v>
      </c>
      <c r="F32" s="42">
        <f>F33-F34</f>
        <v>324.44100000000003</v>
      </c>
      <c r="G32" s="45">
        <f t="shared" ref="G32:N32" si="68">G33-G34</f>
        <v>269.80700000000002</v>
      </c>
      <c r="H32" s="45">
        <f t="shared" si="68"/>
        <v>296.58100000000002</v>
      </c>
      <c r="I32" s="45">
        <f t="shared" si="68"/>
        <v>323.61899999999997</v>
      </c>
      <c r="J32" s="42">
        <f t="shared" si="68"/>
        <v>361.27199999999999</v>
      </c>
      <c r="K32" s="24">
        <f t="shared" si="68"/>
        <v>373.56</v>
      </c>
      <c r="L32" s="24">
        <f t="shared" si="68"/>
        <v>331.60800000000006</v>
      </c>
      <c r="M32" s="24">
        <f t="shared" si="68"/>
        <v>84.143999999999977</v>
      </c>
      <c r="N32" s="42">
        <f t="shared" si="68"/>
        <v>140.501</v>
      </c>
      <c r="O32" s="24">
        <f t="shared" ref="O32:P32" si="69">O33-O34</f>
        <v>359.58</v>
      </c>
      <c r="P32" s="24">
        <f t="shared" si="69"/>
        <v>14.914000000000044</v>
      </c>
      <c r="Q32" s="24">
        <f t="shared" ref="Q32:S32" si="70">Q33-Q34</f>
        <v>-116.46899999999999</v>
      </c>
      <c r="R32" s="42">
        <f t="shared" si="70"/>
        <v>-133.95099999999999</v>
      </c>
      <c r="S32" s="24">
        <f t="shared" si="70"/>
        <v>-115.68600000000004</v>
      </c>
      <c r="T32" s="24">
        <f t="shared" ref="T32:V32" si="71">T33-T34</f>
        <v>-67</v>
      </c>
      <c r="U32" s="24">
        <f t="shared" si="71"/>
        <v>-67.825000000000045</v>
      </c>
      <c r="V32" s="42">
        <f t="shared" si="71"/>
        <v>-71</v>
      </c>
    </row>
    <row r="33" spans="1:22" x14ac:dyDescent="0.15">
      <c r="A33" s="30" t="s">
        <v>27</v>
      </c>
      <c r="B33" s="5"/>
      <c r="C33" s="5"/>
      <c r="D33" s="5"/>
      <c r="E33" s="5">
        <f>169.293+141.448</f>
        <v>310.74099999999999</v>
      </c>
      <c r="F33" s="31">
        <f>203.312+121.129</f>
        <v>324.44100000000003</v>
      </c>
      <c r="G33" s="5">
        <f>132.924+136.883</f>
        <v>269.80700000000002</v>
      </c>
      <c r="H33" s="5">
        <f>177.838+118.743</f>
        <v>296.58100000000002</v>
      </c>
      <c r="I33" s="5">
        <f>239.528+84.091</f>
        <v>323.61899999999997</v>
      </c>
      <c r="J33" s="31">
        <f>275.037+86.235</f>
        <v>361.27199999999999</v>
      </c>
      <c r="K33" s="5">
        <f>293.269+80.291</f>
        <v>373.56</v>
      </c>
      <c r="L33" s="5">
        <f>265.958+65.65</f>
        <v>331.60800000000006</v>
      </c>
      <c r="M33" s="5">
        <f>234.09+23.605</f>
        <v>257.69499999999999</v>
      </c>
      <c r="N33" s="31">
        <f>272.258+16.052</f>
        <v>288.31</v>
      </c>
      <c r="O33" s="5">
        <f>442.678+38.969</f>
        <v>481.64699999999999</v>
      </c>
      <c r="P33" s="5">
        <f>294.55+16.687</f>
        <v>311.23700000000002</v>
      </c>
      <c r="Q33" s="5">
        <f>211.245+14.084</f>
        <v>225.32900000000001</v>
      </c>
      <c r="R33" s="31">
        <f>189.694+14.704</f>
        <v>204.398</v>
      </c>
      <c r="S33" s="5">
        <f>358.847+18.19</f>
        <v>377.03699999999998</v>
      </c>
      <c r="T33" s="5">
        <f>394+32</f>
        <v>426</v>
      </c>
      <c r="U33" s="5">
        <f>375.909+49.275</f>
        <v>425.18399999999997</v>
      </c>
      <c r="V33" s="31">
        <f>561+36</f>
        <v>597</v>
      </c>
    </row>
    <row r="34" spans="1:22" x14ac:dyDescent="0.15">
      <c r="A34" s="30" t="s">
        <v>28</v>
      </c>
      <c r="B34" s="5"/>
      <c r="C34" s="5"/>
      <c r="D34" s="5"/>
      <c r="E34" s="5">
        <v>0</v>
      </c>
      <c r="F34" s="31">
        <v>0</v>
      </c>
      <c r="G34" s="5">
        <v>0</v>
      </c>
      <c r="H34" s="5">
        <v>0</v>
      </c>
      <c r="I34" s="5">
        <v>0</v>
      </c>
      <c r="J34" s="31">
        <v>0</v>
      </c>
      <c r="K34" s="5">
        <v>0</v>
      </c>
      <c r="L34" s="5">
        <v>0</v>
      </c>
      <c r="M34" s="5">
        <f>3.906+169.645</f>
        <v>173.55100000000002</v>
      </c>
      <c r="N34" s="31">
        <f>4.688+143.121</f>
        <v>147.809</v>
      </c>
      <c r="O34" s="5">
        <f>5.469+116.598</f>
        <v>122.06699999999999</v>
      </c>
      <c r="P34" s="5">
        <f>6.25+290.073</f>
        <v>296.32299999999998</v>
      </c>
      <c r="Q34" s="5">
        <f>6.25+335.548</f>
        <v>341.798</v>
      </c>
      <c r="R34" s="31">
        <f>10.156+328.193</f>
        <v>338.34899999999999</v>
      </c>
      <c r="S34" s="5">
        <v>492.72300000000001</v>
      </c>
      <c r="T34" s="5">
        <v>493</v>
      </c>
      <c r="U34" s="5">
        <v>493.00900000000001</v>
      </c>
      <c r="V34" s="31">
        <v>668</v>
      </c>
    </row>
    <row r="35" spans="1:22" x14ac:dyDescent="0.15">
      <c r="B35" s="5"/>
      <c r="C35" s="5"/>
      <c r="D35" s="5"/>
      <c r="E35" s="5"/>
      <c r="F35" s="31"/>
      <c r="G35" s="5"/>
      <c r="H35" s="5"/>
      <c r="I35" s="5"/>
      <c r="J35" s="31"/>
      <c r="K35" s="5"/>
      <c r="L35" s="5"/>
      <c r="M35" s="5"/>
      <c r="N35" s="31"/>
      <c r="O35" s="5"/>
      <c r="P35" s="5"/>
      <c r="Q35" s="5"/>
      <c r="R35" s="31"/>
      <c r="S35" s="5"/>
      <c r="T35" s="5"/>
      <c r="U35" s="5"/>
      <c r="V35" s="31"/>
    </row>
    <row r="36" spans="1:22" x14ac:dyDescent="0.15">
      <c r="A36" s="1" t="s">
        <v>67</v>
      </c>
      <c r="B36" s="5"/>
      <c r="C36" s="5"/>
      <c r="D36" s="5"/>
      <c r="E36" s="5"/>
      <c r="F36" s="31"/>
      <c r="G36" s="5"/>
      <c r="H36" s="5"/>
      <c r="I36" s="5">
        <f>436.455+313.63</f>
        <v>750.08500000000004</v>
      </c>
      <c r="J36" s="31"/>
      <c r="K36" s="5"/>
      <c r="L36" s="5"/>
      <c r="M36" s="5">
        <f>589.862+515.533</f>
        <v>1105.395</v>
      </c>
      <c r="N36" s="31">
        <f>589.862+504.011</f>
        <v>1093.873</v>
      </c>
      <c r="O36" s="5">
        <f>589.862+494.484</f>
        <v>1084.346</v>
      </c>
      <c r="P36" s="5">
        <f>885.35+520.867</f>
        <v>1406.2170000000001</v>
      </c>
      <c r="Q36" s="5">
        <f>1019.239+549.013</f>
        <v>1568.252</v>
      </c>
      <c r="R36" s="31">
        <f>1005.381+534.989</f>
        <v>1540.37</v>
      </c>
      <c r="S36" s="5">
        <f>104.078+1005.477+527.423</f>
        <v>1636.9780000000001</v>
      </c>
      <c r="T36" s="5">
        <f>1008+514</f>
        <v>1522</v>
      </c>
      <c r="U36" s="5">
        <f>1007.968+500.481</f>
        <v>1508.4490000000001</v>
      </c>
      <c r="V36" s="31">
        <f>1008+488</f>
        <v>1496</v>
      </c>
    </row>
    <row r="37" spans="1:22" x14ac:dyDescent="0.15">
      <c r="A37" s="1" t="s">
        <v>68</v>
      </c>
      <c r="B37" s="5"/>
      <c r="C37" s="5"/>
      <c r="D37" s="5"/>
      <c r="E37" s="5"/>
      <c r="F37" s="31"/>
      <c r="G37" s="5"/>
      <c r="H37" s="5"/>
      <c r="I37" s="19">
        <v>1197.5070000000001</v>
      </c>
      <c r="J37" s="31"/>
      <c r="K37" s="5"/>
      <c r="L37" s="5"/>
      <c r="M37" s="19">
        <v>1543.769</v>
      </c>
      <c r="N37" s="59">
        <v>1578.2550000000001</v>
      </c>
      <c r="O37" s="19">
        <v>1774.752</v>
      </c>
      <c r="P37" s="19">
        <v>1986.009</v>
      </c>
      <c r="Q37" s="19">
        <v>2065.7080000000001</v>
      </c>
      <c r="R37" s="59">
        <v>2154.0639999999999</v>
      </c>
      <c r="S37" s="19">
        <v>2343.2489999999998</v>
      </c>
      <c r="T37" s="19">
        <v>2379</v>
      </c>
      <c r="U37" s="19">
        <v>2375</v>
      </c>
      <c r="V37" s="59">
        <v>2590</v>
      </c>
    </row>
    <row r="38" spans="1:22" x14ac:dyDescent="0.15">
      <c r="A38" s="1" t="s">
        <v>69</v>
      </c>
      <c r="B38" s="5"/>
      <c r="C38" s="5"/>
      <c r="D38" s="5"/>
      <c r="E38" s="5"/>
      <c r="F38" s="31"/>
      <c r="G38" s="5"/>
      <c r="H38" s="5"/>
      <c r="I38" s="19">
        <f>110.49+114.898</f>
        <v>225.38799999999998</v>
      </c>
      <c r="J38" s="31"/>
      <c r="K38" s="5"/>
      <c r="L38" s="5"/>
      <c r="M38" s="19">
        <f>174.548+251.405</f>
        <v>425.95299999999997</v>
      </c>
      <c r="N38" s="59">
        <f>189.391+231.644</f>
        <v>421.03499999999997</v>
      </c>
      <c r="O38" s="19">
        <f>172.517+205.827</f>
        <v>378.34399999999999</v>
      </c>
      <c r="P38" s="19">
        <f>200.122+353.829</f>
        <v>553.95100000000002</v>
      </c>
      <c r="Q38" s="19">
        <f>223.168+400.201</f>
        <v>623.36900000000003</v>
      </c>
      <c r="R38" s="59">
        <f>249.667+442.76</f>
        <v>692.42700000000002</v>
      </c>
      <c r="S38" s="19">
        <f>220.656+640.893</f>
        <v>861.54899999999998</v>
      </c>
      <c r="T38" s="19">
        <f>60+634</f>
        <v>694</v>
      </c>
      <c r="U38" s="19">
        <f>249+632</f>
        <v>881</v>
      </c>
      <c r="V38" s="59">
        <f>306+806</f>
        <v>1112</v>
      </c>
    </row>
    <row r="39" spans="1:22" x14ac:dyDescent="0.15">
      <c r="A39" s="1"/>
      <c r="B39" s="5"/>
      <c r="C39" s="5"/>
      <c r="D39" s="5"/>
      <c r="E39" s="5"/>
      <c r="F39" s="31"/>
      <c r="G39" s="5"/>
      <c r="H39" s="5"/>
      <c r="I39" s="5"/>
      <c r="J39" s="31"/>
      <c r="K39" s="5"/>
      <c r="L39" s="5"/>
      <c r="M39" s="5"/>
      <c r="N39" s="31"/>
      <c r="O39" s="5"/>
      <c r="P39" s="5"/>
      <c r="Q39" s="5"/>
      <c r="R39" s="31"/>
      <c r="S39" s="5"/>
      <c r="T39" s="5"/>
      <c r="U39" s="5"/>
      <c r="V39" s="31"/>
    </row>
    <row r="40" spans="1:22" x14ac:dyDescent="0.15">
      <c r="A40" s="1" t="s">
        <v>70</v>
      </c>
      <c r="B40" s="5"/>
      <c r="C40" s="5"/>
      <c r="D40" s="5"/>
      <c r="E40" s="5"/>
      <c r="F40" s="31"/>
      <c r="G40" s="5"/>
      <c r="H40" s="5"/>
      <c r="I40" s="7">
        <f>I37-I36-I33</f>
        <v>123.80300000000005</v>
      </c>
      <c r="J40" s="31"/>
      <c r="K40" s="5"/>
      <c r="L40" s="5"/>
      <c r="M40" s="7">
        <f t="shared" ref="M40:R40" si="72">M37-M36-M33</f>
        <v>180.67900000000003</v>
      </c>
      <c r="N40" s="43">
        <f t="shared" si="72"/>
        <v>196.07200000000006</v>
      </c>
      <c r="O40" s="7">
        <f t="shared" si="72"/>
        <v>208.75899999999996</v>
      </c>
      <c r="P40" s="7">
        <f t="shared" si="72"/>
        <v>268.55499999999989</v>
      </c>
      <c r="Q40" s="7">
        <f t="shared" si="72"/>
        <v>272.12700000000012</v>
      </c>
      <c r="R40" s="43">
        <f t="shared" si="72"/>
        <v>409.29599999999994</v>
      </c>
      <c r="S40" s="7">
        <f t="shared" ref="S40:T40" si="73">S37-S36-S33</f>
        <v>329.23399999999975</v>
      </c>
      <c r="T40" s="7">
        <f t="shared" si="73"/>
        <v>431</v>
      </c>
      <c r="U40" s="7">
        <f t="shared" ref="U40:V40" si="74">U37-U36-U33</f>
        <v>441.36699999999996</v>
      </c>
      <c r="V40" s="43">
        <f t="shared" si="74"/>
        <v>497</v>
      </c>
    </row>
    <row r="41" spans="1:22" x14ac:dyDescent="0.15">
      <c r="A41" s="1" t="s">
        <v>71</v>
      </c>
      <c r="B41" s="5"/>
      <c r="C41" s="5"/>
      <c r="D41" s="5"/>
      <c r="E41" s="5"/>
      <c r="F41" s="31"/>
      <c r="G41" s="5"/>
      <c r="H41" s="5"/>
      <c r="I41" s="7">
        <f>I37-I38</f>
        <v>972.11900000000014</v>
      </c>
      <c r="J41" s="31"/>
      <c r="K41" s="5"/>
      <c r="L41" s="5"/>
      <c r="M41" s="7">
        <f t="shared" ref="M41:R41" si="75">M37-M38</f>
        <v>1117.816</v>
      </c>
      <c r="N41" s="43">
        <f t="shared" si="75"/>
        <v>1157.2200000000003</v>
      </c>
      <c r="O41" s="7">
        <f t="shared" si="75"/>
        <v>1396.4079999999999</v>
      </c>
      <c r="P41" s="7">
        <f t="shared" si="75"/>
        <v>1432.058</v>
      </c>
      <c r="Q41" s="7">
        <f t="shared" si="75"/>
        <v>1442.3389999999999</v>
      </c>
      <c r="R41" s="43">
        <f t="shared" si="75"/>
        <v>1461.6369999999997</v>
      </c>
      <c r="S41" s="7">
        <f t="shared" ref="S41:T41" si="76">S37-S38</f>
        <v>1481.6999999999998</v>
      </c>
      <c r="T41" s="7">
        <f t="shared" si="76"/>
        <v>1685</v>
      </c>
      <c r="U41" s="7">
        <f t="shared" ref="U41:V41" si="77">U37-U38</f>
        <v>1494</v>
      </c>
      <c r="V41" s="43">
        <f t="shared" si="77"/>
        <v>1478</v>
      </c>
    </row>
    <row r="42" spans="1:22" x14ac:dyDescent="0.15">
      <c r="A42" s="1"/>
      <c r="B42" s="5"/>
      <c r="C42" s="5"/>
      <c r="D42" s="5"/>
      <c r="E42" s="5"/>
      <c r="F42" s="31"/>
      <c r="G42" s="5"/>
      <c r="H42" s="5"/>
      <c r="I42" s="5"/>
      <c r="J42" s="31"/>
      <c r="K42" s="5"/>
      <c r="L42" s="5"/>
      <c r="M42" s="5"/>
      <c r="N42" s="31"/>
      <c r="O42" s="5"/>
      <c r="P42" s="5"/>
      <c r="Q42" s="5"/>
      <c r="R42" s="31"/>
      <c r="S42" s="5"/>
      <c r="T42" s="5"/>
      <c r="U42" s="5"/>
      <c r="V42" s="31"/>
    </row>
    <row r="43" spans="1:22" s="16" customFormat="1" x14ac:dyDescent="0.15">
      <c r="A43" s="16" t="s">
        <v>87</v>
      </c>
      <c r="B43" s="17"/>
      <c r="C43" s="17"/>
      <c r="D43" s="17"/>
      <c r="E43" s="17"/>
      <c r="F43" s="29"/>
      <c r="G43" s="17"/>
      <c r="H43" s="17"/>
      <c r="I43" s="24">
        <f>SUM(F19:I19)</f>
        <v>49.55699999999996</v>
      </c>
      <c r="J43" s="29"/>
      <c r="K43" s="17"/>
      <c r="L43" s="17"/>
      <c r="M43" s="24">
        <f t="shared" ref="M43:V43" si="78">SUM(J19:M19)</f>
        <v>98.982999999999961</v>
      </c>
      <c r="N43" s="42">
        <f t="shared" si="78"/>
        <v>112.03399999999995</v>
      </c>
      <c r="O43" s="24">
        <f t="shared" si="78"/>
        <v>127.41599999999998</v>
      </c>
      <c r="P43" s="24">
        <f t="shared" si="78"/>
        <v>137.84699999999998</v>
      </c>
      <c r="Q43" s="24">
        <f t="shared" si="78"/>
        <v>79.171000000000021</v>
      </c>
      <c r="R43" s="42">
        <f t="shared" si="78"/>
        <v>55.295000000000059</v>
      </c>
      <c r="S43" s="24">
        <f t="shared" si="78"/>
        <v>26.410999999999966</v>
      </c>
      <c r="T43" s="24">
        <f t="shared" si="78"/>
        <v>3.9919999999999658</v>
      </c>
      <c r="U43" s="24">
        <f t="shared" si="78"/>
        <v>-18.576000000000064</v>
      </c>
      <c r="V43" s="42">
        <f t="shared" si="78"/>
        <v>-58.466000000000065</v>
      </c>
    </row>
    <row r="44" spans="1:22" x14ac:dyDescent="0.15">
      <c r="A44" s="40" t="s">
        <v>72</v>
      </c>
      <c r="B44" s="5"/>
      <c r="C44" s="5"/>
      <c r="D44" s="5"/>
      <c r="E44" s="5"/>
      <c r="F44" s="31"/>
      <c r="G44" s="5"/>
      <c r="H44" s="5"/>
      <c r="I44" s="23">
        <f>I43/I41</f>
        <v>5.0978326727489073E-2</v>
      </c>
      <c r="J44" s="31"/>
      <c r="K44" s="5"/>
      <c r="L44" s="5"/>
      <c r="M44" s="23">
        <f t="shared" ref="M44:S44" si="79">M43/M41</f>
        <v>8.8550351757355372E-2</v>
      </c>
      <c r="N44" s="37">
        <f t="shared" si="79"/>
        <v>9.6813051969374814E-2</v>
      </c>
      <c r="O44" s="23">
        <f t="shared" si="79"/>
        <v>9.1245538553202207E-2</v>
      </c>
      <c r="P44" s="23">
        <f t="shared" si="79"/>
        <v>9.6257972791604793E-2</v>
      </c>
      <c r="Q44" s="23">
        <f t="shared" si="79"/>
        <v>5.4890701839165425E-2</v>
      </c>
      <c r="R44" s="37">
        <f t="shared" si="79"/>
        <v>3.7830870455523545E-2</v>
      </c>
      <c r="S44" s="23">
        <f t="shared" si="79"/>
        <v>1.7824795842613195E-2</v>
      </c>
      <c r="T44" s="23">
        <f t="shared" ref="T44:V44" si="80">T43/T41</f>
        <v>2.3691394658753506E-3</v>
      </c>
      <c r="U44" s="23">
        <f t="shared" si="80"/>
        <v>-1.243373493975908E-2</v>
      </c>
      <c r="V44" s="37">
        <f t="shared" si="80"/>
        <v>-3.9557510148849839E-2</v>
      </c>
    </row>
    <row r="45" spans="1:22" x14ac:dyDescent="0.15">
      <c r="A45" s="40" t="s">
        <v>73</v>
      </c>
      <c r="B45" s="5"/>
      <c r="C45" s="5"/>
      <c r="D45" s="5"/>
      <c r="E45" s="5"/>
      <c r="F45" s="31"/>
      <c r="G45" s="5"/>
      <c r="H45" s="5"/>
      <c r="I45" s="23">
        <f>I43/I37</f>
        <v>4.1383474167583117E-2</v>
      </c>
      <c r="J45" s="31"/>
      <c r="K45" s="5"/>
      <c r="L45" s="5"/>
      <c r="M45" s="23">
        <f t="shared" ref="M45:R45" si="81">M43/M37</f>
        <v>6.4117753368541516E-2</v>
      </c>
      <c r="N45" s="37">
        <f t="shared" si="81"/>
        <v>7.0985994025046614E-2</v>
      </c>
      <c r="O45" s="23">
        <f t="shared" si="81"/>
        <v>7.1793692865256664E-2</v>
      </c>
      <c r="P45" s="23">
        <f t="shared" si="81"/>
        <v>6.9409051016385115E-2</v>
      </c>
      <c r="Q45" s="23">
        <f t="shared" si="81"/>
        <v>3.8326326857426131E-2</v>
      </c>
      <c r="R45" s="37">
        <f t="shared" si="81"/>
        <v>2.5670082225969174E-2</v>
      </c>
      <c r="S45" s="23">
        <f t="shared" ref="S45:T45" si="82">S43/S37</f>
        <v>1.1271102644234551E-2</v>
      </c>
      <c r="T45" s="23">
        <f t="shared" si="82"/>
        <v>1.678015973097926E-3</v>
      </c>
      <c r="U45" s="23">
        <f t="shared" ref="U45:V45" si="83">U43/U37</f>
        <v>-7.8214736842105535E-3</v>
      </c>
      <c r="V45" s="37">
        <f t="shared" si="83"/>
        <v>-2.2573745173745198E-2</v>
      </c>
    </row>
    <row r="46" spans="1:22" x14ac:dyDescent="0.15">
      <c r="A46" s="40" t="s">
        <v>74</v>
      </c>
      <c r="B46" s="5"/>
      <c r="C46" s="5"/>
      <c r="D46" s="5"/>
      <c r="E46" s="5"/>
      <c r="F46" s="31"/>
      <c r="G46" s="5"/>
      <c r="H46" s="5"/>
      <c r="I46" s="23">
        <f>I43/(I41-I36)</f>
        <v>0.22319554662799362</v>
      </c>
      <c r="J46" s="31"/>
      <c r="K46" s="5"/>
      <c r="L46" s="5"/>
      <c r="M46" s="23">
        <f t="shared" ref="M46:R46" si="84">M43/(M41-M36)</f>
        <v>7.9690041059495664</v>
      </c>
      <c r="N46" s="37">
        <f t="shared" si="84"/>
        <v>1.7685762545976855</v>
      </c>
      <c r="O46" s="23">
        <f t="shared" si="84"/>
        <v>0.40830347815498208</v>
      </c>
      <c r="P46" s="23">
        <f t="shared" si="84"/>
        <v>5.3344297821291953</v>
      </c>
      <c r="Q46" s="23">
        <f t="shared" si="84"/>
        <v>-0.62877542430090627</v>
      </c>
      <c r="R46" s="37">
        <f t="shared" si="84"/>
        <v>-0.70231034000990611</v>
      </c>
      <c r="S46" s="23">
        <f t="shared" ref="S46:T46" si="85">S43/(S41-S36)</f>
        <v>-0.17008848645654842</v>
      </c>
      <c r="T46" s="23">
        <f t="shared" si="85"/>
        <v>2.449079754601206E-2</v>
      </c>
      <c r="U46" s="23">
        <f t="shared" ref="U46:V46" si="86">U43/(U41-U36)</f>
        <v>1.2856253027891187</v>
      </c>
      <c r="V46" s="37">
        <f t="shared" si="86"/>
        <v>3.2481111111111147</v>
      </c>
    </row>
    <row r="47" spans="1:22" x14ac:dyDescent="0.15">
      <c r="A47" s="40" t="s">
        <v>75</v>
      </c>
      <c r="B47" s="5"/>
      <c r="C47" s="5"/>
      <c r="D47" s="5"/>
      <c r="E47" s="5"/>
      <c r="F47" s="31"/>
      <c r="G47" s="5"/>
      <c r="H47" s="5"/>
      <c r="I47" s="23">
        <f>I43/I40</f>
        <v>0.40028916908313966</v>
      </c>
      <c r="J47" s="31"/>
      <c r="K47" s="5"/>
      <c r="L47" s="5"/>
      <c r="M47" s="23">
        <f t="shared" ref="M47:R47" si="87">M43/M40</f>
        <v>0.54783898516152929</v>
      </c>
      <c r="N47" s="37">
        <f t="shared" si="87"/>
        <v>0.57139214166224606</v>
      </c>
      <c r="O47" s="23">
        <f t="shared" si="87"/>
        <v>0.61034973342466681</v>
      </c>
      <c r="P47" s="23">
        <f t="shared" si="87"/>
        <v>0.51329150453352212</v>
      </c>
      <c r="Q47" s="23">
        <f t="shared" si="87"/>
        <v>0.29093401242802069</v>
      </c>
      <c r="R47" s="37">
        <f t="shared" si="87"/>
        <v>0.13509782651186444</v>
      </c>
      <c r="S47" s="23">
        <f t="shared" ref="S47:T47" si="88">S43/S40</f>
        <v>8.0219539901711198E-2</v>
      </c>
      <c r="T47" s="23">
        <f t="shared" si="88"/>
        <v>9.2621809744778787E-3</v>
      </c>
      <c r="U47" s="23">
        <f t="shared" ref="U47:V47" si="89">U43/U40</f>
        <v>-4.2087423844555813E-2</v>
      </c>
      <c r="V47" s="37">
        <f t="shared" si="89"/>
        <v>-0.11763782696177076</v>
      </c>
    </row>
    <row r="48" spans="1:22" x14ac:dyDescent="0.15">
      <c r="A48" s="40"/>
      <c r="B48" s="5"/>
      <c r="C48" s="5"/>
      <c r="D48" s="5"/>
      <c r="E48" s="5"/>
      <c r="F48" s="31"/>
      <c r="G48" s="5"/>
      <c r="H48" s="5"/>
      <c r="I48" s="23"/>
      <c r="J48" s="31"/>
      <c r="K48" s="5"/>
      <c r="L48" s="5"/>
      <c r="M48" s="23"/>
      <c r="N48" s="37"/>
      <c r="O48" s="23"/>
      <c r="P48" s="23"/>
      <c r="Q48" s="19"/>
      <c r="R48" s="37"/>
      <c r="S48" s="23"/>
      <c r="T48" s="23"/>
      <c r="U48" s="23"/>
      <c r="V48" s="37"/>
    </row>
    <row r="49" spans="1:22" x14ac:dyDescent="0.15">
      <c r="A49" s="40" t="s">
        <v>88</v>
      </c>
      <c r="B49" s="5"/>
      <c r="C49" s="5"/>
      <c r="D49" s="5"/>
      <c r="E49" s="5"/>
      <c r="F49" s="31"/>
      <c r="G49" s="5"/>
      <c r="H49" s="5"/>
      <c r="I49" s="23"/>
      <c r="J49" s="37">
        <f>J5/F5-1</f>
        <v>0.25552367288378752</v>
      </c>
      <c r="K49" s="23">
        <f t="shared" ref="K49:V49" si="90">K5/G5-1</f>
        <v>0.2482317736670292</v>
      </c>
      <c r="L49" s="23">
        <f t="shared" si="90"/>
        <v>0.27599219258295382</v>
      </c>
      <c r="M49" s="23">
        <f t="shared" si="90"/>
        <v>0.76926841203816987</v>
      </c>
      <c r="N49" s="37">
        <f t="shared" si="90"/>
        <v>0.7230030853616729</v>
      </c>
      <c r="O49" s="23">
        <f t="shared" si="90"/>
        <v>0.69783153536013942</v>
      </c>
      <c r="P49" s="23">
        <f t="shared" si="90"/>
        <v>0.6703038955741385</v>
      </c>
      <c r="Q49" s="65">
        <f>Q5/M5-1</f>
        <v>0.22306734891439639</v>
      </c>
      <c r="R49" s="37">
        <f t="shared" si="90"/>
        <v>0.27908210638015674</v>
      </c>
      <c r="S49" s="23">
        <f t="shared" si="90"/>
        <v>0.30209870996726784</v>
      </c>
      <c r="T49" s="23">
        <f t="shared" si="90"/>
        <v>0.29415715245130936</v>
      </c>
      <c r="U49" s="23">
        <f t="shared" si="90"/>
        <v>0.27888964269561289</v>
      </c>
      <c r="V49" s="37">
        <f t="shared" si="90"/>
        <v>0.23882609146531153</v>
      </c>
    </row>
    <row r="50" spans="1:22" x14ac:dyDescent="0.15">
      <c r="A50" s="40" t="s">
        <v>76</v>
      </c>
      <c r="B50" s="5"/>
      <c r="C50" s="5"/>
      <c r="D50" s="5"/>
      <c r="E50" s="5"/>
      <c r="F50" s="31"/>
      <c r="G50" s="5"/>
      <c r="H50" s="5"/>
      <c r="I50" s="23"/>
      <c r="J50" s="37">
        <f>J6/F6-1</f>
        <v>0.10796214471935328</v>
      </c>
      <c r="K50" s="23">
        <f t="shared" ref="K50:V50" si="91">K6/G6-1</f>
        <v>5.8600152706911768E-2</v>
      </c>
      <c r="L50" s="23">
        <f t="shared" si="91"/>
        <v>3.5063435878749605E-2</v>
      </c>
      <c r="M50" s="23">
        <f t="shared" si="91"/>
        <v>-0.15673762401744873</v>
      </c>
      <c r="N50" s="37">
        <f t="shared" si="91"/>
        <v>-0.13548974030903127</v>
      </c>
      <c r="O50" s="23">
        <f t="shared" si="91"/>
        <v>-0.11077097895006871</v>
      </c>
      <c r="P50" s="23">
        <f t="shared" si="91"/>
        <v>-9.2279555796675572E-2</v>
      </c>
      <c r="Q50" s="65">
        <f t="shared" si="91"/>
        <v>0.14709102004473085</v>
      </c>
      <c r="R50" s="37">
        <f t="shared" si="91"/>
        <v>8.8389864822483455E-2</v>
      </c>
      <c r="S50" s="23">
        <f t="shared" si="91"/>
        <v>4.1297049394011243E-2</v>
      </c>
      <c r="T50" s="23">
        <f t="shared" si="91"/>
        <v>6.4135358630252881E-3</v>
      </c>
      <c r="U50" s="23">
        <f t="shared" si="91"/>
        <v>-7.2543645336702434E-2</v>
      </c>
      <c r="V50" s="37">
        <f t="shared" si="91"/>
        <v>-9.4976875508618441E-2</v>
      </c>
    </row>
    <row r="51" spans="1:22" x14ac:dyDescent="0.15">
      <c r="A51" s="40"/>
      <c r="B51" s="5"/>
      <c r="C51" s="5"/>
      <c r="D51" s="5"/>
      <c r="E51" s="5"/>
      <c r="F51" s="31"/>
      <c r="G51" s="5"/>
      <c r="H51" s="5"/>
      <c r="I51" s="23"/>
      <c r="J51" s="37"/>
      <c r="K51" s="23"/>
      <c r="L51" s="23"/>
      <c r="M51" s="23"/>
      <c r="N51" s="37"/>
      <c r="O51" s="23"/>
      <c r="P51" s="23"/>
      <c r="Q51" s="65"/>
      <c r="R51" s="37"/>
      <c r="S51" s="23"/>
      <c r="T51" s="23"/>
      <c r="U51" s="23"/>
      <c r="V51" s="37"/>
    </row>
    <row r="52" spans="1:22" x14ac:dyDescent="0.15">
      <c r="A52" s="40" t="s">
        <v>89</v>
      </c>
      <c r="B52" s="5"/>
      <c r="C52" s="5"/>
      <c r="D52" s="5"/>
      <c r="E52" s="5"/>
      <c r="F52" s="31"/>
      <c r="G52" s="5"/>
      <c r="H52" s="5"/>
      <c r="I52" s="23"/>
      <c r="J52" s="37">
        <f t="shared" ref="J52:O52" si="92">J3/F3-1</f>
        <v>0.39107270135424077</v>
      </c>
      <c r="K52" s="23">
        <f t="shared" si="92"/>
        <v>0.32137834621753636</v>
      </c>
      <c r="L52" s="23">
        <f t="shared" si="92"/>
        <v>0.32073286300937132</v>
      </c>
      <c r="M52" s="23">
        <f t="shared" si="92"/>
        <v>0.49195748488618274</v>
      </c>
      <c r="N52" s="37">
        <f t="shared" si="92"/>
        <v>0.48955384477436059</v>
      </c>
      <c r="O52" s="23">
        <f t="shared" si="92"/>
        <v>0.50976107409599858</v>
      </c>
      <c r="P52" s="23">
        <f t="shared" ref="P52:V52" si="93">P3/L3-1</f>
        <v>0.51616899404510019</v>
      </c>
      <c r="Q52" s="23">
        <f t="shared" si="93"/>
        <v>0.40296957284961965</v>
      </c>
      <c r="R52" s="37">
        <f t="shared" si="93"/>
        <v>0.39214000085995604</v>
      </c>
      <c r="S52" s="23">
        <f t="shared" si="93"/>
        <v>0.35587154470866467</v>
      </c>
      <c r="T52" s="23">
        <f t="shared" si="93"/>
        <v>0.3024572757609465</v>
      </c>
      <c r="U52" s="23">
        <f t="shared" si="93"/>
        <v>0.18611432603112044</v>
      </c>
      <c r="V52" s="37">
        <f t="shared" si="93"/>
        <v>0.12116625999938235</v>
      </c>
    </row>
    <row r="54" spans="1:22" s="51" customFormat="1" x14ac:dyDescent="0.15">
      <c r="A54" s="50" t="s">
        <v>54</v>
      </c>
      <c r="E54" s="51">
        <v>0.24179999999999999</v>
      </c>
      <c r="F54" s="52">
        <v>0.26779999999999998</v>
      </c>
      <c r="G54" s="51">
        <v>0.27110000000000001</v>
      </c>
      <c r="H54" s="51">
        <v>0.26750000000000002</v>
      </c>
      <c r="I54" s="51">
        <v>0.29249999999999998</v>
      </c>
      <c r="J54" s="52">
        <v>0.3246</v>
      </c>
      <c r="K54" s="51">
        <v>0.31390000000000001</v>
      </c>
      <c r="L54" s="51">
        <v>0.30449999999999999</v>
      </c>
      <c r="M54" s="51">
        <v>0.33400000000000002</v>
      </c>
      <c r="N54" s="52">
        <v>0.43690000000000001</v>
      </c>
      <c r="O54" s="51">
        <v>0.42320000000000002</v>
      </c>
      <c r="P54" s="51">
        <v>0.41599999999999998</v>
      </c>
      <c r="Q54" s="62">
        <v>0.46750000000000003</v>
      </c>
      <c r="R54" s="52">
        <v>0.52100000000000002</v>
      </c>
      <c r="S54" s="51">
        <v>0.4889</v>
      </c>
      <c r="T54" s="51">
        <v>0.45729999999999998</v>
      </c>
      <c r="U54" s="51">
        <v>0.50260000000000005</v>
      </c>
      <c r="V54" s="52">
        <v>0.51629999999999998</v>
      </c>
    </row>
    <row r="55" spans="1:22" s="18" customFormat="1" x14ac:dyDescent="0.15">
      <c r="A55" s="53" t="s">
        <v>85</v>
      </c>
      <c r="F55" s="31"/>
      <c r="H55" s="18">
        <v>735</v>
      </c>
      <c r="J55" s="31">
        <v>898.1</v>
      </c>
      <c r="K55" s="18">
        <v>879.7</v>
      </c>
      <c r="L55" s="18">
        <v>867.3</v>
      </c>
      <c r="M55" s="18">
        <f>3783.7-SUM(J55:L55)</f>
        <v>1138.5999999999995</v>
      </c>
      <c r="N55" s="31">
        <v>1245</v>
      </c>
      <c r="O55" s="18">
        <v>1220.4000000000001</v>
      </c>
      <c r="P55" s="18">
        <v>1214.5</v>
      </c>
      <c r="Q55" s="67">
        <v>1376.9</v>
      </c>
      <c r="R55" s="31">
        <v>1502.3</v>
      </c>
      <c r="S55" s="18">
        <v>1459</v>
      </c>
      <c r="T55" s="18">
        <v>1400</v>
      </c>
      <c r="U55" s="18">
        <v>1552</v>
      </c>
      <c r="V55" s="31">
        <v>1630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2020-05-08T21:27:28Z</dcterms:modified>
</cp:coreProperties>
</file>