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7560" yWindow="460" windowWidth="16920" windowHeight="16540" tabRatio="500"/>
  </bookViews>
  <sheets>
    <sheet name="Main" sheetId="2" r:id="rId1"/>
    <sheet name="Reports" sheetId="1" r:id="rId2"/>
    <sheet name="Produc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H13" i="2"/>
  <c r="I13" i="2"/>
  <c r="J13" i="2"/>
  <c r="F13" i="2"/>
  <c r="I6" i="2"/>
  <c r="I5" i="2"/>
  <c r="I4" i="2"/>
  <c r="I3" i="2"/>
  <c r="I2" i="2"/>
  <c r="G14" i="2"/>
  <c r="F24" i="2"/>
  <c r="F16" i="2"/>
  <c r="F18" i="2"/>
  <c r="F23" i="2"/>
  <c r="F25" i="2"/>
  <c r="F26" i="2"/>
  <c r="F27" i="2"/>
  <c r="F40" i="2"/>
  <c r="L20" i="2"/>
  <c r="M20" i="2"/>
  <c r="N20" i="2"/>
  <c r="O20" i="2"/>
  <c r="P20" i="2"/>
  <c r="Q20" i="2"/>
  <c r="K20" i="2"/>
  <c r="G24" i="2"/>
  <c r="G16" i="2"/>
  <c r="F31" i="2"/>
  <c r="G18" i="2"/>
  <c r="G23" i="2"/>
  <c r="G25" i="2"/>
  <c r="G26" i="2"/>
  <c r="G27" i="2"/>
  <c r="G40" i="2"/>
  <c r="H24" i="2"/>
  <c r="H16" i="2"/>
  <c r="G31" i="2"/>
  <c r="H18" i="2"/>
  <c r="H23" i="2"/>
  <c r="H25" i="2"/>
  <c r="H26" i="2"/>
  <c r="H27" i="2"/>
  <c r="H40" i="2"/>
  <c r="I24" i="2"/>
  <c r="I16" i="2"/>
  <c r="H31" i="2"/>
  <c r="I18" i="2"/>
  <c r="I23" i="2"/>
  <c r="I25" i="2"/>
  <c r="I26" i="2"/>
  <c r="I27" i="2"/>
  <c r="I40" i="2"/>
  <c r="J24" i="2"/>
  <c r="J16" i="2"/>
  <c r="I31" i="2"/>
  <c r="J18" i="2"/>
  <c r="J23" i="2"/>
  <c r="J25" i="2"/>
  <c r="J26" i="2"/>
  <c r="E40" i="2"/>
  <c r="G20" i="2"/>
  <c r="H20" i="2"/>
  <c r="I20" i="2"/>
  <c r="J20" i="2"/>
  <c r="F20" i="2"/>
  <c r="G19" i="2"/>
  <c r="H19" i="2"/>
  <c r="I19" i="2"/>
  <c r="J19" i="2"/>
  <c r="F19" i="2"/>
  <c r="F36" i="2"/>
  <c r="G21" i="2"/>
  <c r="H21" i="2"/>
  <c r="I21" i="2"/>
  <c r="J21" i="2"/>
  <c r="F21" i="2"/>
  <c r="F22" i="2"/>
  <c r="G22" i="2"/>
  <c r="H22" i="2"/>
  <c r="I22" i="2"/>
  <c r="J22" i="2"/>
  <c r="J27" i="2"/>
  <c r="J40" i="2"/>
  <c r="K24" i="2"/>
  <c r="K19" i="2"/>
  <c r="K21" i="2"/>
  <c r="K22" i="2"/>
  <c r="K16" i="2"/>
  <c r="J31" i="2"/>
  <c r="K18" i="2"/>
  <c r="K23" i="2"/>
  <c r="K25" i="2"/>
  <c r="K26" i="2"/>
  <c r="K27" i="2"/>
  <c r="K40" i="2"/>
  <c r="L24" i="2"/>
  <c r="L19" i="2"/>
  <c r="L21" i="2"/>
  <c r="L22" i="2"/>
  <c r="L16" i="2"/>
  <c r="K31" i="2"/>
  <c r="L18" i="2"/>
  <c r="L23" i="2"/>
  <c r="L25" i="2"/>
  <c r="L26" i="2"/>
  <c r="L27" i="2"/>
  <c r="L40" i="2"/>
  <c r="M24" i="2"/>
  <c r="M19" i="2"/>
  <c r="M21" i="2"/>
  <c r="M22" i="2"/>
  <c r="M16" i="2"/>
  <c r="L31" i="2"/>
  <c r="M18" i="2"/>
  <c r="M23" i="2"/>
  <c r="M25" i="2"/>
  <c r="M26" i="2"/>
  <c r="M27" i="2"/>
  <c r="M40" i="2"/>
  <c r="N24" i="2"/>
  <c r="N19" i="2"/>
  <c r="N21" i="2"/>
  <c r="N22" i="2"/>
  <c r="N16" i="2"/>
  <c r="M31" i="2"/>
  <c r="N18" i="2"/>
  <c r="N23" i="2"/>
  <c r="N25" i="2"/>
  <c r="N26" i="2"/>
  <c r="N27" i="2"/>
  <c r="N40" i="2"/>
  <c r="O24" i="2"/>
  <c r="O19" i="2"/>
  <c r="O21" i="2"/>
  <c r="O22" i="2"/>
  <c r="O16" i="2"/>
  <c r="N31" i="2"/>
  <c r="O18" i="2"/>
  <c r="O23" i="2"/>
  <c r="O25" i="2"/>
  <c r="O26" i="2"/>
  <c r="O27" i="2"/>
  <c r="O40" i="2"/>
  <c r="P24" i="2"/>
  <c r="P19" i="2"/>
  <c r="P21" i="2"/>
  <c r="P22" i="2"/>
  <c r="P16" i="2"/>
  <c r="O31" i="2"/>
  <c r="P18" i="2"/>
  <c r="P23" i="2"/>
  <c r="P25" i="2"/>
  <c r="P26" i="2"/>
  <c r="P27" i="2"/>
  <c r="P40" i="2"/>
  <c r="Q24" i="2"/>
  <c r="Q19" i="2"/>
  <c r="Q21" i="2"/>
  <c r="Q22" i="2"/>
  <c r="Q16" i="2"/>
  <c r="P31" i="2"/>
  <c r="Q18" i="2"/>
  <c r="Q23" i="2"/>
  <c r="Q25" i="2"/>
  <c r="Q26" i="2"/>
  <c r="H14" i="2"/>
  <c r="I14" i="2"/>
  <c r="J14" i="2"/>
  <c r="F14" i="2"/>
  <c r="E59" i="2"/>
  <c r="J60" i="2"/>
  <c r="J59" i="2"/>
  <c r="E57" i="2"/>
  <c r="E56" i="2"/>
  <c r="D51" i="2"/>
  <c r="E54" i="2"/>
  <c r="E53" i="2"/>
  <c r="E52" i="2"/>
  <c r="E51" i="2"/>
  <c r="E49" i="2"/>
  <c r="E48" i="2"/>
  <c r="E46" i="2"/>
  <c r="E45" i="2"/>
  <c r="E44" i="2"/>
  <c r="E42" i="2"/>
  <c r="E41" i="2"/>
  <c r="F33" i="2"/>
  <c r="G33" i="2"/>
  <c r="H33" i="2"/>
  <c r="I33" i="2"/>
  <c r="J33" i="2"/>
  <c r="K33" i="2"/>
  <c r="L33" i="2"/>
  <c r="M33" i="2"/>
  <c r="N33" i="2"/>
  <c r="O33" i="2"/>
  <c r="P33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F5" i="2"/>
  <c r="E29" i="2"/>
  <c r="E28" i="2"/>
  <c r="E25" i="2"/>
  <c r="E22" i="2"/>
  <c r="E23" i="2"/>
  <c r="E18" i="2"/>
  <c r="Q7" i="1"/>
  <c r="Q9" i="1"/>
  <c r="E14" i="2"/>
  <c r="E13" i="2"/>
  <c r="E16" i="2"/>
  <c r="E11" i="2"/>
  <c r="E10" i="2"/>
  <c r="E31" i="2"/>
  <c r="E27" i="2"/>
  <c r="E33" i="2"/>
  <c r="F4" i="2"/>
  <c r="C5" i="2"/>
  <c r="C3" i="2"/>
  <c r="Q44" i="1"/>
  <c r="Q39" i="1"/>
  <c r="Q37" i="1"/>
  <c r="Q35" i="1"/>
  <c r="Q34" i="1"/>
  <c r="Q51" i="1"/>
  <c r="Q50" i="1"/>
  <c r="Q41" i="1"/>
  <c r="Q48" i="1"/>
  <c r="Q42" i="1"/>
  <c r="Q47" i="1"/>
  <c r="Q46" i="1"/>
  <c r="Q45" i="1"/>
  <c r="Q33" i="1"/>
  <c r="Q28" i="1"/>
  <c r="Q20" i="1"/>
  <c r="Q21" i="1"/>
  <c r="Q18" i="1"/>
  <c r="Q17" i="1"/>
  <c r="Q15" i="1"/>
  <c r="Q16" i="1"/>
  <c r="Q10" i="1"/>
  <c r="Q11" i="1"/>
  <c r="K7" i="1"/>
  <c r="J35" i="2"/>
  <c r="E17" i="2"/>
  <c r="E19" i="2"/>
  <c r="E20" i="2"/>
  <c r="E21" i="2"/>
  <c r="E24" i="2"/>
  <c r="E26" i="2"/>
  <c r="F6" i="2"/>
  <c r="F7" i="2"/>
  <c r="C4" i="2"/>
  <c r="B22" i="2"/>
  <c r="B19" i="2"/>
  <c r="B20" i="2"/>
  <c r="B21" i="2"/>
  <c r="B24" i="2"/>
  <c r="B26" i="2"/>
  <c r="B17" i="2"/>
  <c r="B18" i="2"/>
  <c r="B23" i="2"/>
  <c r="F17" i="2"/>
  <c r="I60" i="2"/>
  <c r="H60" i="2"/>
  <c r="G60" i="2"/>
  <c r="F60" i="2"/>
  <c r="E60" i="2"/>
  <c r="D60" i="2"/>
  <c r="C60" i="2"/>
  <c r="I59" i="2"/>
  <c r="H59" i="2"/>
  <c r="G59" i="2"/>
  <c r="F59" i="2"/>
  <c r="D59" i="2"/>
  <c r="C59" i="2"/>
  <c r="D46" i="2"/>
  <c r="D45" i="2"/>
  <c r="D44" i="2"/>
  <c r="D42" i="2"/>
  <c r="D41" i="2"/>
  <c r="D16" i="2"/>
  <c r="D14" i="2"/>
  <c r="D13" i="2"/>
  <c r="D29" i="2"/>
  <c r="D26" i="2"/>
  <c r="D24" i="2"/>
  <c r="D21" i="2"/>
  <c r="D20" i="2"/>
  <c r="D19" i="2"/>
  <c r="D17" i="2"/>
  <c r="D11" i="2"/>
  <c r="D10" i="2"/>
  <c r="C16" i="2"/>
  <c r="C14" i="2"/>
  <c r="C13" i="2"/>
  <c r="C57" i="2"/>
  <c r="D56" i="2"/>
  <c r="C56" i="2"/>
  <c r="C29" i="2"/>
  <c r="C26" i="2"/>
  <c r="C24" i="2"/>
  <c r="C21" i="2"/>
  <c r="C20" i="2"/>
  <c r="C19" i="2"/>
  <c r="C17" i="2"/>
  <c r="C11" i="2"/>
  <c r="C10" i="2"/>
  <c r="B10" i="2"/>
  <c r="B11" i="2"/>
  <c r="B13" i="2"/>
  <c r="B14" i="2"/>
  <c r="B16" i="2"/>
  <c r="B29" i="2"/>
  <c r="Q54" i="1"/>
  <c r="P54" i="1"/>
  <c r="O54" i="1"/>
  <c r="N54" i="1"/>
  <c r="M54" i="1"/>
  <c r="L54" i="1"/>
  <c r="K54" i="1"/>
  <c r="J54" i="1"/>
  <c r="I54" i="1"/>
  <c r="H54" i="1"/>
  <c r="G54" i="1"/>
  <c r="Q53" i="1"/>
  <c r="P53" i="1"/>
  <c r="O53" i="1"/>
  <c r="N53" i="1"/>
  <c r="M53" i="1"/>
  <c r="L53" i="1"/>
  <c r="K53" i="1"/>
  <c r="J53" i="1"/>
  <c r="I53" i="1"/>
  <c r="H53" i="1"/>
  <c r="G53" i="1"/>
  <c r="F54" i="1"/>
  <c r="F53" i="1"/>
  <c r="B20" i="1"/>
  <c r="B21" i="1"/>
  <c r="B17" i="1"/>
  <c r="B10" i="1"/>
  <c r="B9" i="1"/>
  <c r="B7" i="1"/>
  <c r="C21" i="1"/>
  <c r="C17" i="1"/>
  <c r="C10" i="1"/>
  <c r="C9" i="1"/>
  <c r="C7" i="1"/>
  <c r="D21" i="1"/>
  <c r="D17" i="1"/>
  <c r="D10" i="1"/>
  <c r="D9" i="1"/>
  <c r="D7" i="1"/>
  <c r="E17" i="1"/>
  <c r="E14" i="1"/>
  <c r="E10" i="1"/>
  <c r="E9" i="1"/>
  <c r="E7" i="1"/>
  <c r="F17" i="1"/>
  <c r="F10" i="1"/>
  <c r="F7" i="1"/>
  <c r="G17" i="1"/>
  <c r="G10" i="1"/>
  <c r="G9" i="1"/>
  <c r="G7" i="1"/>
  <c r="H17" i="1"/>
  <c r="H10" i="1"/>
  <c r="H9" i="1"/>
  <c r="H7" i="1"/>
  <c r="I17" i="1"/>
  <c r="I10" i="1"/>
  <c r="I7" i="1"/>
  <c r="I9" i="1"/>
  <c r="N51" i="1"/>
  <c r="N50" i="1"/>
  <c r="N7" i="1"/>
  <c r="N9" i="1"/>
  <c r="J7" i="1"/>
  <c r="J9" i="1"/>
  <c r="N28" i="1"/>
  <c r="J37" i="1"/>
  <c r="J35" i="1"/>
  <c r="J34" i="1"/>
  <c r="J17" i="1"/>
  <c r="J10" i="1"/>
  <c r="K37" i="1"/>
  <c r="K35" i="1"/>
  <c r="K34" i="1"/>
  <c r="K17" i="1"/>
  <c r="K10" i="1"/>
  <c r="O7" i="1"/>
  <c r="O9" i="1"/>
  <c r="M7" i="1"/>
  <c r="M9" i="1"/>
  <c r="L7" i="1"/>
  <c r="L9" i="1"/>
  <c r="K9" i="1"/>
  <c r="P7" i="1"/>
  <c r="P9" i="1"/>
  <c r="L37" i="1"/>
  <c r="L35" i="1"/>
  <c r="L34" i="1"/>
  <c r="L17" i="1"/>
  <c r="L10" i="1"/>
  <c r="M17" i="1"/>
  <c r="M10" i="1"/>
  <c r="M37" i="1"/>
  <c r="M35" i="1"/>
  <c r="M34" i="1"/>
  <c r="N37" i="1"/>
  <c r="N35" i="1"/>
  <c r="N34" i="1"/>
  <c r="N17" i="1"/>
  <c r="N10" i="1"/>
  <c r="O35" i="1"/>
  <c r="O37" i="1"/>
  <c r="O34" i="1"/>
  <c r="O17" i="1"/>
  <c r="O10" i="1"/>
  <c r="P37" i="1"/>
  <c r="P35" i="1"/>
  <c r="P34" i="1"/>
  <c r="P10" i="1"/>
  <c r="P11" i="1"/>
  <c r="P14" i="1"/>
  <c r="P15" i="1"/>
  <c r="P16" i="1"/>
  <c r="P17" i="1"/>
  <c r="P18" i="1"/>
  <c r="P20" i="1"/>
  <c r="O11" i="1"/>
  <c r="O15" i="1"/>
  <c r="O16" i="1"/>
  <c r="O18" i="1"/>
  <c r="O20" i="1"/>
  <c r="M11" i="1"/>
  <c r="M15" i="1"/>
  <c r="M16" i="1"/>
  <c r="M18" i="1"/>
  <c r="I11" i="1"/>
  <c r="I15" i="1"/>
  <c r="I16" i="1"/>
  <c r="I18" i="1"/>
  <c r="I26" i="1"/>
  <c r="P24" i="1"/>
  <c r="D40" i="2"/>
  <c r="P26" i="1"/>
  <c r="P33" i="1"/>
  <c r="P51" i="1"/>
  <c r="O51" i="1"/>
  <c r="M51" i="1"/>
  <c r="L51" i="1"/>
  <c r="K51" i="1"/>
  <c r="J51" i="1"/>
  <c r="I51" i="1"/>
  <c r="H51" i="1"/>
  <c r="G51" i="1"/>
  <c r="P50" i="1"/>
  <c r="O50" i="1"/>
  <c r="M50" i="1"/>
  <c r="L50" i="1"/>
  <c r="K50" i="1"/>
  <c r="J50" i="1"/>
  <c r="I50" i="1"/>
  <c r="H50" i="1"/>
  <c r="G50" i="1"/>
  <c r="F51" i="1"/>
  <c r="F50" i="1"/>
  <c r="D57" i="2"/>
  <c r="E32" i="2"/>
  <c r="B25" i="2"/>
  <c r="E11" i="1"/>
  <c r="E15" i="1"/>
  <c r="E16" i="1"/>
  <c r="E18" i="1"/>
  <c r="E20" i="1"/>
  <c r="B27" i="2"/>
  <c r="M20" i="1"/>
  <c r="N11" i="1"/>
  <c r="N15" i="1"/>
  <c r="N16" i="1"/>
  <c r="N18" i="1"/>
  <c r="N20" i="1"/>
  <c r="P44" i="1"/>
  <c r="P42" i="1"/>
  <c r="P45" i="1"/>
  <c r="C18" i="2"/>
  <c r="C22" i="2"/>
  <c r="C23" i="2"/>
  <c r="C25" i="2"/>
  <c r="C27" i="2"/>
  <c r="B28" i="2"/>
  <c r="Q40" i="2"/>
  <c r="D48" i="2"/>
  <c r="D18" i="2"/>
  <c r="D22" i="2"/>
  <c r="D23" i="2"/>
  <c r="D25" i="2"/>
  <c r="D27" i="2"/>
  <c r="D54" i="2"/>
  <c r="D49" i="2"/>
  <c r="D53" i="2"/>
  <c r="D52" i="2"/>
  <c r="I20" i="1"/>
  <c r="J11" i="1"/>
  <c r="J15" i="1"/>
  <c r="J16" i="1"/>
  <c r="J18" i="1"/>
  <c r="J20" i="1"/>
  <c r="K11" i="1"/>
  <c r="K15" i="1"/>
  <c r="K16" i="1"/>
  <c r="K18" i="1"/>
  <c r="K20" i="1"/>
  <c r="L11" i="1"/>
  <c r="L15" i="1"/>
  <c r="L16" i="1"/>
  <c r="L18" i="1"/>
  <c r="L20" i="1"/>
  <c r="L44" i="1"/>
  <c r="L42" i="1"/>
  <c r="L47" i="1"/>
  <c r="B33" i="2"/>
  <c r="B31" i="2"/>
  <c r="B32" i="2"/>
  <c r="C6" i="2"/>
  <c r="P41" i="1"/>
  <c r="P48" i="1"/>
  <c r="P47" i="1"/>
  <c r="P46" i="1"/>
  <c r="F9" i="1"/>
  <c r="F11" i="1"/>
  <c r="F15" i="1"/>
  <c r="F16" i="1"/>
  <c r="F18" i="1"/>
  <c r="F20" i="1"/>
  <c r="G11" i="1"/>
  <c r="G15" i="1"/>
  <c r="G16" i="1"/>
  <c r="G18" i="1"/>
  <c r="G20" i="1"/>
  <c r="H11" i="1"/>
  <c r="H15" i="1"/>
  <c r="H16" i="1"/>
  <c r="H18" i="1"/>
  <c r="H20" i="1"/>
  <c r="M44" i="1"/>
  <c r="M41" i="1"/>
  <c r="M48" i="1"/>
  <c r="M42" i="1"/>
  <c r="M47" i="1"/>
  <c r="M46" i="1"/>
  <c r="M45" i="1"/>
  <c r="B11" i="1"/>
  <c r="B15" i="1"/>
  <c r="B16" i="1"/>
  <c r="B18" i="1"/>
  <c r="C11" i="1"/>
  <c r="C15" i="1"/>
  <c r="C16" i="1"/>
  <c r="C18" i="1"/>
  <c r="C20" i="1"/>
  <c r="D11" i="1"/>
  <c r="D15" i="1"/>
  <c r="D16" i="1"/>
  <c r="D18" i="1"/>
  <c r="D20" i="1"/>
  <c r="Q24" i="1"/>
  <c r="O44" i="1"/>
  <c r="O41" i="1"/>
  <c r="O48" i="1"/>
  <c r="O42" i="1"/>
  <c r="O47" i="1"/>
  <c r="O46" i="1"/>
  <c r="O45" i="1"/>
  <c r="N44" i="1"/>
  <c r="N41" i="1"/>
  <c r="N48" i="1"/>
  <c r="N42" i="1"/>
  <c r="N47" i="1"/>
  <c r="N46" i="1"/>
  <c r="N45" i="1"/>
  <c r="L41" i="1"/>
  <c r="L48" i="1"/>
  <c r="L46" i="1"/>
  <c r="L45" i="1"/>
  <c r="K44" i="1"/>
  <c r="K41" i="1"/>
  <c r="K48" i="1"/>
  <c r="K42" i="1"/>
  <c r="K47" i="1"/>
  <c r="K46" i="1"/>
  <c r="K45" i="1"/>
  <c r="J44" i="1"/>
  <c r="J41" i="1"/>
  <c r="J48" i="1"/>
  <c r="J42" i="1"/>
  <c r="J47" i="1"/>
  <c r="J46" i="1"/>
  <c r="J45" i="1"/>
  <c r="E21" i="1"/>
  <c r="F21" i="1"/>
  <c r="G21" i="1"/>
  <c r="H21" i="1"/>
  <c r="M33" i="1"/>
  <c r="E26" i="1"/>
  <c r="M26" i="1"/>
  <c r="Q31" i="1"/>
  <c r="Q26" i="1"/>
  <c r="Q25" i="1"/>
  <c r="Q30" i="1"/>
  <c r="Q29" i="1"/>
  <c r="N33" i="1"/>
  <c r="N26" i="1"/>
  <c r="N25" i="1"/>
  <c r="N24" i="1"/>
  <c r="N31" i="1"/>
  <c r="N30" i="1"/>
  <c r="N29" i="1"/>
  <c r="N21" i="1"/>
  <c r="O33" i="1"/>
  <c r="O26" i="1"/>
  <c r="O25" i="1"/>
  <c r="O24" i="1"/>
  <c r="O31" i="1"/>
  <c r="O30" i="1"/>
  <c r="O29" i="1"/>
  <c r="O28" i="1"/>
  <c r="O21" i="1"/>
  <c r="P21" i="1"/>
  <c r="P25" i="1"/>
  <c r="P31" i="1"/>
  <c r="P30" i="1"/>
  <c r="P29" i="1"/>
  <c r="P28" i="1"/>
  <c r="D31" i="2"/>
  <c r="C35" i="2"/>
  <c r="Q31" i="2"/>
  <c r="C7" i="2"/>
  <c r="F29" i="2"/>
  <c r="G29" i="2"/>
  <c r="H29" i="2"/>
  <c r="I29" i="2"/>
  <c r="J29" i="2"/>
  <c r="K29" i="2"/>
  <c r="L29" i="2"/>
  <c r="M29" i="2"/>
  <c r="N29" i="2"/>
  <c r="O29" i="2"/>
  <c r="P29" i="2"/>
  <c r="Q29" i="2"/>
  <c r="Q17" i="2"/>
  <c r="P17" i="2"/>
  <c r="O17" i="2"/>
  <c r="N17" i="2"/>
  <c r="M17" i="2"/>
  <c r="L17" i="2"/>
  <c r="K17" i="2"/>
  <c r="J17" i="2"/>
  <c r="I17" i="2"/>
  <c r="F28" i="2"/>
  <c r="H17" i="2"/>
  <c r="G17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E36" i="2"/>
  <c r="D36" i="2"/>
  <c r="F29" i="1"/>
  <c r="M28" i="1"/>
  <c r="C38" i="2"/>
  <c r="C37" i="2"/>
  <c r="C36" i="2"/>
  <c r="D28" i="2"/>
  <c r="I29" i="1"/>
  <c r="M29" i="1"/>
  <c r="K29" i="1"/>
  <c r="J29" i="1"/>
  <c r="H29" i="1"/>
  <c r="L29" i="1"/>
  <c r="H30" i="1"/>
  <c r="I30" i="1"/>
  <c r="J30" i="1"/>
  <c r="K30" i="1"/>
  <c r="L30" i="1"/>
  <c r="M30" i="1"/>
  <c r="H31" i="1"/>
  <c r="I31" i="1"/>
  <c r="J31" i="1"/>
  <c r="K31" i="1"/>
  <c r="L31" i="1"/>
  <c r="M31" i="1"/>
  <c r="G30" i="1"/>
  <c r="G31" i="1"/>
  <c r="G29" i="1"/>
  <c r="F30" i="1"/>
  <c r="F31" i="1"/>
  <c r="F28" i="1"/>
  <c r="M21" i="1"/>
  <c r="M24" i="1"/>
  <c r="M25" i="1"/>
  <c r="C31" i="2"/>
  <c r="F26" i="1"/>
  <c r="F25" i="1"/>
  <c r="F24" i="1"/>
  <c r="B26" i="1"/>
  <c r="B25" i="1"/>
  <c r="B24" i="1"/>
  <c r="D35" i="2"/>
  <c r="C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Q35" i="2"/>
  <c r="P35" i="2"/>
  <c r="O35" i="2"/>
  <c r="N35" i="2"/>
  <c r="M35" i="2"/>
  <c r="L35" i="2"/>
  <c r="K35" i="2"/>
  <c r="I35" i="2"/>
  <c r="H35" i="2"/>
  <c r="G35" i="2"/>
  <c r="F35" i="2"/>
  <c r="E35" i="2"/>
  <c r="D32" i="2"/>
  <c r="C32" i="2"/>
  <c r="C28" i="2"/>
  <c r="G28" i="1"/>
  <c r="H28" i="1"/>
  <c r="I28" i="1"/>
  <c r="C26" i="1"/>
  <c r="C25" i="1"/>
  <c r="C24" i="1"/>
  <c r="D26" i="1"/>
  <c r="D25" i="1"/>
  <c r="D24" i="1"/>
  <c r="E25" i="1"/>
  <c r="E24" i="1"/>
  <c r="E9" i="2"/>
  <c r="F9" i="2"/>
  <c r="G9" i="2"/>
  <c r="H9" i="2"/>
  <c r="I9" i="2"/>
  <c r="J9" i="2"/>
  <c r="K9" i="2"/>
  <c r="L9" i="2"/>
  <c r="M9" i="2"/>
  <c r="N9" i="2"/>
  <c r="O9" i="2"/>
  <c r="P9" i="2"/>
  <c r="Q9" i="2"/>
  <c r="L33" i="1"/>
  <c r="H26" i="1"/>
  <c r="L28" i="1"/>
  <c r="J33" i="1"/>
  <c r="K33" i="1"/>
  <c r="K28" i="1"/>
  <c r="J28" i="1"/>
  <c r="I25" i="1"/>
  <c r="I24" i="1"/>
  <c r="I21" i="1"/>
  <c r="J26" i="1"/>
  <c r="J25" i="1"/>
  <c r="J24" i="1"/>
  <c r="J21" i="1"/>
  <c r="K26" i="1"/>
  <c r="K25" i="1"/>
  <c r="K24" i="1"/>
  <c r="K21" i="1"/>
  <c r="G26" i="1"/>
  <c r="G25" i="1"/>
  <c r="G24" i="1"/>
  <c r="H24" i="1"/>
  <c r="H25" i="1"/>
  <c r="L26" i="1"/>
  <c r="L25" i="1"/>
  <c r="L24" i="1"/>
  <c r="L21" i="1"/>
  <c r="Q33" i="2"/>
  <c r="G28" i="2"/>
  <c r="H28" i="2"/>
  <c r="I28" i="2"/>
  <c r="J28" i="2"/>
  <c r="K28" i="2"/>
  <c r="L28" i="2"/>
  <c r="M28" i="2"/>
  <c r="N28" i="2"/>
  <c r="O28" i="2"/>
  <c r="P28" i="2"/>
  <c r="Q28" i="2"/>
  <c r="G7" i="2"/>
</calcChain>
</file>

<file path=xl/sharedStrings.xml><?xml version="1.0" encoding="utf-8"?>
<sst xmlns="http://schemas.openxmlformats.org/spreadsheetml/2006/main" count="151" uniqueCount="103">
  <si>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</si>
  <si>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</si>
  <si>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</si>
  <si>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</si>
  <si>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</si>
  <si>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</si>
  <si>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</si>
  <si>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</si>
  <si>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</si>
  <si>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</si>
  <si>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</si>
  <si>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</si>
  <si>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</si>
  <si>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</si>
  <si>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</si>
  <si>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</si>
  <si>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</si>
  <si>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</si>
  <si>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</si>
  <si>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</si>
  <si>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</si>
  <si>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</si>
  <si>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</si>
  <si>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</si>
  <si>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</si>
  <si>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</si>
  <si>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</si>
  <si>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</si>
  <si>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</si>
  <si>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</si>
  <si>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</si>
  <si>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</si>
  <si>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</si>
  <si>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</si>
  <si>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</si>
  <si>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</si>
  <si>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</si>
  <si>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</si>
  <si>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</si>
  <si>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</si>
  <si>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</si>
  <si>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</si>
  <si>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</si>
  <si>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</si>
  <si>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</si>
  <si>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</si>
  <si>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</si>
  <si>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</si>
  <si>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</si>
  <si>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</si>
  <si>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</si>
  <si>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</si>
  <si>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</si>
  <si>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</si>
  <si>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</si>
  <si>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</si>
  <si>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</si>
  <si>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</si>
  <si>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</si>
  <si>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</si>
  <si>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</si>
  <si>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</si>
  <si>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</si>
  <si>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</si>
  <si>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</si>
  <si>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</si>
  <si>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</si>
  <si>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</si>
  <si>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</si>
  <si>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NPV on net income (terminal value)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</si>
  <si>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</si>
  <si>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</si>
  <si>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</si>
  <si>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</si>
  <si>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</si>
  <si>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</si>
  <si>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</si>
  <si>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</si>
  <si>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</si>
  <si>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</si>
  <si>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</si>
  <si>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</si>
  <si>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</si>
  <si>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</si>
  <si>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</si>
  <si>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</si>
  <si>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ARPU</t>
  </si>
  <si>
    <t>ARPU y/y</t>
  </si>
  <si>
    <t>JD.com Inc (JD)</t>
  </si>
  <si>
    <t>Services</t>
  </si>
  <si>
    <t>Richard Liu</t>
  </si>
  <si>
    <t>Active customers</t>
  </si>
  <si>
    <t>Online sales</t>
  </si>
  <si>
    <t>Online sales y/y</t>
  </si>
  <si>
    <t>Services y/y</t>
  </si>
  <si>
    <t>Active customers y/y</t>
  </si>
  <si>
    <t>19-20 000 (guidance)</t>
  </si>
  <si>
    <t>18-23% (guidance)</t>
  </si>
  <si>
    <t>17/3/2019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</si>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</sst>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5" fillId="0" borderId="1" xfId="0" applyNumberFormat="1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0" fontId="6" fillId="0" borderId="1" xfId="0" applyFont="1" applyBorder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6" fillId="0" borderId="0" xfId="0" applyNumberFormat="1" applyFont="1" applyFill="1" applyBorder="1" applyAlignment="1">
      <alignment horizontal="right"/>
    </xf>
    <xf numFmtId="9" fontId="6" fillId="0" borderId="0" xfId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7</xdr:row>
      <xdr:rowOff>152400</xdr:rowOff>
    </xdr:from>
    <xdr:to>
      <xdr:col>5</xdr:col>
      <xdr:colOff>127000</xdr:colOff>
      <xdr:row>61</xdr:row>
      <xdr:rowOff>12700</xdr:rowOff>
    </xdr:to>
    <xdr:cxnSp macro="">
      <xdr:nvCxnSpPr>
        <xdr:cNvPr id="4" name="Straight Connector 3"/>
        <xdr:cNvCxnSpPr/>
      </xdr:nvCxnSpPr>
      <xdr:spPr>
        <a:xfrm>
          <a:off x="4762500" y="1308100"/>
          <a:ext cx="0" cy="8775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139700</xdr:colOff>
      <xdr:row>0</xdr:row>
      <xdr:rowOff>152400</xdr:rowOff>
    </xdr:from>
    <xdr:to>
      <xdr:col>17</xdr:col>
      <xdr:colOff>139700</xdr:colOff>
      <xdr:row>55</xdr:row>
      <xdr:rowOff>38100</xdr:rowOff>
    </xdr:to>
    <xdr:cxnSp macro="">
      <xdr:nvCxnSpPr>
        <xdr:cNvPr id="4" name="Straight Connector 3"/>
        <xdr:cNvCxnSpPr/>
      </xdr:nvCxnSpPr>
      <xdr:spPr>
        <a:xfrm>
          <a:off x="14592300" y="152400"/>
          <a:ext cx="0" cy="896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u_Qiangdo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ir.jd.com/investor-overview" TargetMode="External"/><Relationship Id="rId2" Type="http://schemas.openxmlformats.org/officeDocument/2006/relationships/hyperlink" Target="https://en.wikipedia.org/wiki/Liu_Qiangdo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IK=JD&amp;owner=exclude&amp;action=getcompany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0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G11" sqref="G11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122" x14ac:dyDescent="0.15">
      <c r="A1" s="1" t="s">
        <v>84</v>
      </c>
      <c r="B1" s="2" t="s">
        <v>88</v>
      </c>
    </row>
    <row r="2" spans="1:122" x14ac:dyDescent="0.15">
      <c r="B2" s="3" t="s">
        <v>64</v>
      </c>
      <c r="C2" s="4">
        <v>27.93</v>
      </c>
      <c r="D2" s="3" t="s">
        <v>98</v>
      </c>
      <c r="E2" s="6" t="s">
        <v>37</v>
      </c>
      <c r="F2" s="7">
        <v>-5.0000000000000001E-3</v>
      </c>
      <c r="H2" s="3" t="s">
        <v>4</v>
      </c>
      <c r="I2" s="16">
        <f>E16</f>
        <v>69308.938999999998</v>
      </c>
      <c r="L2" s="2"/>
    </row>
    <row r="3" spans="1:122" x14ac:dyDescent="0.15">
      <c r="A3" s="2" t="s">
        <v>62</v>
      </c>
      <c r="B3" s="3" t="s">
        <v>17</v>
      </c>
      <c r="C3" s="8">
        <f>Reports!Q22/2</f>
        <v>1468.9110000000001</v>
      </c>
      <c r="D3" s="3" t="s">
        <v>45</v>
      </c>
      <c r="E3" s="6" t="s">
        <v>38</v>
      </c>
      <c r="F3" s="7">
        <v>0.02</v>
      </c>
      <c r="G3" s="5" t="s">
        <v>85</v>
      </c>
      <c r="H3" s="3" t="s">
        <v>99</v>
      </c>
      <c r="I3" s="16">
        <f>E27</f>
        <v>-398.9479999999993</v>
      </c>
    </row>
    <row r="4" spans="1:122" x14ac:dyDescent="0.15">
      <c r="A4" s="9" t="s">
        <v>90</v>
      </c>
      <c r="B4" s="3" t="s">
        <v>65</v>
      </c>
      <c r="C4" s="10">
        <f>C2*C3</f>
        <v>41026.684229999999</v>
      </c>
      <c r="E4" s="6" t="s">
        <v>39</v>
      </c>
      <c r="F4" s="7">
        <f>2%+5%</f>
        <v>7.0000000000000007E-2</v>
      </c>
      <c r="G4" s="5" t="s">
        <v>68</v>
      </c>
      <c r="H4" s="3" t="s">
        <v>100</v>
      </c>
      <c r="I4" s="27">
        <f>E35</f>
        <v>0.2754491799238612</v>
      </c>
    </row>
    <row r="5" spans="1:122" x14ac:dyDescent="0.15">
      <c r="B5" s="3" t="s">
        <v>33</v>
      </c>
      <c r="C5" s="8">
        <f>Reports!Q33</f>
        <v>5966.0649999999987</v>
      </c>
      <c r="D5" s="3" t="s">
        <v>45</v>
      </c>
      <c r="E5" s="6" t="s">
        <v>40</v>
      </c>
      <c r="F5" s="11">
        <f>NPV(F4,F27:DR27)</f>
        <v>40001.042384561755</v>
      </c>
      <c r="G5" s="5" t="s">
        <v>69</v>
      </c>
      <c r="H5" s="3" t="s">
        <v>101</v>
      </c>
      <c r="I5" s="27">
        <f>E31</f>
        <v>7.3339068139536806E-2</v>
      </c>
    </row>
    <row r="6" spans="1:122" x14ac:dyDescent="0.15">
      <c r="A6" s="2" t="s">
        <v>63</v>
      </c>
      <c r="B6" s="3" t="s">
        <v>66</v>
      </c>
      <c r="C6" s="10">
        <f>C4-C5</f>
        <v>35060.619229999997</v>
      </c>
      <c r="E6" s="12" t="s">
        <v>41</v>
      </c>
      <c r="F6" s="13">
        <f>F5+C5</f>
        <v>45967.10738456175</v>
      </c>
      <c r="H6" s="3" t="s">
        <v>102</v>
      </c>
      <c r="I6" s="27">
        <f>E32</f>
        <v>-5.5815166929622058E-3</v>
      </c>
    </row>
    <row r="7" spans="1:122" x14ac:dyDescent="0.15">
      <c r="A7" s="9" t="s">
        <v>90</v>
      </c>
      <c r="B7" s="5" t="s">
        <v>67</v>
      </c>
      <c r="C7" s="63">
        <f>C6/C3</f>
        <v>23.868443513596123</v>
      </c>
      <c r="E7" s="14" t="s">
        <v>67</v>
      </c>
      <c r="F7" s="58">
        <f>F6/C3</f>
        <v>31.293323683028959</v>
      </c>
      <c r="G7" s="27">
        <f>F7/C2-1</f>
        <v>0.1204197523461854</v>
      </c>
    </row>
    <row r="8" spans="1:122" x14ac:dyDescent="0.15">
      <c r="E8" s="6"/>
      <c r="F8" s="15"/>
    </row>
    <row r="9" spans="1:122" x14ac:dyDescent="0.15">
      <c r="B9" s="3">
        <v>2015</v>
      </c>
      <c r="C9" s="3">
        <v>2016</v>
      </c>
      <c r="D9" s="3">
        <v>2017</v>
      </c>
      <c r="E9" s="3">
        <f>D9+1</f>
        <v>2018</v>
      </c>
      <c r="F9" s="3">
        <f t="shared" ref="F9:Q9" si="0">E9+1</f>
        <v>2019</v>
      </c>
      <c r="G9" s="3">
        <f t="shared" si="0"/>
        <v>2020</v>
      </c>
      <c r="H9" s="3">
        <f t="shared" si="0"/>
        <v>2021</v>
      </c>
      <c r="I9" s="3">
        <f t="shared" si="0"/>
        <v>2022</v>
      </c>
      <c r="J9" s="3">
        <f t="shared" si="0"/>
        <v>2023</v>
      </c>
      <c r="K9" s="3">
        <f t="shared" si="0"/>
        <v>2024</v>
      </c>
      <c r="L9" s="3">
        <f t="shared" si="0"/>
        <v>2025</v>
      </c>
      <c r="M9" s="3">
        <f t="shared" si="0"/>
        <v>2026</v>
      </c>
      <c r="N9" s="3">
        <f t="shared" si="0"/>
        <v>2027</v>
      </c>
      <c r="O9" s="3">
        <f t="shared" si="0"/>
        <v>2028</v>
      </c>
      <c r="P9" s="3">
        <f t="shared" si="0"/>
        <v>2029</v>
      </c>
      <c r="Q9" s="3">
        <f t="shared" si="0"/>
        <v>2030</v>
      </c>
    </row>
    <row r="10" spans="1:122" x14ac:dyDescent="0.15">
      <c r="A10" s="6" t="s">
        <v>92</v>
      </c>
      <c r="B10" s="8">
        <f>SUM(Reports!B3:E3)</f>
        <v>26546.933000000001</v>
      </c>
      <c r="C10" s="8">
        <f>SUM(Reports!F3:I3)</f>
        <v>35500.32</v>
      </c>
      <c r="D10" s="16">
        <f>SUM(Reports!J3:M3)</f>
        <v>49612.936000000002</v>
      </c>
      <c r="E10" s="16">
        <f>SUM(Reports!N3:Q3)</f>
        <v>62442.057999999997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A11" s="6" t="s">
        <v>89</v>
      </c>
      <c r="B11" s="8">
        <f>SUM(Reports!B4:E4)</f>
        <v>2141.9560000000001</v>
      </c>
      <c r="C11" s="8">
        <f>SUM(Reports!F4:I4)</f>
        <v>3351.0370000000003</v>
      </c>
      <c r="D11" s="16">
        <f>SUM(Reports!J4:M4)</f>
        <v>4727.8720000000003</v>
      </c>
      <c r="E11" s="16">
        <f>SUM(Reports!N4:Q4)</f>
        <v>6866.8809999999994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x14ac:dyDescent="0.15">
      <c r="B12" s="8"/>
      <c r="C12" s="8"/>
      <c r="D12" s="16"/>
      <c r="E12" s="16"/>
      <c r="F12" s="16"/>
      <c r="G12" s="16"/>
      <c r="H12" s="16"/>
      <c r="I12" s="16"/>
    </row>
    <row r="13" spans="1:122" x14ac:dyDescent="0.15">
      <c r="A13" s="8" t="s">
        <v>91</v>
      </c>
      <c r="B13" s="8">
        <f>Reports!E6</f>
        <v>155</v>
      </c>
      <c r="C13" s="8">
        <f>Reports!I6</f>
        <v>226.6</v>
      </c>
      <c r="D13" s="16">
        <f>Reports!M6</f>
        <v>292.5</v>
      </c>
      <c r="E13" s="16">
        <f>Reports!Q6</f>
        <v>305.3</v>
      </c>
      <c r="F13" s="16">
        <f>E13*1.02</f>
        <v>311.40600000000001</v>
      </c>
      <c r="G13" s="16">
        <f t="shared" ref="G13:J13" si="1">F13*1.02</f>
        <v>317.63412</v>
      </c>
      <c r="H13" s="16">
        <f t="shared" si="1"/>
        <v>323.98680239999999</v>
      </c>
      <c r="I13" s="16">
        <f t="shared" si="1"/>
        <v>330.46653844799999</v>
      </c>
      <c r="J13" s="16">
        <f t="shared" si="1"/>
        <v>337.07586921695997</v>
      </c>
    </row>
    <row r="14" spans="1:122" x14ac:dyDescent="0.15">
      <c r="A14" s="4" t="s">
        <v>86</v>
      </c>
      <c r="B14" s="63">
        <f>SUM(B10:B11)/B13</f>
        <v>185.08960645161292</v>
      </c>
      <c r="C14" s="63">
        <f>SUM(C10:C11)/C13</f>
        <v>171.45347308031776</v>
      </c>
      <c r="D14" s="63">
        <f>SUM(D10:D11)/D13</f>
        <v>185.78054017094018</v>
      </c>
      <c r="E14" s="63">
        <f>SUM(E10:E11)/E13</f>
        <v>227.01912545037666</v>
      </c>
      <c r="F14" s="59">
        <f>E14*1.2</f>
        <v>272.42295054045201</v>
      </c>
      <c r="G14" s="59">
        <f>F14*1.2</f>
        <v>326.90754064854241</v>
      </c>
      <c r="H14" s="59">
        <f t="shared" ref="H14:J14" si="2">G14*1.2</f>
        <v>392.2890487782509</v>
      </c>
      <c r="I14" s="59">
        <f t="shared" si="2"/>
        <v>470.74685853390105</v>
      </c>
      <c r="J14" s="59">
        <f t="shared" si="2"/>
        <v>564.89623024068123</v>
      </c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</row>
    <row r="15" spans="1:122" x14ac:dyDescent="0.15">
      <c r="F15" s="16"/>
      <c r="G15" s="16"/>
      <c r="H15" s="16"/>
      <c r="I15" s="16"/>
    </row>
    <row r="16" spans="1:122" x14ac:dyDescent="0.15">
      <c r="A16" s="2" t="s">
        <v>4</v>
      </c>
      <c r="B16" s="17">
        <f>B13*B14</f>
        <v>28688.889000000003</v>
      </c>
      <c r="C16" s="17">
        <f>C13*C14</f>
        <v>38851.357000000004</v>
      </c>
      <c r="D16" s="17">
        <f>D13*D14</f>
        <v>54340.808000000005</v>
      </c>
      <c r="E16" s="17">
        <f>E13*E14</f>
        <v>69308.938999999998</v>
      </c>
      <c r="F16" s="18">
        <f>F13*F14</f>
        <v>84834.141336000001</v>
      </c>
      <c r="G16" s="18">
        <f t="shared" ref="G16:J16" si="3">G13*G14</f>
        <v>103836.98899526399</v>
      </c>
      <c r="H16" s="18">
        <f t="shared" si="3"/>
        <v>127096.47453020314</v>
      </c>
      <c r="I16" s="18">
        <f t="shared" si="3"/>
        <v>155566.08482496862</v>
      </c>
      <c r="J16" s="18">
        <f t="shared" si="3"/>
        <v>190412.88782576157</v>
      </c>
      <c r="K16" s="18">
        <f t="shared" ref="K16:Q16" si="4">J16*1.1</f>
        <v>209454.17660833776</v>
      </c>
      <c r="L16" s="18">
        <f t="shared" si="4"/>
        <v>230399.59426917156</v>
      </c>
      <c r="M16" s="18">
        <f t="shared" si="4"/>
        <v>253439.55369608873</v>
      </c>
      <c r="N16" s="18">
        <f t="shared" si="4"/>
        <v>278783.50906569761</v>
      </c>
      <c r="O16" s="18">
        <f t="shared" si="4"/>
        <v>306661.85997226741</v>
      </c>
      <c r="P16" s="18">
        <f t="shared" si="4"/>
        <v>337328.04596949415</v>
      </c>
      <c r="Q16" s="18">
        <f t="shared" si="4"/>
        <v>371060.85056644358</v>
      </c>
      <c r="R16" s="18"/>
      <c r="S16" s="18"/>
      <c r="T16" s="18"/>
      <c r="U16" s="18"/>
      <c r="V16" s="18"/>
    </row>
    <row r="17" spans="1:122" x14ac:dyDescent="0.15">
      <c r="A17" s="3" t="s">
        <v>5</v>
      </c>
      <c r="B17" s="8">
        <f>SUM(Reports!B10:E10)</f>
        <v>27051.328000000001</v>
      </c>
      <c r="C17" s="8">
        <f>SUM(Reports!F10:I10)</f>
        <v>36088.760999999999</v>
      </c>
      <c r="D17" s="16">
        <f>SUM(Reports!J10:M10)</f>
        <v>50512.695</v>
      </c>
      <c r="E17" s="8">
        <f>SUM(Reports!N10:Q10)</f>
        <v>64225.885999999999</v>
      </c>
      <c r="F17" s="8">
        <f>F16-F18</f>
        <v>78612.484464000008</v>
      </c>
      <c r="G17" s="8">
        <f t="shared" ref="G17:H17" si="5">G16-G18</f>
        <v>96221.680983935992</v>
      </c>
      <c r="H17" s="8">
        <f t="shared" si="5"/>
        <v>117775.33752433766</v>
      </c>
      <c r="I17" s="8">
        <f t="shared" ref="I17:Q17" si="6">I16-I18</f>
        <v>144157.01312978929</v>
      </c>
      <c r="J17" s="8">
        <f t="shared" si="6"/>
        <v>176448.18407086207</v>
      </c>
      <c r="K17" s="8">
        <f t="shared" si="6"/>
        <v>194093.00247794829</v>
      </c>
      <c r="L17" s="8">
        <f t="shared" si="6"/>
        <v>213502.30272574315</v>
      </c>
      <c r="M17" s="8">
        <f t="shared" si="6"/>
        <v>234852.53299831747</v>
      </c>
      <c r="N17" s="8">
        <f t="shared" si="6"/>
        <v>258337.78629814924</v>
      </c>
      <c r="O17" s="8">
        <f t="shared" si="6"/>
        <v>284171.56492796418</v>
      </c>
      <c r="P17" s="8">
        <f t="shared" si="6"/>
        <v>312588.72142076062</v>
      </c>
      <c r="Q17" s="8">
        <f t="shared" si="6"/>
        <v>343847.5935628367</v>
      </c>
      <c r="R17" s="8"/>
      <c r="S17" s="8"/>
      <c r="T17" s="8"/>
      <c r="U17" s="8"/>
      <c r="V17" s="8"/>
    </row>
    <row r="18" spans="1:122" x14ac:dyDescent="0.15">
      <c r="A18" s="3" t="s">
        <v>6</v>
      </c>
      <c r="B18" s="10">
        <f>B16-B17</f>
        <v>1637.5610000000015</v>
      </c>
      <c r="C18" s="10">
        <f>C16-C17</f>
        <v>2762.596000000005</v>
      </c>
      <c r="D18" s="10">
        <f>D16-D17</f>
        <v>3828.1130000000048</v>
      </c>
      <c r="E18" s="10">
        <f>E16-E17</f>
        <v>5083.0529999999999</v>
      </c>
      <c r="F18" s="8">
        <f>F16*E31</f>
        <v>6221.6568719999996</v>
      </c>
      <c r="G18" s="8">
        <f t="shared" ref="G18:Q18" si="7">G16*F31</f>
        <v>7615.3080113279993</v>
      </c>
      <c r="H18" s="8">
        <f t="shared" si="7"/>
        <v>9321.137005865472</v>
      </c>
      <c r="I18" s="8">
        <f t="shared" si="7"/>
        <v>11409.071695179337</v>
      </c>
      <c r="J18" s="8">
        <f>J16*I31</f>
        <v>13964.703754899507</v>
      </c>
      <c r="K18" s="8">
        <f t="shared" si="7"/>
        <v>15361.17413038946</v>
      </c>
      <c r="L18" s="8">
        <f t="shared" si="7"/>
        <v>16897.291543428408</v>
      </c>
      <c r="M18" s="8">
        <f t="shared" si="7"/>
        <v>18587.020697771248</v>
      </c>
      <c r="N18" s="8">
        <f t="shared" si="7"/>
        <v>20445.722767548374</v>
      </c>
      <c r="O18" s="8">
        <f t="shared" si="7"/>
        <v>22490.295044303213</v>
      </c>
      <c r="P18" s="8">
        <f t="shared" si="7"/>
        <v>24739.324548733537</v>
      </c>
      <c r="Q18" s="8">
        <f t="shared" si="7"/>
        <v>27213.25700360689</v>
      </c>
      <c r="R18" s="8"/>
      <c r="S18" s="8"/>
      <c r="T18" s="8"/>
      <c r="U18" s="8"/>
      <c r="V18" s="8"/>
    </row>
    <row r="19" spans="1:122" x14ac:dyDescent="0.15">
      <c r="A19" s="3" t="s">
        <v>7</v>
      </c>
      <c r="B19" s="8">
        <f>SUM(Reports!B12:E12)</f>
        <v>546.12</v>
      </c>
      <c r="C19" s="8">
        <f>SUM(Reports!F12:I12)</f>
        <v>804.59199999999998</v>
      </c>
      <c r="D19" s="16">
        <f>SUM(Reports!J12:M12)</f>
        <v>1034.9590000000001</v>
      </c>
      <c r="E19" s="8">
        <f>SUM(Reports!N12:Q12)</f>
        <v>1816.4</v>
      </c>
      <c r="F19" s="8">
        <f>E19*1.3</f>
        <v>2361.3200000000002</v>
      </c>
      <c r="G19" s="8">
        <f t="shared" ref="G19:J19" si="8">F19*1.3</f>
        <v>3069.7160000000003</v>
      </c>
      <c r="H19" s="8">
        <f t="shared" si="8"/>
        <v>3990.6308000000004</v>
      </c>
      <c r="I19" s="8">
        <f t="shared" si="8"/>
        <v>5187.8200400000005</v>
      </c>
      <c r="J19" s="8">
        <f t="shared" si="8"/>
        <v>6744.1660520000005</v>
      </c>
      <c r="K19" s="8">
        <f t="shared" ref="K19:Q19" si="9">J19*1.02</f>
        <v>6879.0493730400003</v>
      </c>
      <c r="L19" s="8">
        <f t="shared" si="9"/>
        <v>7016.6303605008006</v>
      </c>
      <c r="M19" s="8">
        <f t="shared" si="9"/>
        <v>7156.9629677108169</v>
      </c>
      <c r="N19" s="8">
        <f t="shared" si="9"/>
        <v>7300.1022270650337</v>
      </c>
      <c r="O19" s="8">
        <f t="shared" si="9"/>
        <v>7446.1042716063348</v>
      </c>
      <c r="P19" s="8">
        <f t="shared" si="9"/>
        <v>7595.0263570384614</v>
      </c>
      <c r="Q19" s="8">
        <f t="shared" si="9"/>
        <v>7746.9268841792309</v>
      </c>
      <c r="R19" s="8"/>
      <c r="S19" s="8"/>
      <c r="T19" s="8"/>
      <c r="U19" s="8"/>
      <c r="V19" s="8"/>
    </row>
    <row r="20" spans="1:122" x14ac:dyDescent="0.15">
      <c r="A20" s="3" t="s">
        <v>8</v>
      </c>
      <c r="B20" s="8">
        <f>SUM(Reports!B13:E13)</f>
        <v>1222.806</v>
      </c>
      <c r="C20" s="8">
        <f>SUM(Reports!F13:I13)</f>
        <v>1575.9610000000002</v>
      </c>
      <c r="D20" s="16">
        <f>SUM(Reports!J13:M13)</f>
        <v>2219.73</v>
      </c>
      <c r="E20" s="8">
        <f>SUM(Reports!N13:Q13)</f>
        <v>2877.2129999999997</v>
      </c>
      <c r="F20" s="8">
        <f>E20*1.3</f>
        <v>3740.3768999999998</v>
      </c>
      <c r="G20" s="8">
        <f t="shared" ref="G20:J20" si="10">F20*1.3</f>
        <v>4862.4899699999996</v>
      </c>
      <c r="H20" s="8">
        <f t="shared" si="10"/>
        <v>6321.2369609999996</v>
      </c>
      <c r="I20" s="8">
        <f t="shared" si="10"/>
        <v>8217.608049299999</v>
      </c>
      <c r="J20" s="8">
        <f t="shared" si="10"/>
        <v>10682.89046409</v>
      </c>
      <c r="K20" s="8">
        <f>J20*0.98</f>
        <v>10469.2326548082</v>
      </c>
      <c r="L20" s="8">
        <f t="shared" ref="L20:Q20" si="11">K20*0.98</f>
        <v>10259.848001712036</v>
      </c>
      <c r="M20" s="8">
        <f t="shared" si="11"/>
        <v>10054.651041677795</v>
      </c>
      <c r="N20" s="8">
        <f t="shared" si="11"/>
        <v>9853.5580208442389</v>
      </c>
      <c r="O20" s="8">
        <f t="shared" si="11"/>
        <v>9656.4868604273543</v>
      </c>
      <c r="P20" s="8">
        <f t="shared" si="11"/>
        <v>9463.3571232188078</v>
      </c>
      <c r="Q20" s="8">
        <f t="shared" si="11"/>
        <v>9274.089980754432</v>
      </c>
      <c r="R20" s="8"/>
      <c r="S20" s="8"/>
      <c r="T20" s="8"/>
      <c r="U20" s="8"/>
      <c r="V20" s="8"/>
    </row>
    <row r="21" spans="1:122" x14ac:dyDescent="0.15">
      <c r="A21" s="3" t="s">
        <v>9</v>
      </c>
      <c r="B21" s="8">
        <f>SUM(Reports!B14:E14)</f>
        <v>878.49800000000005</v>
      </c>
      <c r="C21" s="8">
        <f>SUM(Reports!F14:I14)</f>
        <v>696.07400000000007</v>
      </c>
      <c r="D21" s="16">
        <f>SUM(Reports!J14:M14)</f>
        <v>680.85899999999992</v>
      </c>
      <c r="E21" s="8">
        <f>SUM(Reports!N14:Q14)</f>
        <v>776.28899999999999</v>
      </c>
      <c r="F21" s="8">
        <f>E21*1.15</f>
        <v>892.73234999999988</v>
      </c>
      <c r="G21" s="8">
        <f t="shared" ref="G21:J21" si="12">F21*1.15</f>
        <v>1026.6422024999997</v>
      </c>
      <c r="H21" s="8">
        <f t="shared" si="12"/>
        <v>1180.6385328749996</v>
      </c>
      <c r="I21" s="8">
        <f t="shared" si="12"/>
        <v>1357.7343128062494</v>
      </c>
      <c r="J21" s="8">
        <f t="shared" si="12"/>
        <v>1561.3944597271866</v>
      </c>
      <c r="K21" s="8">
        <f t="shared" ref="K21:Q21" si="13">J21*0.98</f>
        <v>1530.1665705326429</v>
      </c>
      <c r="L21" s="8">
        <f t="shared" si="13"/>
        <v>1499.5632391219901</v>
      </c>
      <c r="M21" s="8">
        <f t="shared" si="13"/>
        <v>1469.5719743395503</v>
      </c>
      <c r="N21" s="8">
        <f t="shared" si="13"/>
        <v>1440.1805348527591</v>
      </c>
      <c r="O21" s="8">
        <f t="shared" si="13"/>
        <v>1411.3769241557038</v>
      </c>
      <c r="P21" s="8">
        <f t="shared" si="13"/>
        <v>1383.1493856725897</v>
      </c>
      <c r="Q21" s="8">
        <f t="shared" si="13"/>
        <v>1355.4863979591378</v>
      </c>
      <c r="R21" s="8"/>
      <c r="S21" s="8"/>
      <c r="T21" s="8"/>
      <c r="U21" s="8"/>
      <c r="V21" s="8"/>
    </row>
    <row r="22" spans="1:122" x14ac:dyDescent="0.15">
      <c r="A22" s="3" t="s">
        <v>10</v>
      </c>
      <c r="B22" s="10">
        <f>SUM(B19:B21)</f>
        <v>2647.424</v>
      </c>
      <c r="C22" s="10">
        <f>SUM(C19:C21)</f>
        <v>3076.6270000000004</v>
      </c>
      <c r="D22" s="10">
        <f>SUM(D19:D21)</f>
        <v>3935.5480000000002</v>
      </c>
      <c r="E22" s="10">
        <f>SUM(E19:E21)</f>
        <v>5469.9019999999991</v>
      </c>
      <c r="F22" s="8">
        <f t="shared" ref="F22:H22" si="14">SUM(F19:F21)</f>
        <v>6994.4292500000001</v>
      </c>
      <c r="G22" s="8">
        <f t="shared" si="14"/>
        <v>8958.8481725000001</v>
      </c>
      <c r="H22" s="8">
        <f t="shared" si="14"/>
        <v>11492.506293875</v>
      </c>
      <c r="I22" s="8">
        <f t="shared" ref="I22:Q22" si="15">SUM(I19:I21)</f>
        <v>14763.162402106249</v>
      </c>
      <c r="J22" s="8">
        <f t="shared" si="15"/>
        <v>18988.450975817188</v>
      </c>
      <c r="K22" s="8">
        <f t="shared" si="15"/>
        <v>18878.448598380841</v>
      </c>
      <c r="L22" s="8">
        <f t="shared" si="15"/>
        <v>18776.041601334829</v>
      </c>
      <c r="M22" s="8">
        <f t="shared" si="15"/>
        <v>18681.185983728163</v>
      </c>
      <c r="N22" s="8">
        <f t="shared" si="15"/>
        <v>18593.840782762032</v>
      </c>
      <c r="O22" s="8">
        <f t="shared" si="15"/>
        <v>18513.968056189391</v>
      </c>
      <c r="P22" s="8">
        <f t="shared" si="15"/>
        <v>18441.532865929858</v>
      </c>
      <c r="Q22" s="8">
        <f t="shared" si="15"/>
        <v>18376.503262892802</v>
      </c>
      <c r="R22" s="8"/>
      <c r="S22" s="8"/>
      <c r="T22" s="8"/>
      <c r="U22" s="8"/>
      <c r="V22" s="8"/>
    </row>
    <row r="23" spans="1:122" x14ac:dyDescent="0.15">
      <c r="A23" s="3" t="s">
        <v>11</v>
      </c>
      <c r="B23" s="10">
        <f>B18-B22</f>
        <v>-1009.8629999999985</v>
      </c>
      <c r="C23" s="10">
        <f>C18-C22</f>
        <v>-314.0309999999954</v>
      </c>
      <c r="D23" s="10">
        <f>D18-D22</f>
        <v>-107.4349999999954</v>
      </c>
      <c r="E23" s="10">
        <f>E18-E22</f>
        <v>-386.84899999999925</v>
      </c>
      <c r="F23" s="8">
        <f t="shared" ref="F23:H23" si="16">F18-F22</f>
        <v>-772.77237800000057</v>
      </c>
      <c r="G23" s="8">
        <f t="shared" si="16"/>
        <v>-1343.5401611720008</v>
      </c>
      <c r="H23" s="8">
        <f t="shared" si="16"/>
        <v>-2171.3692880095277</v>
      </c>
      <c r="I23" s="8">
        <f t="shared" ref="I23:Q23" si="17">I18-I22</f>
        <v>-3354.0907069269124</v>
      </c>
      <c r="J23" s="8">
        <f t="shared" si="17"/>
        <v>-5023.7472209176813</v>
      </c>
      <c r="K23" s="8">
        <f t="shared" si="17"/>
        <v>-3517.2744679913812</v>
      </c>
      <c r="L23" s="8">
        <f t="shared" si="17"/>
        <v>-1878.7500579064217</v>
      </c>
      <c r="M23" s="8">
        <f t="shared" si="17"/>
        <v>-94.165285956914886</v>
      </c>
      <c r="N23" s="8">
        <f t="shared" si="17"/>
        <v>1851.8819847863415</v>
      </c>
      <c r="O23" s="8">
        <f t="shared" si="17"/>
        <v>3976.3269881138222</v>
      </c>
      <c r="P23" s="8">
        <f t="shared" si="17"/>
        <v>6297.7916828036796</v>
      </c>
      <c r="Q23" s="8">
        <f t="shared" si="17"/>
        <v>8836.7537407140881</v>
      </c>
      <c r="R23" s="8"/>
      <c r="S23" s="8"/>
      <c r="T23" s="8"/>
      <c r="U23" s="8"/>
      <c r="V23" s="8"/>
    </row>
    <row r="24" spans="1:122" x14ac:dyDescent="0.15">
      <c r="A24" s="3" t="s">
        <v>12</v>
      </c>
      <c r="B24" s="8">
        <f>SUM(Reports!B17:E17)</f>
        <v>-451.61600000000004</v>
      </c>
      <c r="C24" s="8">
        <f>SUM(Reports!F17:I17)</f>
        <v>-175.15200000000004</v>
      </c>
      <c r="D24" s="16">
        <f>SUM(Reports!J17:M17)</f>
        <v>132.422</v>
      </c>
      <c r="E24" s="8">
        <f>SUM(Reports!N17:Q17)</f>
        <v>52.833999999999946</v>
      </c>
      <c r="F24" s="8">
        <f>E40*$F$3</f>
        <v>119.32129999999998</v>
      </c>
      <c r="G24" s="8">
        <f t="shared" ref="G24:Q24" si="18">F40*$F$3</f>
        <v>106.90572951799997</v>
      </c>
      <c r="H24" s="8">
        <f t="shared" si="18"/>
        <v>83.409675316573953</v>
      </c>
      <c r="I24" s="8">
        <f t="shared" si="18"/>
        <v>43.738442675407839</v>
      </c>
      <c r="J24" s="8">
        <f t="shared" si="18"/>
        <v>-19.158250345370742</v>
      </c>
      <c r="K24" s="8">
        <f t="shared" si="18"/>
        <v>-114.97345429936874</v>
      </c>
      <c r="L24" s="8">
        <f t="shared" si="18"/>
        <v>-176.7216689783115</v>
      </c>
      <c r="M24" s="8">
        <f t="shared" si="18"/>
        <v>-211.66468833535197</v>
      </c>
      <c r="N24" s="8">
        <f t="shared" si="18"/>
        <v>-216.86379789832051</v>
      </c>
      <c r="O24" s="8">
        <f t="shared" si="18"/>
        <v>-189.06848872122416</v>
      </c>
      <c r="P24" s="8">
        <f t="shared" si="18"/>
        <v>-124.68509423155</v>
      </c>
      <c r="Q24" s="8">
        <f t="shared" si="18"/>
        <v>-19.742282225823782</v>
      </c>
      <c r="R24" s="8"/>
      <c r="S24" s="8"/>
      <c r="T24" s="8"/>
      <c r="U24" s="8"/>
      <c r="V24" s="8"/>
    </row>
    <row r="25" spans="1:122" x14ac:dyDescent="0.15">
      <c r="A25" s="3" t="s">
        <v>13</v>
      </c>
      <c r="B25" s="10">
        <f>B23+B24</f>
        <v>-1461.4789999999985</v>
      </c>
      <c r="C25" s="10">
        <f>C23+C24</f>
        <v>-489.18299999999545</v>
      </c>
      <c r="D25" s="10">
        <f>D23+D24</f>
        <v>24.987000000004599</v>
      </c>
      <c r="E25" s="10">
        <f>E23+E24</f>
        <v>-334.0149999999993</v>
      </c>
      <c r="F25" s="8">
        <f>F23+F24</f>
        <v>-653.45107800000062</v>
      </c>
      <c r="G25" s="8">
        <f t="shared" ref="G25:H25" si="19">G23+G24</f>
        <v>-1236.6344316540008</v>
      </c>
      <c r="H25" s="8">
        <f t="shared" si="19"/>
        <v>-2087.9596126929537</v>
      </c>
      <c r="I25" s="8">
        <f t="shared" ref="I25" si="20">I23+I24</f>
        <v>-3310.3522642515045</v>
      </c>
      <c r="J25" s="8">
        <f t="shared" ref="J25" si="21">J23+J24</f>
        <v>-5042.9054712630523</v>
      </c>
      <c r="K25" s="8">
        <f t="shared" ref="K25" si="22">K23+K24</f>
        <v>-3632.24792229075</v>
      </c>
      <c r="L25" s="8">
        <f t="shared" ref="L25" si="23">L23+L24</f>
        <v>-2055.471726884733</v>
      </c>
      <c r="M25" s="8">
        <f t="shared" ref="M25" si="24">M23+M24</f>
        <v>-305.82997429226685</v>
      </c>
      <c r="N25" s="8">
        <f t="shared" ref="N25" si="25">N23+N24</f>
        <v>1635.0181868880209</v>
      </c>
      <c r="O25" s="8">
        <f t="shared" ref="O25" si="26">O23+O24</f>
        <v>3787.258499392598</v>
      </c>
      <c r="P25" s="8">
        <f t="shared" ref="P25" si="27">P23+P24</f>
        <v>6173.10658857213</v>
      </c>
      <c r="Q25" s="8">
        <f t="shared" ref="Q25" si="28">Q23+Q24</f>
        <v>8817.0114584882649</v>
      </c>
      <c r="R25" s="8"/>
      <c r="S25" s="8"/>
      <c r="T25" s="8"/>
      <c r="U25" s="8"/>
      <c r="V25" s="8"/>
    </row>
    <row r="26" spans="1:122" x14ac:dyDescent="0.15">
      <c r="A26" s="3" t="s">
        <v>14</v>
      </c>
      <c r="B26" s="8">
        <f>SUM(Reports!B19:E19)</f>
        <v>-1.569</v>
      </c>
      <c r="C26" s="8">
        <f>SUM(Reports!F19:I19)</f>
        <v>28.995999999999999</v>
      </c>
      <c r="D26" s="16">
        <f>SUM(Reports!J19:M19)</f>
        <v>25.843</v>
      </c>
      <c r="E26" s="8">
        <f>SUM(Reports!N19:Q19)</f>
        <v>64.933000000000007</v>
      </c>
      <c r="F26" s="8">
        <f>F25*0.05</f>
        <v>-32.672553900000032</v>
      </c>
      <c r="G26" s="8">
        <f t="shared" ref="G26:J26" si="29">G25*0.05</f>
        <v>-61.831721582700041</v>
      </c>
      <c r="H26" s="8">
        <f t="shared" si="29"/>
        <v>-104.39798063464769</v>
      </c>
      <c r="I26" s="8">
        <f t="shared" si="29"/>
        <v>-165.51761321257524</v>
      </c>
      <c r="J26" s="8">
        <f t="shared" si="29"/>
        <v>-252.14527356315261</v>
      </c>
      <c r="K26" s="8">
        <f t="shared" ref="K26:Q26" si="30">K25*0.15</f>
        <v>-544.83718834361252</v>
      </c>
      <c r="L26" s="8">
        <f t="shared" si="30"/>
        <v>-308.32075903270993</v>
      </c>
      <c r="M26" s="8">
        <f t="shared" si="30"/>
        <v>-45.874496143840027</v>
      </c>
      <c r="N26" s="8">
        <f t="shared" si="30"/>
        <v>245.25272803320311</v>
      </c>
      <c r="O26" s="8">
        <f t="shared" si="30"/>
        <v>568.08877490888972</v>
      </c>
      <c r="P26" s="8">
        <f t="shared" si="30"/>
        <v>925.96598828581944</v>
      </c>
      <c r="Q26" s="8">
        <f t="shared" si="30"/>
        <v>1322.5517187732396</v>
      </c>
      <c r="R26" s="8"/>
      <c r="S26" s="8"/>
      <c r="T26" s="8"/>
      <c r="U26" s="8"/>
      <c r="V26" s="8"/>
    </row>
    <row r="27" spans="1:122" s="2" customFormat="1" x14ac:dyDescent="0.15">
      <c r="A27" s="2" t="s">
        <v>15</v>
      </c>
      <c r="B27" s="17">
        <f>B25-B26</f>
        <v>-1459.9099999999985</v>
      </c>
      <c r="C27" s="17">
        <f>C25-C26</f>
        <v>-518.17899999999543</v>
      </c>
      <c r="D27" s="17">
        <f>D25-D26</f>
        <v>-0.85599999999540088</v>
      </c>
      <c r="E27" s="17">
        <f>E25-E26</f>
        <v>-398.9479999999993</v>
      </c>
      <c r="F27" s="17">
        <f t="shared" ref="F27:H27" si="31">F25-F26</f>
        <v>-620.7785241000006</v>
      </c>
      <c r="G27" s="17">
        <f t="shared" si="31"/>
        <v>-1174.8027100713007</v>
      </c>
      <c r="H27" s="17">
        <f t="shared" si="31"/>
        <v>-1983.561632058306</v>
      </c>
      <c r="I27" s="17">
        <f t="shared" ref="I27:Q27" si="32">I25-I26</f>
        <v>-3144.8346510389292</v>
      </c>
      <c r="J27" s="17">
        <f t="shared" si="32"/>
        <v>-4790.7601976998994</v>
      </c>
      <c r="K27" s="17">
        <f t="shared" si="32"/>
        <v>-3087.4107339471375</v>
      </c>
      <c r="L27" s="17">
        <f t="shared" si="32"/>
        <v>-1747.1509678520231</v>
      </c>
      <c r="M27" s="17">
        <f t="shared" si="32"/>
        <v>-259.95547814842683</v>
      </c>
      <c r="N27" s="17">
        <f t="shared" si="32"/>
        <v>1389.7654588548178</v>
      </c>
      <c r="O27" s="17">
        <f t="shared" si="32"/>
        <v>3219.1697244837083</v>
      </c>
      <c r="P27" s="17">
        <f t="shared" si="32"/>
        <v>5247.1406002863105</v>
      </c>
      <c r="Q27" s="17">
        <f t="shared" si="32"/>
        <v>7494.4597397150255</v>
      </c>
      <c r="R27" s="17">
        <f>Q27*($F$2+1)</f>
        <v>7456.9874410164502</v>
      </c>
      <c r="S27" s="17">
        <f t="shared" ref="S27:CD27" si="33">R27*($F$2+1)</f>
        <v>7419.7025038113679</v>
      </c>
      <c r="T27" s="17">
        <f t="shared" si="33"/>
        <v>7382.6039912923106</v>
      </c>
      <c r="U27" s="17">
        <f t="shared" si="33"/>
        <v>7345.6909713358491</v>
      </c>
      <c r="V27" s="17">
        <f t="shared" si="33"/>
        <v>7308.9625164791696</v>
      </c>
      <c r="W27" s="17">
        <f t="shared" si="33"/>
        <v>7272.4177038967737</v>
      </c>
      <c r="X27" s="17">
        <f t="shared" si="33"/>
        <v>7236.0556153772895</v>
      </c>
      <c r="Y27" s="17">
        <f t="shared" si="33"/>
        <v>7199.8753373004029</v>
      </c>
      <c r="Z27" s="17">
        <f t="shared" si="33"/>
        <v>7163.875960613901</v>
      </c>
      <c r="AA27" s="17">
        <f t="shared" si="33"/>
        <v>7128.0565808108313</v>
      </c>
      <c r="AB27" s="17">
        <f t="shared" si="33"/>
        <v>7092.4162979067769</v>
      </c>
      <c r="AC27" s="17">
        <f t="shared" si="33"/>
        <v>7056.9542164172426</v>
      </c>
      <c r="AD27" s="17">
        <f t="shared" si="33"/>
        <v>7021.6694453351565</v>
      </c>
      <c r="AE27" s="17">
        <f t="shared" si="33"/>
        <v>6986.561098108481</v>
      </c>
      <c r="AF27" s="17">
        <f t="shared" si="33"/>
        <v>6951.6282926179383</v>
      </c>
      <c r="AG27" s="17">
        <f t="shared" si="33"/>
        <v>6916.8701511548488</v>
      </c>
      <c r="AH27" s="17">
        <f t="shared" si="33"/>
        <v>6882.2858003990741</v>
      </c>
      <c r="AI27" s="17">
        <f t="shared" si="33"/>
        <v>6847.8743713970789</v>
      </c>
      <c r="AJ27" s="17">
        <f t="shared" si="33"/>
        <v>6813.6349995400933</v>
      </c>
      <c r="AK27" s="17">
        <f t="shared" si="33"/>
        <v>6779.5668245423931</v>
      </c>
      <c r="AL27" s="17">
        <f t="shared" si="33"/>
        <v>6745.668990419681</v>
      </c>
      <c r="AM27" s="17">
        <f t="shared" si="33"/>
        <v>6711.9406454675827</v>
      </c>
      <c r="AN27" s="17">
        <f t="shared" si="33"/>
        <v>6678.3809422402446</v>
      </c>
      <c r="AO27" s="17">
        <f t="shared" si="33"/>
        <v>6644.9890375290433</v>
      </c>
      <c r="AP27" s="17">
        <f t="shared" si="33"/>
        <v>6611.7640923413983</v>
      </c>
      <c r="AQ27" s="17">
        <f t="shared" si="33"/>
        <v>6578.7052718796913</v>
      </c>
      <c r="AR27" s="17">
        <f t="shared" si="33"/>
        <v>6545.8117455202928</v>
      </c>
      <c r="AS27" s="17">
        <f t="shared" si="33"/>
        <v>6513.0826867926917</v>
      </c>
      <c r="AT27" s="17">
        <f t="shared" si="33"/>
        <v>6480.5172733587278</v>
      </c>
      <c r="AU27" s="17">
        <f t="shared" si="33"/>
        <v>6448.1146869919339</v>
      </c>
      <c r="AV27" s="17">
        <f t="shared" si="33"/>
        <v>6415.8741135569744</v>
      </c>
      <c r="AW27" s="17">
        <f t="shared" si="33"/>
        <v>6383.7947429891892</v>
      </c>
      <c r="AX27" s="17">
        <f t="shared" si="33"/>
        <v>6351.8757692742429</v>
      </c>
      <c r="AY27" s="17">
        <f t="shared" si="33"/>
        <v>6320.1163904278719</v>
      </c>
      <c r="AZ27" s="17">
        <f t="shared" si="33"/>
        <v>6288.5158084757322</v>
      </c>
      <c r="BA27" s="17">
        <f t="shared" si="33"/>
        <v>6257.0732294333538</v>
      </c>
      <c r="BB27" s="17">
        <f t="shared" si="33"/>
        <v>6225.7878632861866</v>
      </c>
      <c r="BC27" s="17">
        <f t="shared" si="33"/>
        <v>6194.658923969756</v>
      </c>
      <c r="BD27" s="17">
        <f t="shared" si="33"/>
        <v>6163.6856293499068</v>
      </c>
      <c r="BE27" s="17">
        <f t="shared" si="33"/>
        <v>6132.8672012031575</v>
      </c>
      <c r="BF27" s="17">
        <f t="shared" si="33"/>
        <v>6102.2028651971414</v>
      </c>
      <c r="BG27" s="17">
        <f t="shared" si="33"/>
        <v>6071.691850871156</v>
      </c>
      <c r="BH27" s="17">
        <f t="shared" si="33"/>
        <v>6041.3333916168003</v>
      </c>
      <c r="BI27" s="17">
        <f t="shared" si="33"/>
        <v>6011.1267246587167</v>
      </c>
      <c r="BJ27" s="17">
        <f t="shared" si="33"/>
        <v>5981.0710910354228</v>
      </c>
      <c r="BK27" s="17">
        <f t="shared" si="33"/>
        <v>5951.1657355802454</v>
      </c>
      <c r="BL27" s="17">
        <f t="shared" si="33"/>
        <v>5921.4099069023441</v>
      </c>
      <c r="BM27" s="17">
        <f t="shared" si="33"/>
        <v>5891.8028573678321</v>
      </c>
      <c r="BN27" s="17">
        <f t="shared" si="33"/>
        <v>5862.3438430809929</v>
      </c>
      <c r="BO27" s="17">
        <f t="shared" si="33"/>
        <v>5833.0321238655879</v>
      </c>
      <c r="BP27" s="17">
        <f t="shared" si="33"/>
        <v>5803.8669632462597</v>
      </c>
      <c r="BQ27" s="17">
        <f t="shared" si="33"/>
        <v>5774.8476284300286</v>
      </c>
      <c r="BR27" s="17">
        <f t="shared" si="33"/>
        <v>5745.9733902878788</v>
      </c>
      <c r="BS27" s="17">
        <f t="shared" si="33"/>
        <v>5717.2435233364395</v>
      </c>
      <c r="BT27" s="17">
        <f t="shared" si="33"/>
        <v>5688.6573057197575</v>
      </c>
      <c r="BU27" s="17">
        <f t="shared" si="33"/>
        <v>5660.2140191911585</v>
      </c>
      <c r="BV27" s="17">
        <f t="shared" si="33"/>
        <v>5631.9129490952027</v>
      </c>
      <c r="BW27" s="17">
        <f t="shared" si="33"/>
        <v>5603.7533843497267</v>
      </c>
      <c r="BX27" s="17">
        <f t="shared" si="33"/>
        <v>5575.7346174279783</v>
      </c>
      <c r="BY27" s="17">
        <f t="shared" si="33"/>
        <v>5547.8559443408385</v>
      </c>
      <c r="BZ27" s="17">
        <f t="shared" si="33"/>
        <v>5520.1166646191341</v>
      </c>
      <c r="CA27" s="17">
        <f t="shared" si="33"/>
        <v>5492.5160812960385</v>
      </c>
      <c r="CB27" s="17">
        <f t="shared" si="33"/>
        <v>5465.0535008895586</v>
      </c>
      <c r="CC27" s="17">
        <f t="shared" si="33"/>
        <v>5437.7282333851108</v>
      </c>
      <c r="CD27" s="17">
        <f t="shared" si="33"/>
        <v>5410.5395922181851</v>
      </c>
      <c r="CE27" s="17">
        <f t="shared" ref="CE27:DR27" si="34">CD27*($F$2+1)</f>
        <v>5383.4868942570938</v>
      </c>
      <c r="CF27" s="17">
        <f t="shared" si="34"/>
        <v>5356.5694597858082</v>
      </c>
      <c r="CG27" s="17">
        <f t="shared" si="34"/>
        <v>5329.7866124868788</v>
      </c>
      <c r="CH27" s="17">
        <f t="shared" si="34"/>
        <v>5303.1376794244443</v>
      </c>
      <c r="CI27" s="17">
        <f t="shared" si="34"/>
        <v>5276.6219910273221</v>
      </c>
      <c r="CJ27" s="17">
        <f t="shared" si="34"/>
        <v>5250.2388810721859</v>
      </c>
      <c r="CK27" s="17">
        <f t="shared" si="34"/>
        <v>5223.9876866668246</v>
      </c>
      <c r="CL27" s="17">
        <f t="shared" si="34"/>
        <v>5197.8677482334906</v>
      </c>
      <c r="CM27" s="17">
        <f t="shared" si="34"/>
        <v>5171.878409492323</v>
      </c>
      <c r="CN27" s="17">
        <f t="shared" si="34"/>
        <v>5146.0190174448617</v>
      </c>
      <c r="CO27" s="17">
        <f t="shared" si="34"/>
        <v>5120.2889223576376</v>
      </c>
      <c r="CP27" s="17">
        <f t="shared" si="34"/>
        <v>5094.6874777458497</v>
      </c>
      <c r="CQ27" s="17">
        <f t="shared" si="34"/>
        <v>5069.2140403571202</v>
      </c>
      <c r="CR27" s="17">
        <f t="shared" si="34"/>
        <v>5043.8679701553347</v>
      </c>
      <c r="CS27" s="17">
        <f t="shared" si="34"/>
        <v>5018.6486303045576</v>
      </c>
      <c r="CT27" s="17">
        <f t="shared" si="34"/>
        <v>4993.5553871530346</v>
      </c>
      <c r="CU27" s="17">
        <f t="shared" si="34"/>
        <v>4968.5876102172697</v>
      </c>
      <c r="CV27" s="17">
        <f t="shared" si="34"/>
        <v>4943.7446721661836</v>
      </c>
      <c r="CW27" s="17">
        <f t="shared" si="34"/>
        <v>4919.0259488053525</v>
      </c>
      <c r="CX27" s="17">
        <f t="shared" si="34"/>
        <v>4894.4308190613256</v>
      </c>
      <c r="CY27" s="17">
        <f t="shared" si="34"/>
        <v>4869.9586649660187</v>
      </c>
      <c r="CZ27" s="17">
        <f t="shared" si="34"/>
        <v>4845.6088716411887</v>
      </c>
      <c r="DA27" s="17">
        <f t="shared" si="34"/>
        <v>4821.3808272829829</v>
      </c>
      <c r="DB27" s="17">
        <f t="shared" si="34"/>
        <v>4797.2739231465675</v>
      </c>
      <c r="DC27" s="17">
        <f t="shared" si="34"/>
        <v>4773.2875535308349</v>
      </c>
      <c r="DD27" s="17">
        <f t="shared" si="34"/>
        <v>4749.4211157631808</v>
      </c>
      <c r="DE27" s="17">
        <f t="shared" si="34"/>
        <v>4725.6740101843652</v>
      </c>
      <c r="DF27" s="17">
        <f t="shared" si="34"/>
        <v>4702.0456401334432</v>
      </c>
      <c r="DG27" s="17">
        <f t="shared" si="34"/>
        <v>4678.5354119327758</v>
      </c>
      <c r="DH27" s="17">
        <f t="shared" si="34"/>
        <v>4655.1427348731122</v>
      </c>
      <c r="DI27" s="17">
        <f t="shared" si="34"/>
        <v>4631.8670211987464</v>
      </c>
      <c r="DJ27" s="17">
        <f t="shared" si="34"/>
        <v>4608.7076860927527</v>
      </c>
      <c r="DK27" s="17">
        <f t="shared" si="34"/>
        <v>4585.664147662289</v>
      </c>
      <c r="DL27" s="17">
        <f t="shared" si="34"/>
        <v>4562.7358269239776</v>
      </c>
      <c r="DM27" s="17">
        <f t="shared" si="34"/>
        <v>4539.922147789358</v>
      </c>
      <c r="DN27" s="17">
        <f t="shared" si="34"/>
        <v>4517.2225370504111</v>
      </c>
      <c r="DO27" s="17">
        <f t="shared" si="34"/>
        <v>4494.6364243651587</v>
      </c>
      <c r="DP27" s="17">
        <f t="shared" si="34"/>
        <v>4472.1632422433331</v>
      </c>
      <c r="DQ27" s="17">
        <f t="shared" si="34"/>
        <v>4449.8024260321163</v>
      </c>
      <c r="DR27" s="17">
        <f t="shared" si="34"/>
        <v>4427.5534139019555</v>
      </c>
    </row>
    <row r="28" spans="1:122" x14ac:dyDescent="0.15">
      <c r="A28" s="3" t="s">
        <v>16</v>
      </c>
      <c r="B28" s="19">
        <f>B27/B29</f>
        <v>-0.53349241644938861</v>
      </c>
      <c r="C28" s="19">
        <f>C27/C29</f>
        <v>-0.18282607215324542</v>
      </c>
      <c r="D28" s="19">
        <f>D27/D29</f>
        <v>-2.927261317901608E-4</v>
      </c>
      <c r="E28" s="19">
        <f>E27/E29</f>
        <v>-0.1357971994218844</v>
      </c>
      <c r="F28" s="20">
        <f t="shared" ref="F28:H28" si="35">F27/F29</f>
        <v>-0.21130569656704884</v>
      </c>
      <c r="G28" s="20">
        <f t="shared" si="35"/>
        <v>-0.3998890028297496</v>
      </c>
      <c r="H28" s="20">
        <f t="shared" si="35"/>
        <v>-0.67518101234802719</v>
      </c>
      <c r="I28" s="20">
        <f t="shared" ref="I28:Q28" si="36">I27/I29</f>
        <v>-1.0704646677160594</v>
      </c>
      <c r="J28" s="20">
        <f t="shared" si="36"/>
        <v>-1.6307183340923648</v>
      </c>
      <c r="K28" s="20">
        <f t="shared" si="36"/>
        <v>-1.0509182428163235</v>
      </c>
      <c r="L28" s="20">
        <f t="shared" si="36"/>
        <v>-0.59470960727097255</v>
      </c>
      <c r="M28" s="20">
        <f t="shared" si="36"/>
        <v>-8.8485782374979435E-2</v>
      </c>
      <c r="N28" s="20">
        <f t="shared" si="36"/>
        <v>0.4730597901625142</v>
      </c>
      <c r="O28" s="20">
        <f t="shared" si="36"/>
        <v>1.0957674510176956</v>
      </c>
      <c r="P28" s="20">
        <f t="shared" si="36"/>
        <v>1.7860648467763909</v>
      </c>
      <c r="Q28" s="20">
        <f t="shared" si="36"/>
        <v>2.5510258074570293</v>
      </c>
      <c r="R28" s="20"/>
      <c r="S28" s="20"/>
      <c r="T28" s="20"/>
      <c r="U28" s="20"/>
      <c r="V28" s="20"/>
    </row>
    <row r="29" spans="1:122" x14ac:dyDescent="0.15">
      <c r="A29" s="3" t="s">
        <v>17</v>
      </c>
      <c r="B29" s="8">
        <f>Reports!E22</f>
        <v>2736.5149999999999</v>
      </c>
      <c r="C29" s="8">
        <f>Reports!I22</f>
        <v>2834.2730000000001</v>
      </c>
      <c r="D29" s="8">
        <f>Reports!M22</f>
        <v>2924.2350000000001</v>
      </c>
      <c r="E29" s="8">
        <f>Reports!Q22</f>
        <v>2937.8220000000001</v>
      </c>
      <c r="F29" s="8">
        <f t="shared" ref="F29" si="37">E29</f>
        <v>2937.8220000000001</v>
      </c>
      <c r="G29" s="8">
        <f t="shared" ref="G29" si="38">F29</f>
        <v>2937.8220000000001</v>
      </c>
      <c r="H29" s="8">
        <f t="shared" ref="H29" si="39">G29</f>
        <v>2937.8220000000001</v>
      </c>
      <c r="I29" s="8">
        <f t="shared" ref="I29" si="40">H29</f>
        <v>2937.8220000000001</v>
      </c>
      <c r="J29" s="8">
        <f t="shared" ref="J29" si="41">I29</f>
        <v>2937.8220000000001</v>
      </c>
      <c r="K29" s="8">
        <f t="shared" ref="K29" si="42">J29</f>
        <v>2937.8220000000001</v>
      </c>
      <c r="L29" s="8">
        <f t="shared" ref="L29" si="43">K29</f>
        <v>2937.8220000000001</v>
      </c>
      <c r="M29" s="8">
        <f t="shared" ref="M29" si="44">L29</f>
        <v>2937.8220000000001</v>
      </c>
      <c r="N29" s="8">
        <f t="shared" ref="N29" si="45">M29</f>
        <v>2937.8220000000001</v>
      </c>
      <c r="O29" s="8">
        <f t="shared" ref="O29" si="46">N29</f>
        <v>2937.8220000000001</v>
      </c>
      <c r="P29" s="8">
        <f t="shared" ref="P29" si="47">O29</f>
        <v>2937.8220000000001</v>
      </c>
      <c r="Q29" s="8">
        <f t="shared" ref="Q29" si="48">P29</f>
        <v>2937.8220000000001</v>
      </c>
      <c r="R29" s="8"/>
      <c r="S29" s="8"/>
      <c r="T29" s="8"/>
      <c r="U29" s="8"/>
      <c r="V29" s="8"/>
    </row>
    <row r="30" spans="1:122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122" x14ac:dyDescent="0.15">
      <c r="A31" s="3" t="s">
        <v>19</v>
      </c>
      <c r="B31" s="23">
        <f t="shared" ref="B31:Q31" si="49">IFERROR(B18/B16,0)</f>
        <v>5.7079972668164364E-2</v>
      </c>
      <c r="C31" s="23">
        <f t="shared" si="49"/>
        <v>7.110680844429719E-2</v>
      </c>
      <c r="D31" s="23">
        <f t="shared" si="49"/>
        <v>7.0446376137800609E-2</v>
      </c>
      <c r="E31" s="23">
        <f t="shared" si="49"/>
        <v>7.3339068139536806E-2</v>
      </c>
      <c r="F31" s="23">
        <f t="shared" si="49"/>
        <v>7.3339068139536806E-2</v>
      </c>
      <c r="G31" s="23">
        <f t="shared" si="49"/>
        <v>7.3339068139536806E-2</v>
      </c>
      <c r="H31" s="23">
        <f>IFERROR(H18/H16,0)</f>
        <v>7.3339068139536806E-2</v>
      </c>
      <c r="I31" s="23">
        <f t="shared" si="49"/>
        <v>7.3339068139536806E-2</v>
      </c>
      <c r="J31" s="23">
        <f t="shared" si="49"/>
        <v>7.3339068139536806E-2</v>
      </c>
      <c r="K31" s="23">
        <f t="shared" si="49"/>
        <v>7.3339068139536806E-2</v>
      </c>
      <c r="L31" s="23">
        <f t="shared" si="49"/>
        <v>7.3339068139536806E-2</v>
      </c>
      <c r="M31" s="23">
        <f t="shared" si="49"/>
        <v>7.3339068139536806E-2</v>
      </c>
      <c r="N31" s="23">
        <f t="shared" si="49"/>
        <v>7.3339068139536806E-2</v>
      </c>
      <c r="O31" s="23">
        <f t="shared" si="49"/>
        <v>7.3339068139536806E-2</v>
      </c>
      <c r="P31" s="23">
        <f t="shared" si="49"/>
        <v>7.3339068139536806E-2</v>
      </c>
      <c r="Q31" s="23">
        <f t="shared" si="49"/>
        <v>7.3339068139536806E-2</v>
      </c>
      <c r="R31" s="23"/>
      <c r="S31" s="23"/>
      <c r="T31" s="23"/>
      <c r="U31" s="23"/>
      <c r="V31" s="23"/>
    </row>
    <row r="32" spans="1:122" x14ac:dyDescent="0.15">
      <c r="A32" s="3" t="s">
        <v>20</v>
      </c>
      <c r="B32" s="22">
        <f t="shared" ref="B32:Q32" si="50">IFERROR(B23/B16,0)</f>
        <v>-3.5200491730439556E-2</v>
      </c>
      <c r="C32" s="22">
        <f t="shared" si="50"/>
        <v>-8.0828836943840944E-3</v>
      </c>
      <c r="D32" s="22">
        <f t="shared" si="50"/>
        <v>-1.9770593032035037E-3</v>
      </c>
      <c r="E32" s="22">
        <f>IFERROR(E23/E16,0)</f>
        <v>-5.5815166929622058E-3</v>
      </c>
      <c r="F32" s="22">
        <f t="shared" si="50"/>
        <v>-9.1092143543871629E-3</v>
      </c>
      <c r="G32" s="22">
        <f t="shared" si="50"/>
        <v>-1.2938936059030754E-2</v>
      </c>
      <c r="H32" s="22">
        <f t="shared" si="50"/>
        <v>-1.70844179276863E-2</v>
      </c>
      <c r="I32" s="22">
        <f t="shared" si="50"/>
        <v>-2.1560552293262928E-2</v>
      </c>
      <c r="J32" s="22">
        <f t="shared" si="50"/>
        <v>-2.6383441154018368E-2</v>
      </c>
      <c r="K32" s="22">
        <f t="shared" si="50"/>
        <v>-1.6792572604405011E-2</v>
      </c>
      <c r="L32" s="22">
        <f t="shared" si="50"/>
        <v>-8.1543114859460777E-3</v>
      </c>
      <c r="M32" s="22">
        <f t="shared" si="50"/>
        <v>-3.7154928890789044E-4</v>
      </c>
      <c r="N32" s="22">
        <f t="shared" si="50"/>
        <v>6.6427242809040414E-3</v>
      </c>
      <c r="O32" s="22">
        <f t="shared" si="50"/>
        <v>1.2966486893653539E-2</v>
      </c>
      <c r="P32" s="22">
        <f t="shared" si="50"/>
        <v>1.8669635561145165E-2</v>
      </c>
      <c r="Q32" s="22">
        <f t="shared" si="50"/>
        <v>2.3814837181622171E-2</v>
      </c>
      <c r="R32" s="22"/>
      <c r="S32" s="22"/>
      <c r="T32" s="22"/>
      <c r="U32" s="22"/>
      <c r="V32" s="22"/>
    </row>
    <row r="33" spans="1:122" x14ac:dyDescent="0.15">
      <c r="A33" s="3" t="s">
        <v>21</v>
      </c>
      <c r="B33" s="22">
        <f t="shared" ref="B33:Q33" si="51">IFERROR(B26/B25,0)</f>
        <v>1.0735699931370903E-3</v>
      </c>
      <c r="C33" s="22">
        <f t="shared" si="51"/>
        <v>-5.9274341095255291E-2</v>
      </c>
      <c r="D33" s="22">
        <f t="shared" si="51"/>
        <v>1.0342578140631224</v>
      </c>
      <c r="E33" s="22">
        <f t="shared" si="51"/>
        <v>-0.19440144903672033</v>
      </c>
      <c r="F33" s="22">
        <f t="shared" si="51"/>
        <v>0.05</v>
      </c>
      <c r="G33" s="22">
        <f t="shared" si="51"/>
        <v>0.05</v>
      </c>
      <c r="H33" s="22">
        <f t="shared" si="51"/>
        <v>0.05</v>
      </c>
      <c r="I33" s="22">
        <f t="shared" si="51"/>
        <v>0.05</v>
      </c>
      <c r="J33" s="22">
        <f t="shared" si="51"/>
        <v>0.05</v>
      </c>
      <c r="K33" s="22">
        <f t="shared" si="51"/>
        <v>0.15</v>
      </c>
      <c r="L33" s="22">
        <f t="shared" si="51"/>
        <v>0.15</v>
      </c>
      <c r="M33" s="22">
        <f t="shared" si="51"/>
        <v>0.15</v>
      </c>
      <c r="N33" s="22">
        <f t="shared" si="51"/>
        <v>0.15</v>
      </c>
      <c r="O33" s="22">
        <f t="shared" si="51"/>
        <v>0.15</v>
      </c>
      <c r="P33" s="22">
        <f t="shared" si="51"/>
        <v>0.15</v>
      </c>
      <c r="Q33" s="22">
        <f t="shared" si="51"/>
        <v>0.15</v>
      </c>
      <c r="R33" s="22"/>
      <c r="S33" s="22"/>
      <c r="T33" s="22"/>
      <c r="U33" s="22"/>
      <c r="V33" s="22"/>
    </row>
    <row r="34" spans="1:122" x14ac:dyDescent="0.1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122" x14ac:dyDescent="0.15">
      <c r="A35" s="2" t="s">
        <v>18</v>
      </c>
      <c r="B35" s="12"/>
      <c r="C35" s="21">
        <f t="shared" ref="C35:Q35" si="52">C16/B16-1</f>
        <v>0.35423009932521254</v>
      </c>
      <c r="D35" s="21">
        <f t="shared" si="52"/>
        <v>0.39868494168685031</v>
      </c>
      <c r="E35" s="21">
        <f t="shared" si="52"/>
        <v>0.2754491799238612</v>
      </c>
      <c r="F35" s="21">
        <f t="shared" si="52"/>
        <v>0.22399999999999998</v>
      </c>
      <c r="G35" s="21">
        <f t="shared" si="52"/>
        <v>0.22399999999999998</v>
      </c>
      <c r="H35" s="21">
        <f t="shared" si="52"/>
        <v>0.2240000000000002</v>
      </c>
      <c r="I35" s="21">
        <f t="shared" si="52"/>
        <v>0.22399999999999998</v>
      </c>
      <c r="J35" s="21">
        <f>J16/I16-1</f>
        <v>0.22399999999999975</v>
      </c>
      <c r="K35" s="21">
        <f t="shared" si="52"/>
        <v>0.10000000000000009</v>
      </c>
      <c r="L35" s="21">
        <f t="shared" si="52"/>
        <v>0.10000000000000009</v>
      </c>
      <c r="M35" s="21">
        <f t="shared" si="52"/>
        <v>0.10000000000000009</v>
      </c>
      <c r="N35" s="21">
        <f t="shared" si="52"/>
        <v>0.10000000000000009</v>
      </c>
      <c r="O35" s="21">
        <f t="shared" si="52"/>
        <v>0.10000000000000009</v>
      </c>
      <c r="P35" s="21">
        <f t="shared" si="52"/>
        <v>0.10000000000000009</v>
      </c>
      <c r="Q35" s="21">
        <f t="shared" si="52"/>
        <v>0.10000000000000009</v>
      </c>
      <c r="R35" s="21"/>
      <c r="S35" s="21"/>
      <c r="T35" s="21"/>
      <c r="U35" s="21"/>
      <c r="V35" s="21"/>
    </row>
    <row r="36" spans="1:122" x14ac:dyDescent="0.15">
      <c r="A36" s="3" t="s">
        <v>58</v>
      </c>
      <c r="B36" s="6"/>
      <c r="C36" s="22">
        <f t="shared" ref="C36:Q36" si="53">C19/B19-1</f>
        <v>0.47328792206840986</v>
      </c>
      <c r="D36" s="22">
        <f t="shared" si="53"/>
        <v>0.28631530017698426</v>
      </c>
      <c r="E36" s="22">
        <f t="shared" si="53"/>
        <v>0.75504536894698249</v>
      </c>
      <c r="F36" s="22">
        <f>F19/E19-1</f>
        <v>0.30000000000000004</v>
      </c>
      <c r="G36" s="22">
        <f t="shared" si="53"/>
        <v>0.30000000000000004</v>
      </c>
      <c r="H36" s="22">
        <f t="shared" si="53"/>
        <v>0.30000000000000004</v>
      </c>
      <c r="I36" s="22">
        <f t="shared" si="53"/>
        <v>0.30000000000000004</v>
      </c>
      <c r="J36" s="22">
        <f t="shared" si="53"/>
        <v>0.30000000000000004</v>
      </c>
      <c r="K36" s="22">
        <f t="shared" si="53"/>
        <v>2.0000000000000018E-2</v>
      </c>
      <c r="L36" s="22">
        <f t="shared" si="53"/>
        <v>2.0000000000000018E-2</v>
      </c>
      <c r="M36" s="22">
        <f t="shared" si="53"/>
        <v>2.0000000000000018E-2</v>
      </c>
      <c r="N36" s="22">
        <f t="shared" si="53"/>
        <v>2.0000000000000018E-2</v>
      </c>
      <c r="O36" s="22">
        <f t="shared" si="53"/>
        <v>2.0000000000000018E-2</v>
      </c>
      <c r="P36" s="22">
        <f t="shared" si="53"/>
        <v>2.0000000000000018E-2</v>
      </c>
      <c r="Q36" s="22">
        <f t="shared" si="53"/>
        <v>2.0000000000000018E-2</v>
      </c>
      <c r="R36" s="22"/>
      <c r="S36" s="22"/>
      <c r="T36" s="22"/>
      <c r="U36" s="22"/>
      <c r="V36" s="22"/>
    </row>
    <row r="37" spans="1:122" x14ac:dyDescent="0.15">
      <c r="A37" s="3" t="s">
        <v>59</v>
      </c>
      <c r="B37" s="6"/>
      <c r="C37" s="22">
        <f t="shared" ref="C37:Q37" si="54">C20/B20-1</f>
        <v>0.28880705524833883</v>
      </c>
      <c r="D37" s="22">
        <f t="shared" si="54"/>
        <v>0.40849297666630058</v>
      </c>
      <c r="E37" s="22">
        <f t="shared" si="54"/>
        <v>0.296199537781622</v>
      </c>
      <c r="F37" s="22">
        <f t="shared" si="54"/>
        <v>0.30000000000000004</v>
      </c>
      <c r="G37" s="22">
        <f t="shared" si="54"/>
        <v>0.30000000000000004</v>
      </c>
      <c r="H37" s="22">
        <f t="shared" si="54"/>
        <v>0.30000000000000004</v>
      </c>
      <c r="I37" s="22">
        <f t="shared" si="54"/>
        <v>0.29999999999999982</v>
      </c>
      <c r="J37" s="22">
        <f t="shared" si="54"/>
        <v>0.30000000000000004</v>
      </c>
      <c r="K37" s="22">
        <f t="shared" si="54"/>
        <v>-2.0000000000000018E-2</v>
      </c>
      <c r="L37" s="22">
        <f t="shared" si="54"/>
        <v>-2.0000000000000018E-2</v>
      </c>
      <c r="M37" s="22">
        <f t="shared" si="54"/>
        <v>-2.0000000000000129E-2</v>
      </c>
      <c r="N37" s="22">
        <f t="shared" si="54"/>
        <v>-2.0000000000000018E-2</v>
      </c>
      <c r="O37" s="22">
        <f t="shared" si="54"/>
        <v>-2.0000000000000018E-2</v>
      </c>
      <c r="P37" s="22">
        <f t="shared" si="54"/>
        <v>-1.9999999999999907E-2</v>
      </c>
      <c r="Q37" s="22">
        <f t="shared" si="54"/>
        <v>-2.0000000000000018E-2</v>
      </c>
      <c r="R37" s="22"/>
      <c r="S37" s="22"/>
      <c r="T37" s="22"/>
      <c r="U37" s="22"/>
      <c r="V37" s="22"/>
    </row>
    <row r="38" spans="1:122" x14ac:dyDescent="0.15">
      <c r="A38" s="3" t="s">
        <v>60</v>
      </c>
      <c r="B38" s="6"/>
      <c r="C38" s="22">
        <f t="shared" ref="C38:Q38" si="55">C21/B21-1</f>
        <v>-0.2076544283538494</v>
      </c>
      <c r="D38" s="22">
        <f t="shared" si="55"/>
        <v>-2.1858308168384633E-2</v>
      </c>
      <c r="E38" s="22">
        <f t="shared" si="55"/>
        <v>0.14016117874626044</v>
      </c>
      <c r="F38" s="22">
        <f t="shared" si="55"/>
        <v>0.14999999999999991</v>
      </c>
      <c r="G38" s="22">
        <f t="shared" si="55"/>
        <v>0.14999999999999991</v>
      </c>
      <c r="H38" s="22">
        <f t="shared" si="55"/>
        <v>0.14999999999999991</v>
      </c>
      <c r="I38" s="22">
        <f t="shared" si="55"/>
        <v>0.14999999999999991</v>
      </c>
      <c r="J38" s="22">
        <f t="shared" si="55"/>
        <v>0.14999999999999991</v>
      </c>
      <c r="K38" s="22">
        <f t="shared" si="55"/>
        <v>-1.9999999999999907E-2</v>
      </c>
      <c r="L38" s="22">
        <f t="shared" si="55"/>
        <v>-1.9999999999999907E-2</v>
      </c>
      <c r="M38" s="22">
        <f t="shared" si="55"/>
        <v>-2.0000000000000018E-2</v>
      </c>
      <c r="N38" s="22">
        <f t="shared" si="55"/>
        <v>-2.0000000000000129E-2</v>
      </c>
      <c r="O38" s="22">
        <f t="shared" si="55"/>
        <v>-2.0000000000000129E-2</v>
      </c>
      <c r="P38" s="22">
        <f t="shared" si="55"/>
        <v>-2.0000000000000018E-2</v>
      </c>
      <c r="Q38" s="22">
        <f t="shared" si="55"/>
        <v>-2.0000000000000129E-2</v>
      </c>
      <c r="R38" s="22"/>
      <c r="S38" s="22"/>
      <c r="T38" s="22"/>
      <c r="U38" s="22"/>
      <c r="V38" s="22"/>
    </row>
    <row r="39" spans="1:122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122" x14ac:dyDescent="0.15">
      <c r="A40" s="2" t="s">
        <v>33</v>
      </c>
      <c r="B40" s="6"/>
      <c r="C40" s="6"/>
      <c r="D40" s="17">
        <f>D41-D42</f>
        <v>3812.7250000000004</v>
      </c>
      <c r="E40" s="17">
        <f>E41-E42</f>
        <v>5966.0649999999987</v>
      </c>
      <c r="F40" s="53">
        <f>E40+F27</f>
        <v>5345.2864758999985</v>
      </c>
      <c r="G40" s="53">
        <f t="shared" ref="G40:Q40" si="56">F40+G27</f>
        <v>4170.4837658286979</v>
      </c>
      <c r="H40" s="53">
        <f t="shared" si="56"/>
        <v>2186.9221337703921</v>
      </c>
      <c r="I40" s="53">
        <f t="shared" si="56"/>
        <v>-957.91251726853716</v>
      </c>
      <c r="J40" s="53">
        <f t="shared" si="56"/>
        <v>-5748.6727149684366</v>
      </c>
      <c r="K40" s="53">
        <f t="shared" si="56"/>
        <v>-8836.083448915575</v>
      </c>
      <c r="L40" s="53">
        <f t="shared" si="56"/>
        <v>-10583.234416767598</v>
      </c>
      <c r="M40" s="53">
        <f t="shared" si="56"/>
        <v>-10843.189894916026</v>
      </c>
      <c r="N40" s="53">
        <f t="shared" si="56"/>
        <v>-9453.4244360612083</v>
      </c>
      <c r="O40" s="53">
        <f t="shared" si="56"/>
        <v>-6234.2547115774996</v>
      </c>
      <c r="P40" s="53">
        <f t="shared" si="56"/>
        <v>-987.11411129118915</v>
      </c>
      <c r="Q40" s="53">
        <f t="shared" si="56"/>
        <v>6507.3456284238364</v>
      </c>
      <c r="R40" s="18"/>
      <c r="S40" s="18"/>
      <c r="T40" s="18"/>
      <c r="U40" s="18"/>
      <c r="V40" s="18"/>
    </row>
    <row r="41" spans="1:122" x14ac:dyDescent="0.15">
      <c r="A41" s="3" t="s">
        <v>34</v>
      </c>
      <c r="B41" s="6"/>
      <c r="C41" s="6"/>
      <c r="D41" s="55">
        <f>Reports!M34</f>
        <v>7441.1280000000006</v>
      </c>
      <c r="E41" s="55">
        <f>Reports!Q34</f>
        <v>8063.2979999999989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8"/>
      <c r="S41" s="8"/>
      <c r="T41" s="8"/>
      <c r="U41" s="8"/>
      <c r="V41" s="8"/>
    </row>
    <row r="42" spans="1:122" x14ac:dyDescent="0.15">
      <c r="A42" s="3" t="s">
        <v>35</v>
      </c>
      <c r="B42" s="6"/>
      <c r="C42" s="6"/>
      <c r="D42" s="55">
        <f>Reports!M35</f>
        <v>3628.4030000000002</v>
      </c>
      <c r="E42" s="55">
        <f>Reports!Q35</f>
        <v>2097.2330000000002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8"/>
      <c r="S42" s="8"/>
      <c r="T42" s="8"/>
      <c r="U42" s="8"/>
      <c r="V42" s="8"/>
    </row>
    <row r="43" spans="1:122" x14ac:dyDescent="0.15">
      <c r="B43" s="6"/>
      <c r="C43" s="6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5"/>
      <c r="V43" s="25"/>
    </row>
    <row r="44" spans="1:122" x14ac:dyDescent="0.15">
      <c r="A44" s="3" t="s">
        <v>74</v>
      </c>
      <c r="B44" s="6"/>
      <c r="C44" s="6"/>
      <c r="D44" s="55">
        <f>Reports!M37</f>
        <v>2050.826</v>
      </c>
      <c r="E44" s="55">
        <f>Reports!Q37</f>
        <v>1695.2040000000002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</row>
    <row r="45" spans="1:122" x14ac:dyDescent="0.15">
      <c r="A45" s="3" t="s">
        <v>75</v>
      </c>
      <c r="B45" s="6"/>
      <c r="C45" s="6"/>
      <c r="D45" s="55">
        <f>Reports!M38</f>
        <v>28288.732</v>
      </c>
      <c r="E45" s="55">
        <f>Reports!Q38</f>
        <v>30421.766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</row>
    <row r="46" spans="1:122" x14ac:dyDescent="0.15">
      <c r="A46" s="3" t="s">
        <v>76</v>
      </c>
      <c r="B46" s="6"/>
      <c r="C46" s="6"/>
      <c r="D46" s="55">
        <f>Reports!M39</f>
        <v>20336.735000000001</v>
      </c>
      <c r="E46" s="55">
        <f>Reports!Q39</f>
        <v>21569.050000000003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</row>
    <row r="47" spans="1:122" x14ac:dyDescent="0.15">
      <c r="B47" s="6"/>
      <c r="C47" s="6"/>
    </row>
    <row r="48" spans="1:122" x14ac:dyDescent="0.15">
      <c r="A48" s="3" t="s">
        <v>77</v>
      </c>
      <c r="B48" s="6"/>
      <c r="C48" s="6"/>
      <c r="D48" s="56">
        <f>D45-D44-D41</f>
        <v>18796.777999999998</v>
      </c>
      <c r="E48" s="56">
        <f>E45-E44-E41</f>
        <v>20663.263999999999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78</v>
      </c>
      <c r="B49" s="6"/>
      <c r="C49" s="6"/>
      <c r="D49" s="56">
        <f>D45-D46</f>
        <v>7951.9969999999994</v>
      </c>
      <c r="E49" s="56">
        <f>E45-E46</f>
        <v>8852.7159999999967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1:122" x14ac:dyDescent="0.15">
      <c r="B50" s="6"/>
      <c r="C50" s="6"/>
    </row>
    <row r="51" spans="1:122" x14ac:dyDescent="0.15">
      <c r="A51" s="26" t="s">
        <v>80</v>
      </c>
      <c r="B51" s="6"/>
      <c r="C51" s="6"/>
      <c r="D51" s="27">
        <f>D27/D49</f>
        <v>-1.0764591586181445E-4</v>
      </c>
      <c r="E51" s="27">
        <f>E27/E49</f>
        <v>-4.506503992672977E-2</v>
      </c>
    </row>
    <row r="52" spans="1:122" x14ac:dyDescent="0.15">
      <c r="A52" s="26" t="s">
        <v>81</v>
      </c>
      <c r="B52" s="6"/>
      <c r="C52" s="6"/>
      <c r="D52" s="27">
        <f>D27/D45</f>
        <v>-3.0259397982044614E-5</v>
      </c>
      <c r="E52" s="27">
        <f>E27/E45</f>
        <v>-1.3113900093768366E-2</v>
      </c>
    </row>
    <row r="53" spans="1:122" x14ac:dyDescent="0.15">
      <c r="A53" s="26" t="s">
        <v>82</v>
      </c>
      <c r="B53" s="6"/>
      <c r="C53" s="6"/>
      <c r="D53" s="27">
        <f>D27/(D49-D44)</f>
        <v>-1.4505595584256092E-4</v>
      </c>
      <c r="E53" s="27">
        <f>E27/(E49-E44)</f>
        <v>-5.57383627159828E-2</v>
      </c>
    </row>
    <row r="54" spans="1:122" x14ac:dyDescent="0.15">
      <c r="A54" s="26" t="s">
        <v>83</v>
      </c>
      <c r="B54" s="6"/>
      <c r="C54" s="6"/>
      <c r="D54" s="27">
        <f>D27/D48</f>
        <v>-4.5539719626172155E-5</v>
      </c>
      <c r="E54" s="27">
        <f>E27/E48</f>
        <v>-1.9307114306820031E-2</v>
      </c>
    </row>
    <row r="55" spans="1:122" x14ac:dyDescent="0.15">
      <c r="B55" s="6"/>
    </row>
    <row r="56" spans="1:122" x14ac:dyDescent="0.15">
      <c r="A56" s="6" t="s">
        <v>93</v>
      </c>
      <c r="B56" s="6"/>
      <c r="C56" s="27">
        <f>C10/B10-1</f>
        <v>0.33726634259407673</v>
      </c>
      <c r="D56" s="27">
        <f t="shared" ref="D56:E56" si="57">D10/C10-1</f>
        <v>0.39753489546009724</v>
      </c>
      <c r="E56" s="27">
        <f t="shared" si="57"/>
        <v>0.25858421279482413</v>
      </c>
      <c r="F56" s="27"/>
      <c r="G56" s="27"/>
      <c r="H56" s="27"/>
      <c r="I56" s="27"/>
      <c r="J56" s="27"/>
    </row>
    <row r="57" spans="1:122" x14ac:dyDescent="0.15">
      <c r="A57" s="6" t="s">
        <v>94</v>
      </c>
      <c r="B57" s="6"/>
      <c r="C57" s="27">
        <f>C11/B11-1</f>
        <v>0.56447518062929403</v>
      </c>
      <c r="D57" s="27">
        <f>D11/C11-1</f>
        <v>0.41086833717443283</v>
      </c>
      <c r="E57" s="27">
        <f>E11/D11-1</f>
        <v>0.45242531946719344</v>
      </c>
      <c r="F57" s="27"/>
      <c r="G57" s="27"/>
      <c r="H57" s="27"/>
      <c r="I57" s="27"/>
      <c r="J57" s="27"/>
    </row>
    <row r="58" spans="1:122" x14ac:dyDescent="0.15">
      <c r="B58" s="6"/>
      <c r="C58" s="27"/>
      <c r="D58" s="27"/>
    </row>
    <row r="59" spans="1:122" x14ac:dyDescent="0.15">
      <c r="A59" s="8" t="s">
        <v>95</v>
      </c>
      <c r="B59" s="6"/>
      <c r="C59" s="27">
        <f>C13/B13-1</f>
        <v>0.46193548387096772</v>
      </c>
      <c r="D59" s="27">
        <f t="shared" ref="D59:J59" si="58">D13/C13-1</f>
        <v>0.29082082965578104</v>
      </c>
      <c r="E59" s="27">
        <f>E13/D13-1</f>
        <v>4.3760683760683872E-2</v>
      </c>
      <c r="F59" s="27">
        <f t="shared" si="58"/>
        <v>2.0000000000000018E-2</v>
      </c>
      <c r="G59" s="27">
        <f t="shared" si="58"/>
        <v>2.0000000000000018E-2</v>
      </c>
      <c r="H59" s="27">
        <f t="shared" si="58"/>
        <v>2.0000000000000018E-2</v>
      </c>
      <c r="I59" s="27">
        <f t="shared" si="58"/>
        <v>2.0000000000000018E-2</v>
      </c>
      <c r="J59" s="27">
        <f t="shared" si="58"/>
        <v>2.0000000000000018E-2</v>
      </c>
    </row>
    <row r="60" spans="1:122" x14ac:dyDescent="0.15">
      <c r="A60" s="4" t="s">
        <v>87</v>
      </c>
      <c r="B60" s="6"/>
      <c r="C60" s="27">
        <f t="shared" ref="C60:J60" si="59">C14/B14-1</f>
        <v>-7.3673144768720333E-2</v>
      </c>
      <c r="D60" s="27">
        <f t="shared" si="59"/>
        <v>8.3562419782017949E-2</v>
      </c>
      <c r="E60" s="27">
        <f t="shared" si="59"/>
        <v>0.22197473019236602</v>
      </c>
      <c r="F60" s="27">
        <f t="shared" si="59"/>
        <v>0.19999999999999996</v>
      </c>
      <c r="G60" s="27">
        <f t="shared" si="59"/>
        <v>0.19999999999999996</v>
      </c>
      <c r="H60" s="27">
        <f t="shared" si="59"/>
        <v>0.19999999999999996</v>
      </c>
      <c r="I60" s="27">
        <f t="shared" si="59"/>
        <v>0.19999999999999996</v>
      </c>
      <c r="J60" s="27">
        <f t="shared" si="59"/>
        <v>0.19999999999999996</v>
      </c>
    </row>
  </sheetData>
  <hyperlinks>
    <hyperlink ref="A1" r:id="rId1"/>
    <hyperlink ref="A4" r:id="rId2" display="Liu Qiangdong"/>
    <hyperlink ref="A7" r:id="rId3" display="Liu Qiangdong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pane xSplit="1" ySplit="2" topLeftCell="J30" activePane="bottomRight" state="frozen"/>
      <selection pane="topRight" activeCell="B1" sqref="B1"/>
      <selection pane="bottomLeft" activeCell="A3" sqref="A3"/>
      <selection pane="bottomRight" activeCell="S22" sqref="S22"/>
    </sheetView>
  </sheetViews>
  <sheetFormatPr baseColWidth="10" defaultRowHeight="13" x14ac:dyDescent="0.15"/>
  <cols>
    <col min="1" max="1" width="16.33203125" style="6" bestFit="1" customWidth="1"/>
    <col min="2" max="5" width="10.83203125" style="28" customWidth="1"/>
    <col min="6" max="6" width="10.83203125" style="29" customWidth="1"/>
    <col min="7" max="8" width="10.83203125" style="28" customWidth="1"/>
    <col min="9" max="9" width="10.83203125" style="28"/>
    <col min="10" max="10" width="10.83203125" style="29"/>
    <col min="11" max="13" width="10.83203125" style="28"/>
    <col min="14" max="14" width="10.83203125" style="29"/>
    <col min="15" max="16" width="10.83203125" style="28"/>
    <col min="17" max="17" width="10.83203125" style="52"/>
    <col min="18" max="18" width="10.83203125" style="29"/>
    <col min="19" max="21" width="10.83203125" style="28"/>
    <col min="22" max="16384" width="10.83203125" style="6"/>
  </cols>
  <sheetData>
    <row r="1" spans="1:21" x14ac:dyDescent="0.15">
      <c r="A1" s="1" t="s">
        <v>61</v>
      </c>
      <c r="B1" s="28" t="s">
        <v>50</v>
      </c>
      <c r="C1" s="28" t="s">
        <v>51</v>
      </c>
      <c r="D1" s="28" t="s">
        <v>52</v>
      </c>
      <c r="E1" s="28" t="s">
        <v>53</v>
      </c>
      <c r="F1" s="29" t="s">
        <v>22</v>
      </c>
      <c r="G1" s="28" t="s">
        <v>23</v>
      </c>
      <c r="H1" s="28" t="s">
        <v>24</v>
      </c>
      <c r="I1" s="28" t="s">
        <v>25</v>
      </c>
      <c r="J1" s="30" t="s">
        <v>0</v>
      </c>
      <c r="K1" s="31" t="s">
        <v>1</v>
      </c>
      <c r="L1" s="31" t="s">
        <v>2</v>
      </c>
      <c r="M1" s="31" t="s">
        <v>3</v>
      </c>
      <c r="N1" s="30" t="s">
        <v>42</v>
      </c>
      <c r="O1" s="31" t="s">
        <v>43</v>
      </c>
      <c r="P1" s="31" t="s">
        <v>44</v>
      </c>
      <c r="Q1" s="39" t="s">
        <v>45</v>
      </c>
      <c r="R1" s="30" t="s">
        <v>70</v>
      </c>
      <c r="S1" s="31" t="s">
        <v>71</v>
      </c>
      <c r="T1" s="31" t="s">
        <v>72</v>
      </c>
      <c r="U1" s="31" t="s">
        <v>73</v>
      </c>
    </row>
    <row r="2" spans="1:21" s="28" customFormat="1" x14ac:dyDescent="0.15">
      <c r="A2" s="1"/>
      <c r="B2" s="28" t="s">
        <v>54</v>
      </c>
      <c r="C2" s="28" t="s">
        <v>55</v>
      </c>
      <c r="D2" s="28" t="s">
        <v>56</v>
      </c>
      <c r="E2" s="28" t="s">
        <v>57</v>
      </c>
      <c r="F2" s="29" t="s">
        <v>29</v>
      </c>
      <c r="G2" s="28" t="s">
        <v>28</v>
      </c>
      <c r="H2" s="28" t="s">
        <v>27</v>
      </c>
      <c r="I2" s="28" t="s">
        <v>32</v>
      </c>
      <c r="J2" s="29" t="s">
        <v>31</v>
      </c>
      <c r="K2" s="28" t="s">
        <v>30</v>
      </c>
      <c r="L2" s="28" t="s">
        <v>26</v>
      </c>
      <c r="M2" s="28" t="s">
        <v>36</v>
      </c>
      <c r="N2" s="29" t="s">
        <v>46</v>
      </c>
      <c r="O2" s="28" t="s">
        <v>47</v>
      </c>
      <c r="P2" s="28" t="s">
        <v>48</v>
      </c>
      <c r="Q2" s="52" t="s">
        <v>49</v>
      </c>
      <c r="R2" s="29"/>
    </row>
    <row r="3" spans="1:21" x14ac:dyDescent="0.15">
      <c r="A3" s="6" t="s">
        <v>92</v>
      </c>
      <c r="B3" s="31">
        <v>5573.24</v>
      </c>
      <c r="C3" s="31">
        <v>6873.6210000000001</v>
      </c>
      <c r="D3" s="31">
        <v>6394.5770000000002</v>
      </c>
      <c r="E3" s="31">
        <v>7705.4949999999999</v>
      </c>
      <c r="F3" s="30">
        <v>7750.5590000000002</v>
      </c>
      <c r="G3" s="31">
        <v>8983.8389999999999</v>
      </c>
      <c r="H3" s="31">
        <v>8273.6659999999993</v>
      </c>
      <c r="I3" s="31">
        <v>10492.255999999999</v>
      </c>
      <c r="J3" s="30">
        <v>10133.236000000001</v>
      </c>
      <c r="K3" s="31">
        <v>12595.108</v>
      </c>
      <c r="L3" s="31">
        <v>11492.328</v>
      </c>
      <c r="M3" s="31">
        <v>15392.263999999999</v>
      </c>
      <c r="N3" s="30">
        <v>14586.945</v>
      </c>
      <c r="O3" s="31">
        <v>16697.463</v>
      </c>
      <c r="P3" s="31">
        <v>13670.691999999999</v>
      </c>
      <c r="Q3" s="39">
        <v>17486.957999999999</v>
      </c>
    </row>
    <row r="4" spans="1:21" x14ac:dyDescent="0.15">
      <c r="A4" s="6" t="s">
        <v>89</v>
      </c>
      <c r="B4" s="31">
        <v>337.483</v>
      </c>
      <c r="C4" s="31">
        <v>534.23199999999997</v>
      </c>
      <c r="D4" s="31">
        <v>545.78300000000002</v>
      </c>
      <c r="E4" s="31">
        <v>724.45799999999997</v>
      </c>
      <c r="F4" s="30">
        <v>619.42600000000004</v>
      </c>
      <c r="G4" s="31">
        <v>832.25099999999998</v>
      </c>
      <c r="H4" s="31">
        <v>832.697</v>
      </c>
      <c r="I4" s="31">
        <v>1066.663</v>
      </c>
      <c r="J4" s="30">
        <v>940.92399999999998</v>
      </c>
      <c r="K4" s="31">
        <v>1152.9159999999999</v>
      </c>
      <c r="L4" s="31">
        <v>1094.193</v>
      </c>
      <c r="M4" s="31">
        <v>1539.8389999999999</v>
      </c>
      <c r="N4" s="30">
        <v>1375.797</v>
      </c>
      <c r="O4" s="31">
        <v>1783.598</v>
      </c>
      <c r="P4" s="31">
        <v>1583.8620000000001</v>
      </c>
      <c r="Q4" s="39">
        <v>2123.6239999999998</v>
      </c>
    </row>
    <row r="5" spans="1:21" x14ac:dyDescent="0.15">
      <c r="B5" s="31"/>
      <c r="C5" s="31"/>
      <c r="D5" s="31"/>
      <c r="E5" s="31"/>
      <c r="F5" s="30"/>
      <c r="G5" s="31"/>
      <c r="H5" s="31"/>
      <c r="I5" s="31"/>
      <c r="J5" s="30"/>
      <c r="K5" s="31"/>
      <c r="L5" s="31"/>
      <c r="M5" s="31"/>
      <c r="N5" s="30"/>
      <c r="O5" s="31"/>
      <c r="P5" s="31"/>
      <c r="Q5" s="39"/>
    </row>
    <row r="6" spans="1:21" s="8" customFormat="1" x14ac:dyDescent="0.15">
      <c r="A6" s="8" t="s">
        <v>91</v>
      </c>
      <c r="B6" s="31">
        <v>97.8</v>
      </c>
      <c r="C6" s="31">
        <v>114</v>
      </c>
      <c r="D6" s="31">
        <v>126.9</v>
      </c>
      <c r="E6" s="31">
        <v>155</v>
      </c>
      <c r="F6" s="30">
        <v>169.1</v>
      </c>
      <c r="G6" s="31">
        <v>188.1</v>
      </c>
      <c r="H6" s="31">
        <v>198.7</v>
      </c>
      <c r="I6" s="31">
        <v>226.6</v>
      </c>
      <c r="J6" s="30">
        <v>236.5</v>
      </c>
      <c r="K6" s="31">
        <v>258.3</v>
      </c>
      <c r="L6" s="31">
        <v>266.3</v>
      </c>
      <c r="M6" s="31">
        <v>292.5</v>
      </c>
      <c r="N6" s="30">
        <v>301.8</v>
      </c>
      <c r="O6" s="31">
        <v>313.8</v>
      </c>
      <c r="P6" s="31">
        <v>305.2</v>
      </c>
      <c r="Q6" s="39">
        <v>305.3</v>
      </c>
      <c r="R6" s="30"/>
      <c r="S6" s="31"/>
      <c r="T6" s="31"/>
      <c r="U6" s="31"/>
    </row>
    <row r="7" spans="1:21" s="4" customFormat="1" x14ac:dyDescent="0.15">
      <c r="A7" s="4" t="s">
        <v>86</v>
      </c>
      <c r="B7" s="70">
        <f t="shared" ref="B7:P7" si="0">SUM(B3:B4)/B6</f>
        <v>60.43684049079755</v>
      </c>
      <c r="C7" s="70">
        <f t="shared" si="0"/>
        <v>64.981166666666667</v>
      </c>
      <c r="D7" s="70">
        <f t="shared" si="0"/>
        <v>54.691568163908592</v>
      </c>
      <c r="E7" s="70">
        <f t="shared" si="0"/>
        <v>54.386793548387097</v>
      </c>
      <c r="F7" s="71">
        <f t="shared" si="0"/>
        <v>49.49725014784152</v>
      </c>
      <c r="G7" s="70">
        <f t="shared" si="0"/>
        <v>52.18548644338118</v>
      </c>
      <c r="H7" s="70">
        <f t="shared" si="0"/>
        <v>45.82970810266734</v>
      </c>
      <c r="I7" s="70">
        <f t="shared" si="0"/>
        <v>51.010233892321274</v>
      </c>
      <c r="J7" s="71">
        <f t="shared" si="0"/>
        <v>46.825200845665961</v>
      </c>
      <c r="K7" s="70">
        <f>SUM(K3:K4)/K6</f>
        <v>53.225025164537357</v>
      </c>
      <c r="L7" s="70">
        <f t="shared" si="0"/>
        <v>47.264442358242576</v>
      </c>
      <c r="M7" s="70">
        <f t="shared" si="0"/>
        <v>57.887531623931622</v>
      </c>
      <c r="N7" s="71">
        <f t="shared" si="0"/>
        <v>52.891789264413518</v>
      </c>
      <c r="O7" s="70">
        <f t="shared" si="0"/>
        <v>58.894394518801789</v>
      </c>
      <c r="P7" s="70">
        <f t="shared" si="0"/>
        <v>49.982155963302752</v>
      </c>
      <c r="Q7" s="70">
        <f>SUM(Q3:Q4)/Q6</f>
        <v>64.233809367834908</v>
      </c>
      <c r="R7" s="62"/>
      <c r="S7" s="61"/>
      <c r="T7" s="61"/>
      <c r="U7" s="61"/>
    </row>
    <row r="8" spans="1:21" x14ac:dyDescent="0.15">
      <c r="B8" s="31"/>
      <c r="F8" s="30"/>
      <c r="I8" s="31"/>
      <c r="Q8" s="68" t="s">
        <v>96</v>
      </c>
    </row>
    <row r="9" spans="1:21" s="12" customFormat="1" x14ac:dyDescent="0.15">
      <c r="A9" s="12" t="s">
        <v>4</v>
      </c>
      <c r="B9" s="33">
        <f>SUM(B3:B4)</f>
        <v>5910.723</v>
      </c>
      <c r="C9" s="33">
        <f>SUM(C3:C4)</f>
        <v>7407.8530000000001</v>
      </c>
      <c r="D9" s="33">
        <f>SUM(D3:D4)</f>
        <v>6940.3600000000006</v>
      </c>
      <c r="E9" s="33">
        <f>SUM(E3:E4)</f>
        <v>8429.9529999999995</v>
      </c>
      <c r="F9" s="34">
        <f>SUM(F3:F4)</f>
        <v>8369.9850000000006</v>
      </c>
      <c r="G9" s="33">
        <f t="shared" ref="G9:O9" si="1">G6*G7</f>
        <v>9816.09</v>
      </c>
      <c r="H9" s="33">
        <f t="shared" si="1"/>
        <v>9106.3629999999994</v>
      </c>
      <c r="I9" s="33">
        <f t="shared" si="1"/>
        <v>11558.919</v>
      </c>
      <c r="J9" s="34">
        <f t="shared" si="1"/>
        <v>11074.16</v>
      </c>
      <c r="K9" s="33">
        <f t="shared" si="1"/>
        <v>13748.023999999999</v>
      </c>
      <c r="L9" s="33">
        <f t="shared" si="1"/>
        <v>12586.520999999999</v>
      </c>
      <c r="M9" s="33">
        <f t="shared" si="1"/>
        <v>16932.102999999999</v>
      </c>
      <c r="N9" s="34">
        <f t="shared" si="1"/>
        <v>15962.742</v>
      </c>
      <c r="O9" s="33">
        <f t="shared" si="1"/>
        <v>18481.061000000002</v>
      </c>
      <c r="P9" s="33">
        <f>P6*P7</f>
        <v>15254.554</v>
      </c>
      <c r="Q9" s="33">
        <f>Q6*Q7</f>
        <v>19610.581999999999</v>
      </c>
      <c r="R9" s="57"/>
      <c r="S9" s="36"/>
      <c r="T9" s="36"/>
      <c r="U9" s="36"/>
    </row>
    <row r="10" spans="1:21" x14ac:dyDescent="0.15">
      <c r="A10" s="6" t="s">
        <v>5</v>
      </c>
      <c r="B10" s="31">
        <f>5190.351+431.949</f>
        <v>5622.2999999999993</v>
      </c>
      <c r="C10" s="31">
        <f>6454.707+524.518</f>
        <v>6979.2250000000004</v>
      </c>
      <c r="D10" s="31">
        <f>5981.444+544.263</f>
        <v>6525.7070000000003</v>
      </c>
      <c r="E10" s="31">
        <f>7224.443+699.653</f>
        <v>7924.0960000000005</v>
      </c>
      <c r="F10" s="30">
        <f>7167.007+698.531</f>
        <v>7865.5379999999996</v>
      </c>
      <c r="G10" s="31">
        <f>8346.008+769.284</f>
        <v>9115.2919999999995</v>
      </c>
      <c r="H10" s="31">
        <f>7659.588+768.23</f>
        <v>8427.8179999999993</v>
      </c>
      <c r="I10" s="31">
        <f>9785.564+894.549</f>
        <v>10680.113000000001</v>
      </c>
      <c r="J10" s="30">
        <f>9296.543+850.272</f>
        <v>10146.815000000001</v>
      </c>
      <c r="K10" s="31">
        <f>11882.371+941.197</f>
        <v>12823.567999999999</v>
      </c>
      <c r="L10" s="31">
        <f>10635.851+957.989</f>
        <v>11593.84</v>
      </c>
      <c r="M10" s="31">
        <f>14725.027+1223.445</f>
        <v>15948.472</v>
      </c>
      <c r="N10" s="30">
        <f>13705.576+1143.609</f>
        <v>14849.184999999999</v>
      </c>
      <c r="O10" s="31">
        <f>15985.413+1241.473</f>
        <v>17226.885999999999</v>
      </c>
      <c r="P10" s="31">
        <f>12908.963+1129.992</f>
        <v>14038.955</v>
      </c>
      <c r="Q10" s="39">
        <f>16822.151+1288.709</f>
        <v>18110.86</v>
      </c>
    </row>
    <row r="11" spans="1:21" x14ac:dyDescent="0.15">
      <c r="A11" s="6" t="s">
        <v>6</v>
      </c>
      <c r="B11" s="37">
        <f>B9-B10</f>
        <v>288.42300000000068</v>
      </c>
      <c r="C11" s="37">
        <f>C9-C10</f>
        <v>428.6279999999997</v>
      </c>
      <c r="D11" s="37">
        <f>D9-D10</f>
        <v>414.65300000000025</v>
      </c>
      <c r="E11" s="37">
        <f>E9-E10</f>
        <v>505.85699999999906</v>
      </c>
      <c r="F11" s="38">
        <f>F9-F10</f>
        <v>504.44700000000103</v>
      </c>
      <c r="G11" s="37">
        <f t="shared" ref="G11:L11" si="2">G9-G10</f>
        <v>700.79800000000068</v>
      </c>
      <c r="H11" s="37">
        <f t="shared" si="2"/>
        <v>678.54500000000007</v>
      </c>
      <c r="I11" s="37">
        <f t="shared" si="2"/>
        <v>878.80599999999868</v>
      </c>
      <c r="J11" s="38">
        <f t="shared" si="2"/>
        <v>927.34499999999935</v>
      </c>
      <c r="K11" s="37">
        <f t="shared" si="2"/>
        <v>924.45600000000013</v>
      </c>
      <c r="L11" s="37">
        <f t="shared" si="2"/>
        <v>992.68099999999868</v>
      </c>
      <c r="M11" s="37">
        <f t="shared" ref="M11" si="3">M9-M10</f>
        <v>983.6309999999994</v>
      </c>
      <c r="N11" s="38">
        <f>N9-N10</f>
        <v>1113.5570000000007</v>
      </c>
      <c r="O11" s="37">
        <f>O9-O10</f>
        <v>1254.1750000000029</v>
      </c>
      <c r="P11" s="37">
        <f t="shared" ref="P11:Q11" si="4">P9-P10</f>
        <v>1215.5990000000002</v>
      </c>
      <c r="Q11" s="37">
        <f t="shared" si="4"/>
        <v>1499.7219999999979</v>
      </c>
    </row>
    <row r="12" spans="1:21" x14ac:dyDescent="0.15">
      <c r="A12" s="6" t="s">
        <v>7</v>
      </c>
      <c r="B12" s="31">
        <v>113.629</v>
      </c>
      <c r="C12" s="31">
        <v>126.55200000000001</v>
      </c>
      <c r="D12" s="31">
        <v>139.20699999999999</v>
      </c>
      <c r="E12" s="31">
        <v>166.732</v>
      </c>
      <c r="F12" s="30">
        <v>172.351</v>
      </c>
      <c r="G12" s="31">
        <v>201.46299999999999</v>
      </c>
      <c r="H12" s="31">
        <v>219.33</v>
      </c>
      <c r="I12" s="31">
        <v>211.44800000000001</v>
      </c>
      <c r="J12" s="30">
        <v>226.167</v>
      </c>
      <c r="K12" s="31">
        <v>228.10499999999999</v>
      </c>
      <c r="L12" s="31">
        <v>263.93700000000001</v>
      </c>
      <c r="M12" s="31">
        <v>316.75</v>
      </c>
      <c r="N12" s="30">
        <v>384.69400000000002</v>
      </c>
      <c r="O12" s="31">
        <v>420.20699999999999</v>
      </c>
      <c r="P12" s="31">
        <v>502.14600000000002</v>
      </c>
      <c r="Q12" s="39">
        <v>509.35300000000001</v>
      </c>
    </row>
    <row r="13" spans="1:21" x14ac:dyDescent="0.15">
      <c r="A13" s="6" t="s">
        <v>8</v>
      </c>
      <c r="B13" s="31">
        <v>230.084</v>
      </c>
      <c r="C13" s="31">
        <v>319.66500000000002</v>
      </c>
      <c r="D13" s="31">
        <v>261.61500000000001</v>
      </c>
      <c r="E13" s="31">
        <v>411.44200000000001</v>
      </c>
      <c r="F13" s="30">
        <v>328.20600000000002</v>
      </c>
      <c r="G13" s="31">
        <v>390.94499999999999</v>
      </c>
      <c r="H13" s="31">
        <v>328.80599999999998</v>
      </c>
      <c r="I13" s="31">
        <v>528.00400000000002</v>
      </c>
      <c r="J13" s="30">
        <v>393.56700000000001</v>
      </c>
      <c r="K13" s="31">
        <v>601.11599999999999</v>
      </c>
      <c r="L13" s="31">
        <v>496.01100000000002</v>
      </c>
      <c r="M13" s="31">
        <v>729.03599999999994</v>
      </c>
      <c r="N13" s="30">
        <v>556.61400000000003</v>
      </c>
      <c r="O13" s="31">
        <v>795.08199999999999</v>
      </c>
      <c r="P13" s="31">
        <v>601.57799999999997</v>
      </c>
      <c r="Q13" s="39">
        <v>923.93899999999996</v>
      </c>
    </row>
    <row r="14" spans="1:21" x14ac:dyDescent="0.15">
      <c r="A14" s="6" t="s">
        <v>9</v>
      </c>
      <c r="B14" s="31">
        <v>77.411000000000001</v>
      </c>
      <c r="C14" s="31">
        <v>99.046999999999997</v>
      </c>
      <c r="D14" s="31">
        <v>118.816</v>
      </c>
      <c r="E14" s="31">
        <f>158.677+424.547</f>
        <v>583.22400000000005</v>
      </c>
      <c r="F14" s="30">
        <v>138.02000000000001</v>
      </c>
      <c r="G14" s="31">
        <v>162.28</v>
      </c>
      <c r="H14" s="31">
        <v>192.82</v>
      </c>
      <c r="I14" s="31">
        <v>202.95400000000001</v>
      </c>
      <c r="J14" s="30">
        <v>185.125</v>
      </c>
      <c r="K14" s="31">
        <v>154.679</v>
      </c>
      <c r="L14" s="31">
        <v>157.87899999999999</v>
      </c>
      <c r="M14" s="31">
        <v>183.17599999999999</v>
      </c>
      <c r="N14" s="30">
        <v>171.54300000000001</v>
      </c>
      <c r="O14" s="31">
        <v>195.13499999999999</v>
      </c>
      <c r="P14" s="31">
        <f>203.375+3.249</f>
        <v>206.624</v>
      </c>
      <c r="Q14" s="39">
        <v>202.98699999999999</v>
      </c>
    </row>
    <row r="15" spans="1:21" x14ac:dyDescent="0.15">
      <c r="A15" s="6" t="s">
        <v>10</v>
      </c>
      <c r="B15" s="37">
        <f>SUM(B12:B14)</f>
        <v>421.12400000000002</v>
      </c>
      <c r="C15" s="37">
        <f>SUM(C12:C14)</f>
        <v>545.26400000000001</v>
      </c>
      <c r="D15" s="37">
        <f>SUM(D12:D14)</f>
        <v>519.63800000000003</v>
      </c>
      <c r="E15" s="37">
        <f>SUM(E12:E14)</f>
        <v>1161.3980000000001</v>
      </c>
      <c r="F15" s="38">
        <f>SUM(F12:F14)</f>
        <v>638.577</v>
      </c>
      <c r="G15" s="37">
        <f t="shared" ref="G15:L15" si="5">SUM(G12:G14)</f>
        <v>754.68799999999999</v>
      </c>
      <c r="H15" s="37">
        <f t="shared" si="5"/>
        <v>740.9559999999999</v>
      </c>
      <c r="I15" s="37">
        <f t="shared" si="5"/>
        <v>942.40599999999995</v>
      </c>
      <c r="J15" s="38">
        <f t="shared" si="5"/>
        <v>804.85900000000004</v>
      </c>
      <c r="K15" s="37">
        <f t="shared" si="5"/>
        <v>983.9</v>
      </c>
      <c r="L15" s="37">
        <f t="shared" si="5"/>
        <v>917.82700000000011</v>
      </c>
      <c r="M15" s="37">
        <f t="shared" ref="M15:N15" si="6">SUM(M12:M14)</f>
        <v>1228.962</v>
      </c>
      <c r="N15" s="38">
        <f t="shared" si="6"/>
        <v>1112.8510000000001</v>
      </c>
      <c r="O15" s="37">
        <f t="shared" ref="O15:P15" si="7">SUM(O12:O14)</f>
        <v>1410.424</v>
      </c>
      <c r="P15" s="37">
        <f t="shared" si="7"/>
        <v>1310.348</v>
      </c>
      <c r="Q15" s="37">
        <f t="shared" ref="Q15" si="8">SUM(Q12:Q14)</f>
        <v>1636.279</v>
      </c>
    </row>
    <row r="16" spans="1:21" x14ac:dyDescent="0.15">
      <c r="A16" s="6" t="s">
        <v>11</v>
      </c>
      <c r="B16" s="37">
        <f>B11-B15</f>
        <v>-132.70099999999934</v>
      </c>
      <c r="C16" s="37">
        <f>C11-C15</f>
        <v>-116.63600000000031</v>
      </c>
      <c r="D16" s="37">
        <f>D11-D15</f>
        <v>-104.98499999999979</v>
      </c>
      <c r="E16" s="37">
        <f>E11-E15</f>
        <v>-655.54100000000108</v>
      </c>
      <c r="F16" s="38">
        <f>F11-F15</f>
        <v>-134.12999999999897</v>
      </c>
      <c r="G16" s="37">
        <f t="shared" ref="G16:H16" si="9">G11-G15</f>
        <v>-53.889999999999304</v>
      </c>
      <c r="H16" s="37">
        <f t="shared" si="9"/>
        <v>-62.410999999999831</v>
      </c>
      <c r="I16" s="37">
        <f t="shared" ref="I16:P16" si="10">I11-I15</f>
        <v>-63.600000000001273</v>
      </c>
      <c r="J16" s="38">
        <f t="shared" si="10"/>
        <v>122.48599999999931</v>
      </c>
      <c r="K16" s="37">
        <f t="shared" si="10"/>
        <v>-59.443999999999846</v>
      </c>
      <c r="L16" s="37">
        <f t="shared" si="10"/>
        <v>74.853999999998564</v>
      </c>
      <c r="M16" s="37">
        <f t="shared" si="10"/>
        <v>-245.33100000000059</v>
      </c>
      <c r="N16" s="38">
        <f t="shared" si="10"/>
        <v>0.70600000000058571</v>
      </c>
      <c r="O16" s="37">
        <f t="shared" si="10"/>
        <v>-156.24899999999707</v>
      </c>
      <c r="P16" s="37">
        <f t="shared" si="10"/>
        <v>-94.748999999999796</v>
      </c>
      <c r="Q16" s="37">
        <f t="shared" ref="Q16" si="11">Q11-Q15</f>
        <v>-136.55700000000206</v>
      </c>
    </row>
    <row r="17" spans="1:21" x14ac:dyDescent="0.15">
      <c r="A17" s="6" t="s">
        <v>12</v>
      </c>
      <c r="B17" s="31">
        <f>24.965-0.124-7.19</f>
        <v>17.651</v>
      </c>
      <c r="C17" s="31">
        <f>15.849-0.528+18.655</f>
        <v>33.975999999999999</v>
      </c>
      <c r="D17" s="31">
        <f>-10.782+11.023-2.75+23.332</f>
        <v>20.823</v>
      </c>
      <c r="E17" s="31">
        <f>-468.992+14.19-9.415-59.849</f>
        <v>-524.06600000000003</v>
      </c>
      <c r="F17" s="30">
        <f>-25.436+10.321-5.19+22.99</f>
        <v>2.6849999999999987</v>
      </c>
      <c r="G17" s="31">
        <f>-162.711+15.869-13.732+201.259</f>
        <v>40.684999999999974</v>
      </c>
      <c r="H17" s="31">
        <f>-70.421+20.907-10.757+1.921</f>
        <v>-58.350000000000009</v>
      </c>
      <c r="I17" s="31">
        <f>-205.893+24.512-9.102+30.311</f>
        <v>-160.172</v>
      </c>
      <c r="J17" s="30">
        <f>-75.645+15.734-9.627+12.18</f>
        <v>-57.357999999999997</v>
      </c>
      <c r="K17" s="31">
        <f>-54.969+66.119</f>
        <v>11.149999999999999</v>
      </c>
      <c r="L17" s="31">
        <f>-71.705+78.355+72.853</f>
        <v>79.503</v>
      </c>
      <c r="M17" s="31">
        <f>-85.602+124.777-43.416+103.368</f>
        <v>99.126999999999995</v>
      </c>
      <c r="N17" s="30">
        <f>-79.169+87.001-36.454+287.499</f>
        <v>258.87700000000001</v>
      </c>
      <c r="O17" s="31">
        <f>-39.33+91.584-36.254-179.203</f>
        <v>-163.203</v>
      </c>
      <c r="P17" s="31">
        <f>-26.933+83.909-35.11+499.269</f>
        <v>521.13499999999999</v>
      </c>
      <c r="Q17" s="39">
        <f>-24.912+56.707-21.067-574.703</f>
        <v>-563.97500000000002</v>
      </c>
    </row>
    <row r="18" spans="1:21" x14ac:dyDescent="0.15">
      <c r="A18" s="6" t="s">
        <v>13</v>
      </c>
      <c r="B18" s="37">
        <f>B16+B17</f>
        <v>-115.04999999999934</v>
      </c>
      <c r="C18" s="37">
        <f>C16+C17</f>
        <v>-82.660000000000309</v>
      </c>
      <c r="D18" s="37">
        <f>D16+D17</f>
        <v>-84.161999999999779</v>
      </c>
      <c r="E18" s="37">
        <f>E16+E17</f>
        <v>-1179.6070000000011</v>
      </c>
      <c r="F18" s="38">
        <f>F16+F17</f>
        <v>-131.44499999999897</v>
      </c>
      <c r="G18" s="37">
        <f t="shared" ref="G18:I18" si="12">G16+G17</f>
        <v>-13.20499999999933</v>
      </c>
      <c r="H18" s="37">
        <f t="shared" si="12"/>
        <v>-120.76099999999984</v>
      </c>
      <c r="I18" s="37">
        <f t="shared" si="12"/>
        <v>-223.77200000000127</v>
      </c>
      <c r="J18" s="38">
        <f t="shared" ref="J18:K18" si="13">J16+J17</f>
        <v>65.127999999999304</v>
      </c>
      <c r="K18" s="37">
        <f t="shared" si="13"/>
        <v>-48.293999999999848</v>
      </c>
      <c r="L18" s="37">
        <f t="shared" ref="L18:N18" si="14">L16+L17</f>
        <v>154.35699999999855</v>
      </c>
      <c r="M18" s="37">
        <f>M16+M17</f>
        <v>-146.20400000000058</v>
      </c>
      <c r="N18" s="38">
        <f t="shared" si="14"/>
        <v>259.5830000000006</v>
      </c>
      <c r="O18" s="37">
        <f t="shared" ref="O18" si="15">O16+O17</f>
        <v>-319.45199999999704</v>
      </c>
      <c r="P18" s="37">
        <f>P16+P17</f>
        <v>426.38600000000019</v>
      </c>
      <c r="Q18" s="37">
        <f>Q16+Q17</f>
        <v>-700.53200000000209</v>
      </c>
    </row>
    <row r="19" spans="1:21" x14ac:dyDescent="0.15">
      <c r="A19" s="6" t="s">
        <v>14</v>
      </c>
      <c r="B19" s="31">
        <v>-0.48</v>
      </c>
      <c r="C19" s="31">
        <v>0.33400000000000002</v>
      </c>
      <c r="D19" s="31">
        <v>-3.0000000000000001E-3</v>
      </c>
      <c r="E19" s="31">
        <v>-1.42</v>
      </c>
      <c r="F19" s="30">
        <v>3.0550000000000002</v>
      </c>
      <c r="G19" s="31">
        <v>6.6689999999999996</v>
      </c>
      <c r="H19" s="31">
        <v>3.0230000000000001</v>
      </c>
      <c r="I19" s="31">
        <v>16.248999999999999</v>
      </c>
      <c r="J19" s="30">
        <v>13.452</v>
      </c>
      <c r="K19" s="31">
        <v>2.4</v>
      </c>
      <c r="L19" s="31">
        <v>7.9930000000000003</v>
      </c>
      <c r="M19" s="31">
        <v>1.998</v>
      </c>
      <c r="N19" s="30">
        <v>24.076000000000001</v>
      </c>
      <c r="O19" s="31">
        <v>24.684000000000001</v>
      </c>
      <c r="P19" s="31">
        <v>7.5060000000000002</v>
      </c>
      <c r="Q19" s="39">
        <v>8.6669999999999998</v>
      </c>
    </row>
    <row r="20" spans="1:21" s="12" customFormat="1" x14ac:dyDescent="0.15">
      <c r="A20" s="12" t="s">
        <v>15</v>
      </c>
      <c r="B20" s="33">
        <f t="shared" ref="B20:Q20" si="16">B18-B19</f>
        <v>-114.56999999999934</v>
      </c>
      <c r="C20" s="33">
        <f t="shared" si="16"/>
        <v>-82.994000000000312</v>
      </c>
      <c r="D20" s="33">
        <f t="shared" si="16"/>
        <v>-84.158999999999779</v>
      </c>
      <c r="E20" s="33">
        <f t="shared" si="16"/>
        <v>-1178.187000000001</v>
      </c>
      <c r="F20" s="34">
        <f t="shared" si="16"/>
        <v>-134.49999999999898</v>
      </c>
      <c r="G20" s="33">
        <f t="shared" si="16"/>
        <v>-19.873999999999331</v>
      </c>
      <c r="H20" s="33">
        <f t="shared" si="16"/>
        <v>-123.78399999999984</v>
      </c>
      <c r="I20" s="33">
        <f t="shared" si="16"/>
        <v>-240.02100000000127</v>
      </c>
      <c r="J20" s="34">
        <f t="shared" si="16"/>
        <v>51.675999999999306</v>
      </c>
      <c r="K20" s="33">
        <f t="shared" si="16"/>
        <v>-50.693999999999846</v>
      </c>
      <c r="L20" s="33">
        <f t="shared" si="16"/>
        <v>146.36399999999855</v>
      </c>
      <c r="M20" s="33">
        <f t="shared" si="16"/>
        <v>-148.20200000000057</v>
      </c>
      <c r="N20" s="34">
        <f t="shared" si="16"/>
        <v>235.5070000000006</v>
      </c>
      <c r="O20" s="33">
        <f t="shared" si="16"/>
        <v>-344.13599999999707</v>
      </c>
      <c r="P20" s="33">
        <f t="shared" si="16"/>
        <v>418.88000000000022</v>
      </c>
      <c r="Q20" s="33">
        <f t="shared" si="16"/>
        <v>-709.19900000000212</v>
      </c>
      <c r="R20" s="35"/>
      <c r="S20" s="36"/>
      <c r="T20" s="36"/>
      <c r="U20" s="36"/>
    </row>
    <row r="21" spans="1:21" x14ac:dyDescent="0.15">
      <c r="A21" s="6" t="s">
        <v>16</v>
      </c>
      <c r="B21" s="40">
        <f>IFERROR(B20/B22,0)</f>
        <v>-4.192558346162506E-2</v>
      </c>
      <c r="C21" s="40">
        <f>IFERROR(C20/C22,0)</f>
        <v>-3.034309184092062E-2</v>
      </c>
      <c r="D21" s="40">
        <f>IFERROR(D20/D22,0)</f>
        <v>-3.076282552014312E-2</v>
      </c>
      <c r="E21" s="40">
        <f>IFERROR(E20/E22,0)</f>
        <v>-0.43054286199783343</v>
      </c>
      <c r="F21" s="41">
        <f t="shared" ref="F21:H21" si="17">IFERROR(F20/F22,0)</f>
        <v>-4.9042933533151013E-2</v>
      </c>
      <c r="G21" s="40">
        <f t="shared" si="17"/>
        <v>-7.1926381318392152E-3</v>
      </c>
      <c r="H21" s="40">
        <f t="shared" si="17"/>
        <v>-4.2992482983994461E-2</v>
      </c>
      <c r="I21" s="40">
        <f t="shared" ref="I21:L21" si="18">IFERROR(I20/I22,0)</f>
        <v>-8.4685208517316882E-2</v>
      </c>
      <c r="J21" s="41">
        <f t="shared" si="18"/>
        <v>1.7896053559332124E-2</v>
      </c>
      <c r="K21" s="40">
        <f t="shared" si="18"/>
        <v>-1.7816287068062001E-2</v>
      </c>
      <c r="L21" s="40">
        <f t="shared" si="18"/>
        <v>5.0040189009715637E-2</v>
      </c>
      <c r="M21" s="40">
        <f t="shared" ref="M21" si="19">IFERROR(M20/M22,0)</f>
        <v>-5.0680605354904977E-2</v>
      </c>
      <c r="N21" s="41">
        <f>IFERROR(N20/N22,0)</f>
        <v>8.0126824574762265E-2</v>
      </c>
      <c r="O21" s="40">
        <f>IFERROR(O20/O22,0)</f>
        <v>-0.11996001054115341</v>
      </c>
      <c r="P21" s="40">
        <f>IFERROR(P20/P22,0)</f>
        <v>0.14169331083631803</v>
      </c>
      <c r="Q21" s="40">
        <f>IFERROR(Q20/Q22,0)</f>
        <v>-0.24140298493237577</v>
      </c>
    </row>
    <row r="22" spans="1:21" s="8" customFormat="1" x14ac:dyDescent="0.15">
      <c r="A22" s="8" t="s">
        <v>17</v>
      </c>
      <c r="B22" s="31">
        <v>2732.6990000000001</v>
      </c>
      <c r="C22" s="31">
        <v>2735.1860000000001</v>
      </c>
      <c r="D22" s="31">
        <v>2735.7370000000001</v>
      </c>
      <c r="E22" s="31">
        <v>2736.5149999999999</v>
      </c>
      <c r="F22" s="30">
        <v>2742.4949999999999</v>
      </c>
      <c r="G22" s="31">
        <v>2763.1030000000001</v>
      </c>
      <c r="H22" s="31">
        <v>2879.201</v>
      </c>
      <c r="I22" s="31">
        <v>2834.2730000000001</v>
      </c>
      <c r="J22" s="30">
        <v>2887.5639999999999</v>
      </c>
      <c r="K22" s="31">
        <v>2845.3739999999998</v>
      </c>
      <c r="L22" s="31">
        <v>2924.9290000000001</v>
      </c>
      <c r="M22" s="31">
        <v>2924.2350000000001</v>
      </c>
      <c r="N22" s="30">
        <v>2939.1779999999999</v>
      </c>
      <c r="O22" s="31">
        <v>2868.7559999999999</v>
      </c>
      <c r="P22" s="31">
        <v>2956.2440000000001</v>
      </c>
      <c r="Q22" s="39">
        <v>2937.8220000000001</v>
      </c>
      <c r="R22" s="30"/>
      <c r="S22" s="31"/>
      <c r="T22" s="31"/>
      <c r="U22" s="31"/>
    </row>
    <row r="23" spans="1:21" x14ac:dyDescent="0.15">
      <c r="B23" s="31"/>
      <c r="C23" s="31"/>
      <c r="D23" s="31"/>
      <c r="E23" s="31"/>
      <c r="F23" s="30"/>
      <c r="G23" s="31"/>
      <c r="H23" s="31"/>
      <c r="I23" s="31"/>
      <c r="J23" s="30"/>
      <c r="K23" s="31"/>
      <c r="L23" s="31"/>
      <c r="M23" s="31"/>
      <c r="Q23" s="39"/>
    </row>
    <row r="24" spans="1:21" x14ac:dyDescent="0.15">
      <c r="A24" s="6" t="s">
        <v>19</v>
      </c>
      <c r="B24" s="46">
        <f t="shared" ref="B24:Q24" si="20">IFERROR(B11/B9,0)</f>
        <v>4.8796568541615078E-2</v>
      </c>
      <c r="C24" s="46">
        <f t="shared" si="20"/>
        <v>5.786129935353735E-2</v>
      </c>
      <c r="D24" s="46">
        <f t="shared" si="20"/>
        <v>5.9745171720198983E-2</v>
      </c>
      <c r="E24" s="46">
        <f t="shared" si="20"/>
        <v>6.0007096124972355E-2</v>
      </c>
      <c r="F24" s="47">
        <f t="shared" si="20"/>
        <v>6.0268566789546334E-2</v>
      </c>
      <c r="G24" s="46">
        <f t="shared" si="20"/>
        <v>7.1392784703481801E-2</v>
      </c>
      <c r="H24" s="46">
        <f t="shared" si="20"/>
        <v>7.451328263544954E-2</v>
      </c>
      <c r="I24" s="46">
        <f t="shared" si="20"/>
        <v>7.6028389852026701E-2</v>
      </c>
      <c r="J24" s="47">
        <f t="shared" si="20"/>
        <v>8.3739534194918558E-2</v>
      </c>
      <c r="K24" s="46">
        <f t="shared" si="20"/>
        <v>6.7242827041907996E-2</v>
      </c>
      <c r="L24" s="46">
        <f t="shared" si="20"/>
        <v>7.886857694830833E-2</v>
      </c>
      <c r="M24" s="46">
        <f t="shared" si="20"/>
        <v>5.8092665748607802E-2</v>
      </c>
      <c r="N24" s="47">
        <f t="shared" si="20"/>
        <v>6.9759756813710369E-2</v>
      </c>
      <c r="O24" s="46">
        <f t="shared" si="20"/>
        <v>6.7862716323483965E-2</v>
      </c>
      <c r="P24" s="46">
        <f t="shared" si="20"/>
        <v>7.9687613285842382E-2</v>
      </c>
      <c r="Q24" s="64">
        <f t="shared" si="20"/>
        <v>7.6475139799522418E-2</v>
      </c>
    </row>
    <row r="25" spans="1:21" x14ac:dyDescent="0.15">
      <c r="A25" s="6" t="s">
        <v>20</v>
      </c>
      <c r="B25" s="48">
        <f t="shared" ref="B25:Q25" si="21">IFERROR(B16/B9,0)</f>
        <v>-2.2450891371495391E-2</v>
      </c>
      <c r="C25" s="48">
        <f t="shared" si="21"/>
        <v>-1.5744912864766661E-2</v>
      </c>
      <c r="D25" s="48">
        <f t="shared" si="21"/>
        <v>-1.512673694159954E-2</v>
      </c>
      <c r="E25" s="48">
        <f t="shared" si="21"/>
        <v>-7.7763304255670365E-2</v>
      </c>
      <c r="F25" s="49">
        <f t="shared" si="21"/>
        <v>-1.6025118324584687E-2</v>
      </c>
      <c r="G25" s="48">
        <f t="shared" si="21"/>
        <v>-5.489965964044676E-3</v>
      </c>
      <c r="H25" s="48">
        <f t="shared" si="21"/>
        <v>-6.8535594287203174E-3</v>
      </c>
      <c r="I25" s="48">
        <f t="shared" si="21"/>
        <v>-5.5022446303154534E-3</v>
      </c>
      <c r="J25" s="49">
        <f t="shared" si="21"/>
        <v>1.1060522874872615E-2</v>
      </c>
      <c r="K25" s="48">
        <f t="shared" si="21"/>
        <v>-4.3238213724386756E-3</v>
      </c>
      <c r="L25" s="48">
        <f t="shared" si="21"/>
        <v>5.9471556913938788E-3</v>
      </c>
      <c r="M25" s="48">
        <f t="shared" si="21"/>
        <v>-1.4489103922885455E-2</v>
      </c>
      <c r="N25" s="49">
        <f t="shared" si="21"/>
        <v>4.4227990404191569E-5</v>
      </c>
      <c r="O25" s="48">
        <f t="shared" si="21"/>
        <v>-8.454547063071598E-3</v>
      </c>
      <c r="P25" s="48">
        <f t="shared" si="21"/>
        <v>-6.2111943751354381E-3</v>
      </c>
      <c r="Q25" s="65">
        <f t="shared" si="21"/>
        <v>-6.9634343335655243E-3</v>
      </c>
    </row>
    <row r="26" spans="1:21" x14ac:dyDescent="0.15">
      <c r="A26" s="6" t="s">
        <v>21</v>
      </c>
      <c r="B26" s="48">
        <f t="shared" ref="B26:Q26" si="22">IFERROR(B19/B18,0)</f>
        <v>4.1720990873533479E-3</v>
      </c>
      <c r="C26" s="48">
        <f t="shared" si="22"/>
        <v>-4.0406484393902585E-3</v>
      </c>
      <c r="D26" s="48">
        <f t="shared" si="22"/>
        <v>3.5645540742853166E-5</v>
      </c>
      <c r="E26" s="48">
        <f t="shared" si="22"/>
        <v>1.2037907540392678E-3</v>
      </c>
      <c r="F26" s="49">
        <f t="shared" si="22"/>
        <v>-2.3241660009890253E-2</v>
      </c>
      <c r="G26" s="48">
        <f t="shared" si="22"/>
        <v>-0.50503597122304711</v>
      </c>
      <c r="H26" s="48">
        <f t="shared" si="22"/>
        <v>-2.5032916256076086E-2</v>
      </c>
      <c r="I26" s="48">
        <f t="shared" si="22"/>
        <v>-7.2614089340935897E-2</v>
      </c>
      <c r="J26" s="49">
        <f t="shared" si="22"/>
        <v>0.20654710723498562</v>
      </c>
      <c r="K26" s="48">
        <f t="shared" si="22"/>
        <v>-4.9695614362032708E-2</v>
      </c>
      <c r="L26" s="48">
        <f t="shared" si="22"/>
        <v>5.1782556022727022E-2</v>
      </c>
      <c r="M26" s="48">
        <f t="shared" si="22"/>
        <v>-1.3665836776011546E-2</v>
      </c>
      <c r="N26" s="49">
        <f t="shared" si="22"/>
        <v>9.2748754733553221E-2</v>
      </c>
      <c r="O26" s="48">
        <f t="shared" si="22"/>
        <v>-7.72698245745847E-2</v>
      </c>
      <c r="P26" s="48">
        <f t="shared" si="22"/>
        <v>1.7603767478294306E-2</v>
      </c>
      <c r="Q26" s="65">
        <f t="shared" si="22"/>
        <v>-1.237202583179637E-2</v>
      </c>
    </row>
    <row r="27" spans="1:21" x14ac:dyDescent="0.15">
      <c r="B27" s="31"/>
      <c r="C27" s="31"/>
      <c r="D27" s="31"/>
      <c r="E27" s="31"/>
      <c r="F27" s="30"/>
      <c r="G27" s="31"/>
      <c r="H27" s="31"/>
      <c r="I27" s="31"/>
      <c r="J27" s="30"/>
      <c r="K27" s="31"/>
      <c r="L27" s="31"/>
      <c r="M27" s="31"/>
      <c r="Q27" s="69" t="s">
        <v>97</v>
      </c>
    </row>
    <row r="28" spans="1:21" s="12" customFormat="1" x14ac:dyDescent="0.15">
      <c r="A28" s="12" t="s">
        <v>18</v>
      </c>
      <c r="B28" s="42"/>
      <c r="C28" s="42"/>
      <c r="D28" s="42"/>
      <c r="E28" s="42"/>
      <c r="F28" s="43">
        <f t="shared" ref="F28:P28" si="23">IFERROR((F9/B9)-1,0)</f>
        <v>0.41606788205097756</v>
      </c>
      <c r="G28" s="42">
        <f t="shared" si="23"/>
        <v>0.32509243906432816</v>
      </c>
      <c r="H28" s="42">
        <f t="shared" si="23"/>
        <v>0.31208798967200524</v>
      </c>
      <c r="I28" s="42">
        <f t="shared" si="23"/>
        <v>0.37117241341677709</v>
      </c>
      <c r="J28" s="43">
        <f t="shared" si="23"/>
        <v>0.32308002941462854</v>
      </c>
      <c r="K28" s="42">
        <f t="shared" si="23"/>
        <v>0.40056010081407156</v>
      </c>
      <c r="L28" s="42">
        <f t="shared" si="23"/>
        <v>0.38216772162497792</v>
      </c>
      <c r="M28" s="42">
        <f t="shared" si="23"/>
        <v>0.46485177376881004</v>
      </c>
      <c r="N28" s="43">
        <f t="shared" si="23"/>
        <v>0.44144043430833579</v>
      </c>
      <c r="O28" s="42">
        <f t="shared" si="23"/>
        <v>0.34427034750593988</v>
      </c>
      <c r="P28" s="42">
        <f t="shared" si="23"/>
        <v>0.2119754140163117</v>
      </c>
      <c r="Q28" s="66">
        <f>IFERROR((Q9/M9)-1,0)</f>
        <v>0.15818938734308419</v>
      </c>
      <c r="R28" s="35"/>
      <c r="S28" s="36"/>
      <c r="T28" s="36"/>
      <c r="U28" s="36"/>
    </row>
    <row r="29" spans="1:21" s="12" customFormat="1" x14ac:dyDescent="0.15">
      <c r="A29" s="6" t="s">
        <v>58</v>
      </c>
      <c r="B29" s="44"/>
      <c r="C29" s="44"/>
      <c r="D29" s="44"/>
      <c r="E29" s="44"/>
      <c r="F29" s="45">
        <f t="shared" ref="F29:Q31" si="24">F12/B12-1</f>
        <v>0.51678708780328964</v>
      </c>
      <c r="G29" s="44">
        <f t="shared" si="24"/>
        <v>0.59193849168721147</v>
      </c>
      <c r="H29" s="44">
        <f t="shared" si="24"/>
        <v>0.57556732060887761</v>
      </c>
      <c r="I29" s="44">
        <f t="shared" si="24"/>
        <v>0.26819086917928181</v>
      </c>
      <c r="J29" s="45">
        <f t="shared" si="24"/>
        <v>0.31224652018265053</v>
      </c>
      <c r="K29" s="44">
        <f t="shared" si="24"/>
        <v>0.13224264505144867</v>
      </c>
      <c r="L29" s="44">
        <f t="shared" si="24"/>
        <v>0.20337847079742843</v>
      </c>
      <c r="M29" s="44">
        <f t="shared" si="24"/>
        <v>0.49800423744845057</v>
      </c>
      <c r="N29" s="45">
        <f t="shared" si="24"/>
        <v>0.70092895957412016</v>
      </c>
      <c r="O29" s="44">
        <f t="shared" si="24"/>
        <v>0.84216479252975618</v>
      </c>
      <c r="P29" s="44">
        <f t="shared" si="24"/>
        <v>0.90252219279600809</v>
      </c>
      <c r="Q29" s="67">
        <f t="shared" si="24"/>
        <v>0.60805998421468033</v>
      </c>
      <c r="R29" s="35"/>
      <c r="S29" s="36"/>
      <c r="T29" s="36"/>
      <c r="U29" s="36"/>
    </row>
    <row r="30" spans="1:21" s="12" customFormat="1" x14ac:dyDescent="0.15">
      <c r="A30" s="6" t="s">
        <v>59</v>
      </c>
      <c r="B30" s="44"/>
      <c r="C30" s="44"/>
      <c r="D30" s="44"/>
      <c r="E30" s="44"/>
      <c r="F30" s="45">
        <f t="shared" si="24"/>
        <v>0.42646164009666032</v>
      </c>
      <c r="G30" s="44">
        <f t="shared" si="24"/>
        <v>0.22298343578433655</v>
      </c>
      <c r="H30" s="44">
        <f t="shared" si="24"/>
        <v>0.25683160369244873</v>
      </c>
      <c r="I30" s="44">
        <f t="shared" si="24"/>
        <v>0.28330117003125599</v>
      </c>
      <c r="J30" s="45">
        <f t="shared" si="24"/>
        <v>0.19914626789272583</v>
      </c>
      <c r="K30" s="44">
        <f t="shared" si="24"/>
        <v>0.53759736024248927</v>
      </c>
      <c r="L30" s="44">
        <f t="shared" si="24"/>
        <v>0.50852174230397273</v>
      </c>
      <c r="M30" s="44">
        <f t="shared" si="24"/>
        <v>0.38073953985197062</v>
      </c>
      <c r="N30" s="45">
        <f t="shared" si="24"/>
        <v>0.4142801606842037</v>
      </c>
      <c r="O30" s="44">
        <f t="shared" si="24"/>
        <v>0.32267648839824603</v>
      </c>
      <c r="P30" s="44">
        <f t="shared" si="24"/>
        <v>0.21283197348445881</v>
      </c>
      <c r="Q30" s="67">
        <f t="shared" si="24"/>
        <v>0.26734345080352684</v>
      </c>
      <c r="R30" s="35"/>
      <c r="S30" s="36"/>
      <c r="T30" s="36"/>
      <c r="U30" s="36"/>
    </row>
    <row r="31" spans="1:21" s="12" customFormat="1" x14ac:dyDescent="0.15">
      <c r="A31" s="6" t="s">
        <v>60</v>
      </c>
      <c r="B31" s="44"/>
      <c r="C31" s="44"/>
      <c r="D31" s="44"/>
      <c r="E31" s="44"/>
      <c r="F31" s="45">
        <f t="shared" si="24"/>
        <v>0.78295074343439564</v>
      </c>
      <c r="G31" s="44">
        <f t="shared" si="24"/>
        <v>0.63841408624188523</v>
      </c>
      <c r="H31" s="44">
        <f t="shared" si="24"/>
        <v>0.62284540802585497</v>
      </c>
      <c r="I31" s="44">
        <f t="shared" si="24"/>
        <v>-0.65201363455550521</v>
      </c>
      <c r="J31" s="45">
        <f t="shared" si="24"/>
        <v>0.34129111722938688</v>
      </c>
      <c r="K31" s="44">
        <f t="shared" si="24"/>
        <v>-4.6838797140744348E-2</v>
      </c>
      <c r="L31" s="44">
        <f t="shared" si="24"/>
        <v>-0.18121045534695568</v>
      </c>
      <c r="M31" s="44">
        <f t="shared" si="24"/>
        <v>-9.7450653842742763E-2</v>
      </c>
      <c r="N31" s="45">
        <f t="shared" si="24"/>
        <v>-7.336664415935179E-2</v>
      </c>
      <c r="O31" s="44">
        <f t="shared" si="24"/>
        <v>0.26154810931024897</v>
      </c>
      <c r="P31" s="44">
        <f t="shared" si="24"/>
        <v>0.30874910532749777</v>
      </c>
      <c r="Q31" s="67">
        <f t="shared" si="24"/>
        <v>0.10815281477922878</v>
      </c>
      <c r="R31" s="35"/>
      <c r="S31" s="36"/>
      <c r="T31" s="36"/>
      <c r="U31" s="36"/>
    </row>
    <row r="33" spans="1:21" s="12" customFormat="1" x14ac:dyDescent="0.15">
      <c r="A33" s="12" t="s">
        <v>33</v>
      </c>
      <c r="B33" s="28"/>
      <c r="C33" s="28"/>
      <c r="D33" s="28"/>
      <c r="E33" s="28"/>
      <c r="F33" s="29"/>
      <c r="G33" s="28"/>
      <c r="H33" s="28"/>
      <c r="I33" s="28"/>
      <c r="J33" s="34">
        <f t="shared" ref="J33:K33" si="25">J34-J35</f>
        <v>3002.8669999999997</v>
      </c>
      <c r="K33" s="33">
        <f t="shared" si="25"/>
        <v>2788.7930000000006</v>
      </c>
      <c r="L33" s="33">
        <f t="shared" ref="L33:P33" si="26">L34-L35</f>
        <v>2517.0620000000013</v>
      </c>
      <c r="M33" s="33">
        <f t="shared" si="26"/>
        <v>3812.7250000000004</v>
      </c>
      <c r="N33" s="34">
        <f t="shared" si="26"/>
        <v>6481.2339999999995</v>
      </c>
      <c r="O33" s="33">
        <f t="shared" si="26"/>
        <v>7520.5079999999989</v>
      </c>
      <c r="P33" s="33">
        <f t="shared" si="26"/>
        <v>7450.7440000000015</v>
      </c>
      <c r="Q33" s="33">
        <f t="shared" ref="Q33" si="27">Q34-Q35</f>
        <v>5966.0649999999987</v>
      </c>
      <c r="R33" s="35"/>
      <c r="S33" s="36"/>
      <c r="T33" s="36"/>
      <c r="U33" s="36"/>
    </row>
    <row r="34" spans="1:21" x14ac:dyDescent="0.15">
      <c r="A34" s="6" t="s">
        <v>34</v>
      </c>
      <c r="J34" s="30">
        <f>3432.152+903.472+754.525+1010.314</f>
        <v>6100.4629999999997</v>
      </c>
      <c r="K34" s="31">
        <f>4108.828+805.115+1879.22+158.336</f>
        <v>6951.4990000000007</v>
      </c>
      <c r="L34" s="31">
        <f>3248.106+619.298+2413.663+279.863</f>
        <v>6560.9300000000012</v>
      </c>
      <c r="M34" s="31">
        <f>3948.224+631.728+1319.929+1541.247</f>
        <v>7441.1280000000006</v>
      </c>
      <c r="N34" s="30">
        <f>5612.34+435.717+1904.177+1835.646</f>
        <v>9787.8799999999992</v>
      </c>
      <c r="O34" s="31">
        <f>5324.681+723.904+1927.199+1832.514</f>
        <v>9808.2979999999989</v>
      </c>
      <c r="P34" s="31">
        <f>4950.122+541.064+753.064+2885.899</f>
        <v>9130.1490000000013</v>
      </c>
      <c r="Q34" s="31">
        <f>4983.266+471.182+296.062+2312.788</f>
        <v>8063.2979999999989</v>
      </c>
    </row>
    <row r="35" spans="1:21" x14ac:dyDescent="0.15">
      <c r="A35" s="6" t="s">
        <v>35</v>
      </c>
      <c r="J35" s="30">
        <f>1142.471+967.61+987.515</f>
        <v>3097.596</v>
      </c>
      <c r="K35" s="31">
        <f>1576.472+1601.24+984.994</f>
        <v>4162.7060000000001</v>
      </c>
      <c r="L35" s="31">
        <f>1698.824+1361.27+983.774</f>
        <v>4043.8679999999999</v>
      </c>
      <c r="M35" s="31">
        <f>1949.631+687.831+990.941</f>
        <v>3628.4030000000002</v>
      </c>
      <c r="N35" s="30">
        <f>2154.49+162.499+989.657</f>
        <v>3306.6459999999997</v>
      </c>
      <c r="O35" s="31">
        <f>1792.064+46.027+449.699</f>
        <v>2287.79</v>
      </c>
      <c r="P35" s="31">
        <f>1228.671+450.734</f>
        <v>1679.405</v>
      </c>
      <c r="Q35" s="31">
        <f>21.419+639.615+987.004+449.195</f>
        <v>2097.2330000000002</v>
      </c>
    </row>
    <row r="36" spans="1:21" x14ac:dyDescent="0.15">
      <c r="Q36" s="28"/>
    </row>
    <row r="37" spans="1:21" x14ac:dyDescent="0.15">
      <c r="A37" s="26" t="s">
        <v>74</v>
      </c>
      <c r="J37" s="30">
        <f>1163.358+950.382</f>
        <v>2113.7399999999998</v>
      </c>
      <c r="K37" s="31">
        <f>1097.139+963.805</f>
        <v>2060.944</v>
      </c>
      <c r="L37" s="31">
        <f>1051.184+982.057</f>
        <v>2033.241</v>
      </c>
      <c r="M37" s="50">
        <f>1028.652+1022.174</f>
        <v>2050.826</v>
      </c>
      <c r="N37" s="30">
        <f>1002.541+1060.257</f>
        <v>2062.7980000000002</v>
      </c>
      <c r="O37" s="31">
        <f>904.65+1031.234</f>
        <v>1935.884</v>
      </c>
      <c r="P37" s="31">
        <f>802.028+992.556</f>
        <v>1794.5840000000001</v>
      </c>
      <c r="Q37" s="31">
        <f>728.922+966.282</f>
        <v>1695.2040000000002</v>
      </c>
    </row>
    <row r="38" spans="1:21" x14ac:dyDescent="0.15">
      <c r="A38" s="26" t="s">
        <v>75</v>
      </c>
      <c r="J38" s="30">
        <v>24805.089</v>
      </c>
      <c r="K38" s="31">
        <v>26650.392</v>
      </c>
      <c r="L38" s="31">
        <v>27118.809000000001</v>
      </c>
      <c r="M38" s="50">
        <v>28288.732</v>
      </c>
      <c r="N38" s="30">
        <v>29543.452000000001</v>
      </c>
      <c r="O38" s="31">
        <v>33041.612999999998</v>
      </c>
      <c r="P38" s="31">
        <v>31091.929</v>
      </c>
      <c r="Q38" s="31">
        <v>30421.766</v>
      </c>
    </row>
    <row r="39" spans="1:21" x14ac:dyDescent="0.15">
      <c r="A39" s="26" t="s">
        <v>76</v>
      </c>
      <c r="J39" s="30">
        <v>18547.803</v>
      </c>
      <c r="K39" s="31">
        <v>19178.466</v>
      </c>
      <c r="L39" s="31">
        <v>19329.361000000001</v>
      </c>
      <c r="M39" s="50">
        <v>20336.735000000001</v>
      </c>
      <c r="N39" s="30">
        <v>18552.085999999999</v>
      </c>
      <c r="O39" s="31">
        <v>21950.233</v>
      </c>
      <c r="P39" s="31">
        <v>19425.607</v>
      </c>
      <c r="Q39" s="31">
        <f>19247.578+2321.472</f>
        <v>21569.050000000003</v>
      </c>
    </row>
    <row r="40" spans="1:21" x14ac:dyDescent="0.15">
      <c r="M40" s="51"/>
      <c r="Q40" s="28"/>
    </row>
    <row r="41" spans="1:21" x14ac:dyDescent="0.15">
      <c r="A41" s="26" t="s">
        <v>77</v>
      </c>
      <c r="J41" s="38">
        <f t="shared" ref="J41:O41" si="28">J38-J34-J37</f>
        <v>16590.885999999999</v>
      </c>
      <c r="K41" s="37">
        <f t="shared" si="28"/>
        <v>17637.949000000001</v>
      </c>
      <c r="L41" s="37">
        <f t="shared" si="28"/>
        <v>18524.637999999999</v>
      </c>
      <c r="M41" s="37">
        <f t="shared" si="28"/>
        <v>18796.777999999998</v>
      </c>
      <c r="N41" s="38">
        <f t="shared" si="28"/>
        <v>17692.774000000001</v>
      </c>
      <c r="O41" s="37">
        <f t="shared" si="28"/>
        <v>21297.430999999997</v>
      </c>
      <c r="P41" s="37">
        <f>P38-P34-P37</f>
        <v>20167.196</v>
      </c>
      <c r="Q41" s="37">
        <f>Q38-Q34-Q37</f>
        <v>20663.263999999999</v>
      </c>
    </row>
    <row r="42" spans="1:21" x14ac:dyDescent="0.15">
      <c r="A42" s="26" t="s">
        <v>78</v>
      </c>
      <c r="J42" s="38">
        <f t="shared" ref="J42:P42" si="29">J38-J39</f>
        <v>6257.2860000000001</v>
      </c>
      <c r="K42" s="37">
        <f t="shared" si="29"/>
        <v>7471.9259999999995</v>
      </c>
      <c r="L42" s="37">
        <f t="shared" si="29"/>
        <v>7789.4480000000003</v>
      </c>
      <c r="M42" s="37">
        <f t="shared" si="29"/>
        <v>7951.9969999999994</v>
      </c>
      <c r="N42" s="38">
        <f t="shared" si="29"/>
        <v>10991.366000000002</v>
      </c>
      <c r="O42" s="37">
        <f t="shared" si="29"/>
        <v>11091.379999999997</v>
      </c>
      <c r="P42" s="37">
        <f t="shared" si="29"/>
        <v>11666.322</v>
      </c>
      <c r="Q42" s="37">
        <f t="shared" ref="Q42" si="30">Q38-Q39</f>
        <v>8852.7159999999967</v>
      </c>
    </row>
    <row r="43" spans="1:21" x14ac:dyDescent="0.15">
      <c r="M43" s="51"/>
      <c r="Q43" s="28"/>
    </row>
    <row r="44" spans="1:21" s="12" customFormat="1" x14ac:dyDescent="0.15">
      <c r="A44" s="32" t="s">
        <v>79</v>
      </c>
      <c r="B44" s="28"/>
      <c r="C44" s="28"/>
      <c r="D44" s="28"/>
      <c r="E44" s="28"/>
      <c r="F44" s="29"/>
      <c r="G44" s="28"/>
      <c r="H44" s="28"/>
      <c r="I44" s="28"/>
      <c r="J44" s="34">
        <f t="shared" ref="J44:P44" si="31">SUM(G20:J20)</f>
        <v>-332.00300000000112</v>
      </c>
      <c r="K44" s="33">
        <f t="shared" si="31"/>
        <v>-362.82300000000163</v>
      </c>
      <c r="L44" s="33">
        <f t="shared" si="31"/>
        <v>-92.675000000003251</v>
      </c>
      <c r="M44" s="33">
        <f t="shared" si="31"/>
        <v>-0.8560000000025525</v>
      </c>
      <c r="N44" s="34">
        <f t="shared" si="31"/>
        <v>182.97499999999874</v>
      </c>
      <c r="O44" s="33">
        <f t="shared" si="31"/>
        <v>-110.46699999999848</v>
      </c>
      <c r="P44" s="33">
        <f t="shared" si="31"/>
        <v>162.04900000000316</v>
      </c>
      <c r="Q44" s="33">
        <f>SUM(N20:Q20)</f>
        <v>-398.94799999999839</v>
      </c>
      <c r="R44" s="35"/>
      <c r="S44" s="36"/>
      <c r="T44" s="36"/>
      <c r="U44" s="36"/>
    </row>
    <row r="45" spans="1:21" x14ac:dyDescent="0.15">
      <c r="A45" s="26" t="s">
        <v>80</v>
      </c>
      <c r="J45" s="47">
        <f t="shared" ref="J45:O45" si="32">J44/J42</f>
        <v>-5.3058626375716421E-2</v>
      </c>
      <c r="K45" s="46">
        <f t="shared" si="32"/>
        <v>-4.8558162915425238E-2</v>
      </c>
      <c r="L45" s="46">
        <f t="shared" si="32"/>
        <v>-1.1897505445829184E-2</v>
      </c>
      <c r="M45" s="46">
        <f t="shared" si="32"/>
        <v>-1.076459158627138E-4</v>
      </c>
      <c r="N45" s="47">
        <f t="shared" si="32"/>
        <v>1.6647157414283058E-2</v>
      </c>
      <c r="O45" s="46">
        <f t="shared" si="32"/>
        <v>-9.9597164644975207E-3</v>
      </c>
      <c r="P45" s="46">
        <f>P44/P42</f>
        <v>1.3890324645591229E-2</v>
      </c>
      <c r="Q45" s="46">
        <f>Q44/Q42</f>
        <v>-4.5065039926729666E-2</v>
      </c>
    </row>
    <row r="46" spans="1:21" x14ac:dyDescent="0.15">
      <c r="A46" s="26" t="s">
        <v>81</v>
      </c>
      <c r="J46" s="47">
        <f t="shared" ref="J46:O46" si="33">J44/J38</f>
        <v>-1.3384471226851923E-2</v>
      </c>
      <c r="K46" s="46">
        <f t="shared" si="33"/>
        <v>-1.3614171228700938E-2</v>
      </c>
      <c r="L46" s="46">
        <f t="shared" si="33"/>
        <v>-3.4173698409839183E-3</v>
      </c>
      <c r="M46" s="46">
        <f t="shared" si="33"/>
        <v>-3.0259397982297423E-5</v>
      </c>
      <c r="N46" s="47">
        <f t="shared" si="33"/>
        <v>6.1934197804643393E-3</v>
      </c>
      <c r="O46" s="46">
        <f t="shared" si="33"/>
        <v>-3.3432689862930871E-3</v>
      </c>
      <c r="P46" s="46">
        <f>P44/P38</f>
        <v>5.2119313664971759E-3</v>
      </c>
      <c r="Q46" s="46">
        <f>Q44/Q38</f>
        <v>-1.3113900093768336E-2</v>
      </c>
    </row>
    <row r="47" spans="1:21" x14ac:dyDescent="0.15">
      <c r="A47" s="26" t="s">
        <v>82</v>
      </c>
      <c r="J47" s="47">
        <f t="shared" ref="J47:O47" si="34">J44/(J42-J37)</f>
        <v>-8.0125332263718346E-2</v>
      </c>
      <c r="K47" s="46">
        <f t="shared" si="34"/>
        <v>-6.7053078350658282E-2</v>
      </c>
      <c r="L47" s="46">
        <f>L44/(L42-L37)</f>
        <v>-1.6100011691727426E-2</v>
      </c>
      <c r="M47" s="46">
        <f t="shared" si="34"/>
        <v>-1.4505595584377281E-4</v>
      </c>
      <c r="N47" s="47">
        <f t="shared" si="34"/>
        <v>2.049320786939168E-2</v>
      </c>
      <c r="O47" s="46">
        <f t="shared" si="34"/>
        <v>-1.2065648873638141E-2</v>
      </c>
      <c r="P47" s="46">
        <f>P44/(P42-P37)</f>
        <v>1.6415447816788005E-2</v>
      </c>
      <c r="Q47" s="46">
        <f>Q44/(Q42-Q37)</f>
        <v>-5.5738362715982669E-2</v>
      </c>
    </row>
    <row r="48" spans="1:21" x14ac:dyDescent="0.15">
      <c r="A48" s="26" t="s">
        <v>83</v>
      </c>
      <c r="J48" s="47">
        <f t="shared" ref="J48:O48" si="35">J44/J41</f>
        <v>-2.0011167577186725E-2</v>
      </c>
      <c r="K48" s="46">
        <f t="shared" si="35"/>
        <v>-2.0570589018031611E-2</v>
      </c>
      <c r="L48" s="46">
        <f t="shared" si="35"/>
        <v>-5.0027968157868056E-3</v>
      </c>
      <c r="M48" s="46">
        <f t="shared" si="35"/>
        <v>-4.5539719626552621E-5</v>
      </c>
      <c r="N48" s="47">
        <f t="shared" si="35"/>
        <v>1.0341792643708598E-2</v>
      </c>
      <c r="O48" s="46">
        <f t="shared" si="35"/>
        <v>-5.186869721517046E-3</v>
      </c>
      <c r="P48" s="46">
        <f>P44/P41</f>
        <v>8.0352766938945382E-3</v>
      </c>
      <c r="Q48" s="46">
        <f>Q44/Q41</f>
        <v>-1.9307114306819986E-2</v>
      </c>
    </row>
    <row r="49" spans="1:21" x14ac:dyDescent="0.15">
      <c r="Q49" s="28"/>
    </row>
    <row r="50" spans="1:21" x14ac:dyDescent="0.15">
      <c r="A50" s="6" t="s">
        <v>93</v>
      </c>
      <c r="F50" s="47">
        <f t="shared" ref="F50:Q51" si="36">F3/B3-1</f>
        <v>0.39067382707365916</v>
      </c>
      <c r="G50" s="46">
        <f t="shared" si="36"/>
        <v>0.30700237909538508</v>
      </c>
      <c r="H50" s="46">
        <f t="shared" si="36"/>
        <v>0.29385665384903481</v>
      </c>
      <c r="I50" s="46">
        <f t="shared" si="36"/>
        <v>0.36165892003044564</v>
      </c>
      <c r="J50" s="47">
        <f t="shared" si="36"/>
        <v>0.30742001963987375</v>
      </c>
      <c r="K50" s="46">
        <f t="shared" si="36"/>
        <v>0.40197392228422624</v>
      </c>
      <c r="L50" s="46">
        <f t="shared" si="36"/>
        <v>0.38902488932959112</v>
      </c>
      <c r="M50" s="46">
        <f t="shared" si="36"/>
        <v>0.46701186093820057</v>
      </c>
      <c r="N50" s="47">
        <f t="shared" si="36"/>
        <v>0.43951497823597507</v>
      </c>
      <c r="O50" s="46">
        <f t="shared" si="36"/>
        <v>0.32571018843188959</v>
      </c>
      <c r="P50" s="46">
        <f t="shared" si="36"/>
        <v>0.18954941070251397</v>
      </c>
      <c r="Q50" s="46">
        <f t="shared" si="36"/>
        <v>0.13608745276198486</v>
      </c>
      <c r="R50" s="60"/>
      <c r="S50" s="6"/>
      <c r="T50" s="6"/>
      <c r="U50" s="6"/>
    </row>
    <row r="51" spans="1:21" x14ac:dyDescent="0.15">
      <c r="A51" s="6" t="s">
        <v>94</v>
      </c>
      <c r="F51" s="47">
        <f t="shared" si="36"/>
        <v>0.83542874752209761</v>
      </c>
      <c r="G51" s="46">
        <f t="shared" si="36"/>
        <v>0.55784565507120498</v>
      </c>
      <c r="H51" s="46">
        <f t="shared" si="36"/>
        <v>0.52569244553238192</v>
      </c>
      <c r="I51" s="46">
        <f t="shared" si="36"/>
        <v>0.47236002639214436</v>
      </c>
      <c r="J51" s="47">
        <f t="shared" si="36"/>
        <v>0.51902567861213433</v>
      </c>
      <c r="K51" s="46">
        <f t="shared" si="36"/>
        <v>0.38529842559516303</v>
      </c>
      <c r="L51" s="46">
        <f t="shared" si="36"/>
        <v>0.31403499712380367</v>
      </c>
      <c r="M51" s="46">
        <f t="shared" si="36"/>
        <v>0.44360402488883555</v>
      </c>
      <c r="N51" s="47">
        <f t="shared" si="36"/>
        <v>0.46217654135721919</v>
      </c>
      <c r="O51" s="46">
        <f t="shared" si="36"/>
        <v>0.54703204743450518</v>
      </c>
      <c r="P51" s="46">
        <f t="shared" si="36"/>
        <v>0.4475161146159774</v>
      </c>
      <c r="Q51" s="46">
        <f t="shared" si="36"/>
        <v>0.37912080418797012</v>
      </c>
      <c r="R51" s="60"/>
      <c r="S51" s="6"/>
      <c r="T51" s="6"/>
      <c r="U51" s="6"/>
    </row>
    <row r="53" spans="1:21" s="8" customFormat="1" x14ac:dyDescent="0.15">
      <c r="A53" s="8" t="s">
        <v>95</v>
      </c>
      <c r="B53" s="31"/>
      <c r="C53" s="31"/>
      <c r="D53" s="31"/>
      <c r="E53" s="31"/>
      <c r="F53" s="47">
        <f>F6/B6-1</f>
        <v>0.72903885480572606</v>
      </c>
      <c r="G53" s="46">
        <f t="shared" ref="G53:Q54" si="37">G6/C6-1</f>
        <v>0.64999999999999991</v>
      </c>
      <c r="H53" s="46">
        <f t="shared" si="37"/>
        <v>0.565799842395587</v>
      </c>
      <c r="I53" s="46">
        <f t="shared" si="37"/>
        <v>0.46193548387096772</v>
      </c>
      <c r="J53" s="47">
        <f t="shared" si="37"/>
        <v>0.39858072146658796</v>
      </c>
      <c r="K53" s="46">
        <f t="shared" si="37"/>
        <v>0.37320574162679443</v>
      </c>
      <c r="L53" s="46">
        <f t="shared" si="37"/>
        <v>0.34021137393054879</v>
      </c>
      <c r="M53" s="46">
        <f t="shared" si="37"/>
        <v>0.29082082965578104</v>
      </c>
      <c r="N53" s="47">
        <f t="shared" si="37"/>
        <v>0.27610993657505301</v>
      </c>
      <c r="O53" s="46">
        <f t="shared" si="37"/>
        <v>0.21486643437862951</v>
      </c>
      <c r="P53" s="46">
        <f t="shared" si="37"/>
        <v>0.14607585429966186</v>
      </c>
      <c r="Q53" s="64">
        <f t="shared" si="37"/>
        <v>4.3760683760683872E-2</v>
      </c>
      <c r="R53" s="30"/>
      <c r="S53" s="31"/>
      <c r="T53" s="31"/>
      <c r="U53" s="31"/>
    </row>
    <row r="54" spans="1:21" s="4" customFormat="1" x14ac:dyDescent="0.15">
      <c r="A54" s="4" t="s">
        <v>87</v>
      </c>
      <c r="B54" s="61"/>
      <c r="C54" s="61"/>
      <c r="D54" s="61"/>
      <c r="E54" s="61"/>
      <c r="F54" s="47">
        <f t="shared" ref="F54" si="38">F7/B7-1</f>
        <v>-0.1810086406588669</v>
      </c>
      <c r="G54" s="46">
        <f t="shared" si="37"/>
        <v>-0.19691367329434661</v>
      </c>
      <c r="H54" s="46">
        <f t="shared" si="37"/>
        <v>-0.16203338757233265</v>
      </c>
      <c r="I54" s="46">
        <f t="shared" si="37"/>
        <v>-6.2084183232125056E-2</v>
      </c>
      <c r="J54" s="47">
        <f t="shared" si="37"/>
        <v>-5.3983792921718177E-2</v>
      </c>
      <c r="K54" s="46">
        <f t="shared" si="37"/>
        <v>1.992007341512525E-2</v>
      </c>
      <c r="L54" s="46">
        <f t="shared" si="37"/>
        <v>3.1305769008197926E-2</v>
      </c>
      <c r="M54" s="46">
        <f t="shared" si="37"/>
        <v>0.13482192114876002</v>
      </c>
      <c r="N54" s="47">
        <f t="shared" si="37"/>
        <v>0.12955819322041551</v>
      </c>
      <c r="O54" s="46">
        <f t="shared" si="37"/>
        <v>0.10651698776540552</v>
      </c>
      <c r="P54" s="46">
        <f t="shared" si="37"/>
        <v>5.7500172845818653E-2</v>
      </c>
      <c r="Q54" s="64">
        <f t="shared" si="37"/>
        <v>0.10963116867950262</v>
      </c>
      <c r="R54" s="62"/>
      <c r="S54" s="61"/>
      <c r="T54" s="61"/>
      <c r="U54" s="61"/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3" x14ac:dyDescent="0.15"/>
  <cols>
    <col min="1" max="16384" width="10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2018-01-04T19:16:18Z</dcterms:created>
  <dcterms:modified xsi:type="dcterms:W3CDTF">2019-04-18T18:04:43Z</dcterms:modified>
</cp:coreProperties>
</file>