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ichaelsjoeberg/Dropbox/- PROJECTS/- Investing/stocks/"/>
    </mc:Choice>
  </mc:AlternateContent>
  <xr:revisionPtr revIDLastSave="0" documentId="13_ncr:1_{6A9AFB83-5D58-024C-BAD5-E60977ED021B}" xr6:coauthVersionLast="45" xr6:coauthVersionMax="45" xr10:uidLastSave="{00000000-0000-0000-0000-000000000000}"/>
  <bookViews>
    <workbookView xWindow="16300" yWindow="460" windowWidth="19540" windowHeight="20320" tabRatio="500" xr2:uid="{00000000-000D-0000-FFFF-FFFF00000000}"/>
  </bookViews>
  <sheets>
    <sheet name="Main" sheetId="2" r:id="rId1"/>
    <sheet name="Reports" sheetId="1" r:id="rId2"/>
  </sheets>
  <externalReferences>
    <externalReference r:id="rId3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F16" i="2" l="1"/>
  <c r="E16" i="2"/>
  <c r="D16" i="2"/>
  <c r="M3" i="1"/>
  <c r="M4" i="1"/>
  <c r="C5" i="2" l="1"/>
  <c r="C3" i="2"/>
  <c r="D43" i="2"/>
  <c r="D42" i="2"/>
  <c r="D29" i="2"/>
  <c r="D26" i="2"/>
  <c r="D24" i="2"/>
  <c r="D21" i="2"/>
  <c r="E21" i="2" s="1"/>
  <c r="F21" i="2" s="1"/>
  <c r="G21" i="2" s="1"/>
  <c r="H21" i="2" s="1"/>
  <c r="I21" i="2" s="1"/>
  <c r="D20" i="2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D19" i="2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D17" i="2"/>
  <c r="D11" i="2"/>
  <c r="E11" i="2" s="1"/>
  <c r="F11" i="2" s="1"/>
  <c r="G11" i="2" s="1"/>
  <c r="H11" i="2" s="1"/>
  <c r="I11" i="2" s="1"/>
  <c r="I58" i="2" s="1"/>
  <c r="D10" i="2"/>
  <c r="M59" i="1"/>
  <c r="M14" i="1"/>
  <c r="M32" i="1" s="1"/>
  <c r="M12" i="1"/>
  <c r="M13" i="1"/>
  <c r="M9" i="1"/>
  <c r="M11" i="1" s="1"/>
  <c r="M17" i="1"/>
  <c r="M53" i="1"/>
  <c r="M44" i="1"/>
  <c r="M39" i="1"/>
  <c r="M36" i="1"/>
  <c r="M43" i="1" s="1"/>
  <c r="M35" i="1"/>
  <c r="M31" i="1"/>
  <c r="M30" i="1"/>
  <c r="L29" i="1"/>
  <c r="L39" i="1"/>
  <c r="L36" i="1"/>
  <c r="L35" i="1" s="1"/>
  <c r="L17" i="1"/>
  <c r="L9" i="1"/>
  <c r="L11" i="1" s="1"/>
  <c r="L59" i="1"/>
  <c r="L53" i="1"/>
  <c r="L52" i="1"/>
  <c r="L44" i="1"/>
  <c r="L32" i="1"/>
  <c r="L31" i="1"/>
  <c r="L30" i="1"/>
  <c r="L15" i="1"/>
  <c r="L33" i="1" s="1"/>
  <c r="K39" i="1"/>
  <c r="K36" i="1"/>
  <c r="K17" i="1"/>
  <c r="K9" i="1"/>
  <c r="K59" i="1"/>
  <c r="K53" i="1"/>
  <c r="K52" i="1"/>
  <c r="K44" i="1"/>
  <c r="K35" i="1"/>
  <c r="K32" i="1"/>
  <c r="K31" i="1"/>
  <c r="K30" i="1"/>
  <c r="K15" i="1"/>
  <c r="K33" i="1" s="1"/>
  <c r="K29" i="1"/>
  <c r="C2" i="2"/>
  <c r="E10" i="2" l="1"/>
  <c r="D18" i="2"/>
  <c r="D23" i="2" s="1"/>
  <c r="D25" i="2" s="1"/>
  <c r="D22" i="2"/>
  <c r="D41" i="2"/>
  <c r="E24" i="2" s="1"/>
  <c r="M15" i="1"/>
  <c r="M33" i="1" s="1"/>
  <c r="M52" i="1"/>
  <c r="M25" i="1"/>
  <c r="M29" i="1"/>
  <c r="L43" i="1"/>
  <c r="K43" i="1"/>
  <c r="K11" i="1"/>
  <c r="C11" i="2"/>
  <c r="C16" i="2" s="1"/>
  <c r="C10" i="2"/>
  <c r="C63" i="2"/>
  <c r="B63" i="2"/>
  <c r="B10" i="2"/>
  <c r="B11" i="2"/>
  <c r="B16" i="2"/>
  <c r="C4" i="2"/>
  <c r="E35" i="1"/>
  <c r="B9" i="1"/>
  <c r="B11" i="1"/>
  <c r="B16" i="1" s="1"/>
  <c r="B15" i="1"/>
  <c r="F33" i="1" s="1"/>
  <c r="B25" i="1"/>
  <c r="F39" i="1"/>
  <c r="F36" i="1"/>
  <c r="F35" i="1" s="1"/>
  <c r="G39" i="1"/>
  <c r="G43" i="1" s="1"/>
  <c r="G36" i="1"/>
  <c r="E39" i="1"/>
  <c r="H39" i="1"/>
  <c r="H36" i="1"/>
  <c r="E36" i="1"/>
  <c r="I9" i="1"/>
  <c r="I11" i="1" s="1"/>
  <c r="J9" i="1"/>
  <c r="F59" i="1"/>
  <c r="G59" i="1"/>
  <c r="H59" i="1"/>
  <c r="I59" i="1"/>
  <c r="J59" i="1"/>
  <c r="I39" i="1"/>
  <c r="C45" i="2" s="1"/>
  <c r="I36" i="1"/>
  <c r="C42" i="2" s="1"/>
  <c r="J39" i="1"/>
  <c r="J36" i="1"/>
  <c r="J35" i="1" s="1"/>
  <c r="F17" i="1"/>
  <c r="J17" i="1"/>
  <c r="J11" i="1"/>
  <c r="J16" i="1" s="1"/>
  <c r="J15" i="1"/>
  <c r="G9" i="1"/>
  <c r="G11" i="1"/>
  <c r="G15" i="1"/>
  <c r="G33" i="1" s="1"/>
  <c r="G16" i="1"/>
  <c r="G26" i="1" s="1"/>
  <c r="G18" i="1"/>
  <c r="G27" i="1" s="1"/>
  <c r="H9" i="1"/>
  <c r="H29" i="1" s="1"/>
  <c r="H11" i="1"/>
  <c r="H16" i="1" s="1"/>
  <c r="H15" i="1"/>
  <c r="H33" i="1" s="1"/>
  <c r="I15" i="1"/>
  <c r="J53" i="1"/>
  <c r="J52" i="1"/>
  <c r="J44" i="1"/>
  <c r="F15" i="1"/>
  <c r="J33" i="1" s="1"/>
  <c r="J32" i="1"/>
  <c r="J31" i="1"/>
  <c r="J30" i="1"/>
  <c r="F9" i="1"/>
  <c r="J29" i="1"/>
  <c r="J25" i="1"/>
  <c r="C19" i="2"/>
  <c r="C20" i="2"/>
  <c r="C21" i="2"/>
  <c r="B19" i="2"/>
  <c r="B20" i="2"/>
  <c r="B21" i="2"/>
  <c r="C15" i="1"/>
  <c r="E15" i="1"/>
  <c r="I33" i="1" s="1"/>
  <c r="D15" i="1"/>
  <c r="C46" i="2"/>
  <c r="C17" i="2"/>
  <c r="C24" i="2"/>
  <c r="C26" i="2"/>
  <c r="F11" i="1"/>
  <c r="F16" i="1" s="1"/>
  <c r="I43" i="1"/>
  <c r="I44" i="1"/>
  <c r="C43" i="2"/>
  <c r="C47" i="2"/>
  <c r="C29" i="2"/>
  <c r="E9" i="1"/>
  <c r="I29" i="1" s="1"/>
  <c r="E11" i="1"/>
  <c r="E25" i="1" s="1"/>
  <c r="B42" i="2"/>
  <c r="B43" i="2"/>
  <c r="H35" i="1"/>
  <c r="I53" i="1"/>
  <c r="H53" i="1"/>
  <c r="G53" i="1"/>
  <c r="F53" i="1"/>
  <c r="I52" i="1"/>
  <c r="H52" i="1"/>
  <c r="G52" i="1"/>
  <c r="F52" i="1"/>
  <c r="H44" i="1"/>
  <c r="B24" i="2"/>
  <c r="B46" i="2"/>
  <c r="B45" i="2"/>
  <c r="B17" i="2"/>
  <c r="B26" i="2"/>
  <c r="B47" i="2"/>
  <c r="C9" i="1"/>
  <c r="G29" i="1" s="1"/>
  <c r="C11" i="1"/>
  <c r="C25" i="1" s="1"/>
  <c r="C16" i="1"/>
  <c r="C18" i="1" s="1"/>
  <c r="D9" i="1"/>
  <c r="D11" i="1" s="1"/>
  <c r="H43" i="1"/>
  <c r="E43" i="1"/>
  <c r="E44" i="1"/>
  <c r="G44" i="1"/>
  <c r="F44" i="1"/>
  <c r="I32" i="1"/>
  <c r="I31" i="1"/>
  <c r="I30" i="1"/>
  <c r="F25" i="1"/>
  <c r="F32" i="1"/>
  <c r="F31" i="1"/>
  <c r="F30" i="1"/>
  <c r="F29" i="1"/>
  <c r="G35" i="1"/>
  <c r="G25" i="1"/>
  <c r="G32" i="1"/>
  <c r="G31" i="1"/>
  <c r="G30" i="1"/>
  <c r="H32" i="1"/>
  <c r="H31" i="1"/>
  <c r="H30" i="1"/>
  <c r="B29" i="2"/>
  <c r="E29" i="2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C26" i="1"/>
  <c r="F10" i="2" l="1"/>
  <c r="E35" i="2"/>
  <c r="C64" i="2"/>
  <c r="B18" i="2"/>
  <c r="B49" i="2"/>
  <c r="M16" i="1"/>
  <c r="M18" i="1" s="1"/>
  <c r="L25" i="1"/>
  <c r="L16" i="1"/>
  <c r="K25" i="1"/>
  <c r="K16" i="1"/>
  <c r="I2" i="2"/>
  <c r="C18" i="2"/>
  <c r="C31" i="2" s="1"/>
  <c r="I5" i="2" s="1"/>
  <c r="C58" i="2"/>
  <c r="C57" i="2"/>
  <c r="D58" i="2"/>
  <c r="C37" i="2"/>
  <c r="C50" i="2"/>
  <c r="B41" i="2"/>
  <c r="C41" i="2"/>
  <c r="C36" i="2"/>
  <c r="B22" i="2"/>
  <c r="B23" i="2" s="1"/>
  <c r="C6" i="2"/>
  <c r="C7" i="2" s="1"/>
  <c r="H18" i="1"/>
  <c r="H26" i="1"/>
  <c r="B31" i="2"/>
  <c r="I25" i="1"/>
  <c r="I16" i="1"/>
  <c r="D16" i="1"/>
  <c r="D25" i="1"/>
  <c r="J18" i="1"/>
  <c r="J26" i="1"/>
  <c r="D38" i="2"/>
  <c r="C21" i="1"/>
  <c r="C27" i="1"/>
  <c r="B18" i="1"/>
  <c r="B26" i="1"/>
  <c r="F18" i="1"/>
  <c r="F26" i="1"/>
  <c r="E16" i="1"/>
  <c r="G21" i="1"/>
  <c r="J43" i="1"/>
  <c r="F43" i="1"/>
  <c r="I35" i="1"/>
  <c r="C38" i="2"/>
  <c r="B50" i="2"/>
  <c r="C49" i="2"/>
  <c r="C22" i="2"/>
  <c r="D57" i="2"/>
  <c r="C35" i="2"/>
  <c r="I4" i="2" s="1"/>
  <c r="H25" i="1"/>
  <c r="G10" i="2" l="1"/>
  <c r="D35" i="2"/>
  <c r="M26" i="1"/>
  <c r="M27" i="1"/>
  <c r="L26" i="1"/>
  <c r="L18" i="1"/>
  <c r="K26" i="1"/>
  <c r="K18" i="1"/>
  <c r="G22" i="1"/>
  <c r="D26" i="1"/>
  <c r="D18" i="1"/>
  <c r="E57" i="2"/>
  <c r="E58" i="2"/>
  <c r="C22" i="1"/>
  <c r="E26" i="1"/>
  <c r="E18" i="1"/>
  <c r="D36" i="2"/>
  <c r="D39" i="2"/>
  <c r="I18" i="1"/>
  <c r="I26" i="1"/>
  <c r="C39" i="2"/>
  <c r="C23" i="2"/>
  <c r="B21" i="1"/>
  <c r="B27" i="1"/>
  <c r="B32" i="2"/>
  <c r="B25" i="2"/>
  <c r="E38" i="2"/>
  <c r="J21" i="1"/>
  <c r="J22" i="1" s="1"/>
  <c r="J27" i="1"/>
  <c r="F27" i="1"/>
  <c r="F21" i="1"/>
  <c r="D37" i="2"/>
  <c r="D31" i="2"/>
  <c r="E18" i="2" s="1"/>
  <c r="E17" i="2" s="1"/>
  <c r="H21" i="1"/>
  <c r="H22" i="1" s="1"/>
  <c r="H27" i="1"/>
  <c r="H10" i="2" l="1"/>
  <c r="G16" i="2"/>
  <c r="M21" i="1"/>
  <c r="M46" i="1" s="1"/>
  <c r="L27" i="1"/>
  <c r="L21" i="1"/>
  <c r="K27" i="1"/>
  <c r="K21" i="1"/>
  <c r="E37" i="2"/>
  <c r="F58" i="2"/>
  <c r="B27" i="2"/>
  <c r="B33" i="2"/>
  <c r="C25" i="2"/>
  <c r="C32" i="2"/>
  <c r="I6" i="2" s="1"/>
  <c r="D27" i="1"/>
  <c r="D21" i="1"/>
  <c r="E36" i="2"/>
  <c r="E22" i="2"/>
  <c r="E39" i="2" s="1"/>
  <c r="F22" i="1"/>
  <c r="E27" i="1"/>
  <c r="E21" i="1"/>
  <c r="F38" i="2"/>
  <c r="F57" i="2"/>
  <c r="B22" i="1"/>
  <c r="I27" i="1"/>
  <c r="I21" i="1"/>
  <c r="I22" i="1" s="1"/>
  <c r="J46" i="1"/>
  <c r="I10" i="2" l="1"/>
  <c r="I16" i="2" s="1"/>
  <c r="H16" i="2"/>
  <c r="M22" i="1"/>
  <c r="M47" i="1"/>
  <c r="M50" i="1"/>
  <c r="M49" i="1"/>
  <c r="M48" i="1"/>
  <c r="L46" i="1"/>
  <c r="L22" i="1"/>
  <c r="K22" i="1"/>
  <c r="K46" i="1"/>
  <c r="J47" i="1"/>
  <c r="J48" i="1"/>
  <c r="J50" i="1"/>
  <c r="J49" i="1"/>
  <c r="F36" i="2"/>
  <c r="F22" i="2"/>
  <c r="F39" i="2" s="1"/>
  <c r="G46" i="1"/>
  <c r="D22" i="1"/>
  <c r="F46" i="1"/>
  <c r="C27" i="2"/>
  <c r="C33" i="2"/>
  <c r="E22" i="1"/>
  <c r="H46" i="1"/>
  <c r="B28" i="2"/>
  <c r="B55" i="2"/>
  <c r="B54" i="2"/>
  <c r="B53" i="2"/>
  <c r="B52" i="2"/>
  <c r="E46" i="1"/>
  <c r="F35" i="2"/>
  <c r="I46" i="1"/>
  <c r="H58" i="2"/>
  <c r="G58" i="2"/>
  <c r="G57" i="2"/>
  <c r="I57" i="2"/>
  <c r="F37" i="2"/>
  <c r="E31" i="2"/>
  <c r="F18" i="2" s="1"/>
  <c r="E23" i="2"/>
  <c r="G38" i="2"/>
  <c r="D32" i="2"/>
  <c r="L50" i="1" l="1"/>
  <c r="L48" i="1"/>
  <c r="L49" i="1"/>
  <c r="L47" i="1"/>
  <c r="K49" i="1"/>
  <c r="K48" i="1"/>
  <c r="K50" i="1"/>
  <c r="K47" i="1"/>
  <c r="F23" i="2"/>
  <c r="F31" i="2"/>
  <c r="G18" i="2" s="1"/>
  <c r="G17" i="2" s="1"/>
  <c r="F17" i="2"/>
  <c r="H50" i="1"/>
  <c r="H47" i="1"/>
  <c r="H49" i="1"/>
  <c r="H48" i="1"/>
  <c r="G35" i="2"/>
  <c r="G50" i="1"/>
  <c r="G49" i="1"/>
  <c r="G48" i="1"/>
  <c r="G47" i="1"/>
  <c r="G22" i="2"/>
  <c r="G39" i="2" s="1"/>
  <c r="G36" i="2"/>
  <c r="D33" i="2"/>
  <c r="D27" i="2"/>
  <c r="D28" i="2" s="1"/>
  <c r="H38" i="2"/>
  <c r="G37" i="2"/>
  <c r="H57" i="2"/>
  <c r="I3" i="2"/>
  <c r="C55" i="2"/>
  <c r="C54" i="2"/>
  <c r="C53" i="2"/>
  <c r="C52" i="2"/>
  <c r="C28" i="2"/>
  <c r="F49" i="1"/>
  <c r="F48" i="1"/>
  <c r="F47" i="1"/>
  <c r="F50" i="1"/>
  <c r="I49" i="1"/>
  <c r="I48" i="1"/>
  <c r="I50" i="1"/>
  <c r="I47" i="1"/>
  <c r="E49" i="1"/>
  <c r="E48" i="1"/>
  <c r="E47" i="1"/>
  <c r="E50" i="1"/>
  <c r="E32" i="2"/>
  <c r="H35" i="2" l="1"/>
  <c r="H37" i="2"/>
  <c r="G23" i="2"/>
  <c r="G31" i="2"/>
  <c r="H18" i="2" s="1"/>
  <c r="I38" i="2"/>
  <c r="J21" i="2"/>
  <c r="H22" i="2"/>
  <c r="H39" i="2" s="1"/>
  <c r="H36" i="2"/>
  <c r="F32" i="2"/>
  <c r="H31" i="2" l="1"/>
  <c r="I18" i="2" s="1"/>
  <c r="I17" i="2" s="1"/>
  <c r="H23" i="2"/>
  <c r="H17" i="2"/>
  <c r="I22" i="2"/>
  <c r="I39" i="2" s="1"/>
  <c r="I36" i="2"/>
  <c r="E25" i="2"/>
  <c r="J38" i="2"/>
  <c r="K21" i="2"/>
  <c r="G32" i="2"/>
  <c r="I37" i="2"/>
  <c r="I35" i="2"/>
  <c r="J16" i="2"/>
  <c r="E33" i="2" l="1"/>
  <c r="E27" i="2"/>
  <c r="J37" i="2"/>
  <c r="K38" i="2"/>
  <c r="L21" i="2"/>
  <c r="J22" i="2"/>
  <c r="J39" i="2" s="1"/>
  <c r="J36" i="2"/>
  <c r="I23" i="2"/>
  <c r="I31" i="2"/>
  <c r="J18" i="2" s="1"/>
  <c r="H32" i="2"/>
  <c r="K16" i="2"/>
  <c r="J35" i="2"/>
  <c r="E41" i="2" l="1"/>
  <c r="J23" i="2"/>
  <c r="J31" i="2"/>
  <c r="J17" i="2"/>
  <c r="L38" i="2"/>
  <c r="M21" i="2"/>
  <c r="K37" i="2"/>
  <c r="I32" i="2"/>
  <c r="K22" i="2"/>
  <c r="K39" i="2" s="1"/>
  <c r="K36" i="2"/>
  <c r="L16" i="2"/>
  <c r="K18" i="2"/>
  <c r="K35" i="2"/>
  <c r="K31" i="2" l="1"/>
  <c r="L18" i="2" s="1"/>
  <c r="K23" i="2"/>
  <c r="L35" i="2"/>
  <c r="M16" i="2"/>
  <c r="K17" i="2"/>
  <c r="L22" i="2"/>
  <c r="L39" i="2" s="1"/>
  <c r="L36" i="2"/>
  <c r="L37" i="2"/>
  <c r="N21" i="2"/>
  <c r="M38" i="2"/>
  <c r="E28" i="2"/>
  <c r="J32" i="2"/>
  <c r="N38" i="2" l="1"/>
  <c r="O21" i="2"/>
  <c r="O38" i="2" s="1"/>
  <c r="L23" i="2"/>
  <c r="L31" i="2"/>
  <c r="M18" i="2" s="1"/>
  <c r="M17" i="2" s="1"/>
  <c r="K32" i="2"/>
  <c r="M37" i="2"/>
  <c r="M22" i="2"/>
  <c r="M39" i="2" s="1"/>
  <c r="M36" i="2"/>
  <c r="M35" i="2"/>
  <c r="N16" i="2"/>
  <c r="L17" i="2"/>
  <c r="F24" i="2"/>
  <c r="F25" i="2" s="1"/>
  <c r="O16" i="2" l="1"/>
  <c r="N35" i="2"/>
  <c r="M23" i="2"/>
  <c r="M31" i="2"/>
  <c r="N18" i="2" s="1"/>
  <c r="N36" i="2"/>
  <c r="N22" i="2"/>
  <c r="N39" i="2" s="1"/>
  <c r="O37" i="2"/>
  <c r="N37" i="2"/>
  <c r="L32" i="2"/>
  <c r="F33" i="2"/>
  <c r="F27" i="2" l="1"/>
  <c r="F41" i="2" s="1"/>
  <c r="N31" i="2"/>
  <c r="N23" i="2"/>
  <c r="N17" i="2"/>
  <c r="F28" i="2"/>
  <c r="O22" i="2"/>
  <c r="O39" i="2" s="1"/>
  <c r="O36" i="2"/>
  <c r="M32" i="2"/>
  <c r="O18" i="2"/>
  <c r="O35" i="2"/>
  <c r="O31" i="2" l="1"/>
  <c r="O23" i="2"/>
  <c r="O17" i="2"/>
  <c r="G24" i="2"/>
  <c r="G25" i="2" s="1"/>
  <c r="G26" i="2" s="1"/>
  <c r="N32" i="2"/>
  <c r="O32" i="2" l="1"/>
  <c r="G33" i="2"/>
  <c r="G27" i="2" l="1"/>
  <c r="G28" i="2" l="1"/>
  <c r="G41" i="2"/>
  <c r="H24" i="2" s="1"/>
  <c r="H25" i="2" s="1"/>
  <c r="H26" i="2" s="1"/>
  <c r="H33" i="2" l="1"/>
  <c r="H27" i="2" l="1"/>
  <c r="H28" i="2" l="1"/>
  <c r="H41" i="2"/>
  <c r="I24" i="2" l="1"/>
  <c r="I25" i="2" s="1"/>
  <c r="I26" i="2" s="1"/>
  <c r="I33" i="2" l="1"/>
  <c r="I27" i="2" l="1"/>
  <c r="I28" i="2" s="1"/>
  <c r="I41" i="2" l="1"/>
  <c r="J24" i="2"/>
  <c r="J25" i="2" s="1"/>
  <c r="J26" i="2" s="1"/>
  <c r="J33" i="2" l="1"/>
  <c r="J27" i="2" l="1"/>
  <c r="J28" i="2" s="1"/>
  <c r="J41" i="2" l="1"/>
  <c r="K24" i="2" s="1"/>
  <c r="K25" i="2" s="1"/>
  <c r="K26" i="2" s="1"/>
  <c r="K33" i="2" l="1"/>
  <c r="K27" i="2"/>
  <c r="K28" i="2" l="1"/>
  <c r="K41" i="2"/>
  <c r="L24" i="2" l="1"/>
  <c r="L25" i="2" s="1"/>
  <c r="L26" i="2" s="1"/>
  <c r="L33" i="2" l="1"/>
  <c r="L27" i="2" l="1"/>
  <c r="L28" i="2" l="1"/>
  <c r="L41" i="2"/>
  <c r="M24" i="2" l="1"/>
  <c r="M25" i="2" s="1"/>
  <c r="M26" i="2" s="1"/>
  <c r="M33" i="2" l="1"/>
  <c r="M27" i="2"/>
  <c r="M28" i="2" l="1"/>
  <c r="M41" i="2"/>
  <c r="N24" i="2" l="1"/>
  <c r="N25" i="2" s="1"/>
  <c r="N26" i="2" s="1"/>
  <c r="N33" i="2" l="1"/>
  <c r="N27" i="2" l="1"/>
  <c r="N28" i="2" l="1"/>
  <c r="N41" i="2"/>
  <c r="O24" i="2" l="1"/>
  <c r="O25" i="2" s="1"/>
  <c r="O26" i="2" s="1"/>
  <c r="O33" i="2" l="1"/>
  <c r="O27" i="2" l="1"/>
  <c r="P27" i="2" l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O28" i="2"/>
  <c r="O41" i="2"/>
  <c r="F5" i="2" l="1"/>
  <c r="F6" i="2" s="1"/>
  <c r="F7" i="2" l="1"/>
  <c r="G7" i="2"/>
</calcChain>
</file>

<file path=xl/sharedStrings.xml><?xml version="1.0" encoding="utf-8"?>
<sst xmlns="http://schemas.openxmlformats.org/spreadsheetml/2006/main" count="145" uniqueCount="96">
  <si>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</si>
  <si>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</si>
  <si>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</si>
  <si>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</si>
  <si>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</si>
  <si>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</si>
  <si>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</si>
  <si>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</si>
  <si>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</si>
  <si>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</si>
  <si>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</si>
  <si>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</si>
  <si>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</si>
  <si>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</si>
  <si>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</si>
  <si>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</si>
  <si>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</si>
  <si>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</si>
  <si>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</si>
  <si>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</si>
  <si>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</si>
  <si>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</si>
  <si>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</si>
  <si>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</si>
  <si>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</si>
  <si>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</si>
  <si>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</si>
  <si>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</si>
  <si>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</si>
  <si>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</si>
  <si>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</si>
  <si>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</si>
  <si>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</si>
  <si>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</si>
  <si>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</si>
  <si>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</si>
  <si>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</si>
  <si>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</si>
  <si>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</si>
  <si>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</si>
  <si>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Inflation + risk premium (opportunity cost)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</si>
  <si>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</si>
  <si>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</si>
  <si>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</si>
  <si>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</si>
  <si>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</si>
  <si>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</si>
  <si>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</si>
  <si>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</si>
  <si>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</si>
  <si>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</si>
  <si>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</si>
  <si>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</si>
  <si>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</si>
  <si>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</si>
  <si>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</si>
  <si>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</si>
  <si>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DAU</t>
  </si>
  <si>
    <t>ARPU</t>
  </si>
  <si>
    <t>DAU y/y</t>
  </si>
  <si>
    <t>ARPU y/y</t>
  </si>
  <si>
    <t>Future net income (terminal value)</t>
  </si>
  <si>
    <t>Earnings</t>
  </si>
  <si>
    <t>Growth</t>
  </si>
  <si>
    <t>GM</t>
  </si>
  <si>
    <t>OM</t>
  </si>
  <si>
    <t>Tax anomaly &amp; fines</t>
  </si>
  <si>
    <t>MongoDB, Inc (MDB)</t>
  </si>
  <si>
    <t>Q120</t>
  </si>
  <si>
    <t>Q220</t>
  </si>
  <si>
    <t>Q320</t>
  </si>
  <si>
    <t>Q420</t>
  </si>
  <si>
    <t>Subscription</t>
  </si>
  <si>
    <t>Services</t>
  </si>
  <si>
    <t>30/4/2018</t>
  </si>
  <si>
    <t>Subscription y/y</t>
  </si>
  <si>
    <t>Services y/y</t>
  </si>
  <si>
    <t>Customers</t>
  </si>
  <si>
    <t>31/1/2019</t>
  </si>
  <si>
    <t>31/10/2018</t>
  </si>
  <si>
    <t>31/7/2018</t>
  </si>
  <si>
    <t>31/1/2018</t>
  </si>
  <si>
    <t>31/10/2017</t>
  </si>
  <si>
    <t>31/7/2017</t>
  </si>
  <si>
    <t>30/4/2017</t>
  </si>
  <si>
    <t>Customers y/y</t>
  </si>
  <si>
    <t>Users</t>
  </si>
  <si>
    <t>Dev Ittycheria</t>
  </si>
  <si>
    <t>Kevin P. Ryan</t>
  </si>
  <si>
    <t>Dwight Merriman</t>
  </si>
  <si>
    <t>31/7/2019</t>
  </si>
  <si>
    <t>31/10/2019</t>
  </si>
  <si>
    <t>31/1/2020</t>
  </si>
  <si>
    <t>109-111</t>
  </si>
  <si>
    <t>407-409</t>
  </si>
  <si>
    <t>OE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</si>
</sst>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%"/>
    <numFmt numFmtId="166" formatCode="#,##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2" borderId="0" xfId="0" applyNumberFormat="1" applyFont="1" applyFill="1" applyBorder="1"/>
    <xf numFmtId="3" fontId="5" fillId="0" borderId="0" xfId="0" applyNumberFormat="1" applyFont="1" applyBorder="1"/>
    <xf numFmtId="2" fontId="6" fillId="2" borderId="0" xfId="0" applyNumberFormat="1" applyFont="1" applyFill="1" applyBorder="1"/>
    <xf numFmtId="2" fontId="6" fillId="0" borderId="0" xfId="0" applyNumberFormat="1" applyFont="1" applyBorder="1"/>
    <xf numFmtId="9" fontId="5" fillId="0" borderId="0" xfId="1" applyFont="1" applyBorder="1"/>
    <xf numFmtId="9" fontId="6" fillId="0" borderId="0" xfId="1" applyFont="1" applyBorder="1"/>
    <xf numFmtId="9" fontId="6" fillId="0" borderId="0" xfId="0" applyNumberFormat="1" applyFont="1" applyBorder="1"/>
    <xf numFmtId="165" fontId="6" fillId="0" borderId="0" xfId="0" applyNumberFormat="1" applyFont="1" applyFill="1"/>
    <xf numFmtId="165" fontId="6" fillId="0" borderId="0" xfId="0" applyNumberFormat="1" applyFont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5" fillId="0" borderId="0" xfId="0" applyFont="1" applyFill="1" applyBorder="1"/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5" fillId="0" borderId="0" xfId="0" applyNumberFormat="1" applyFont="1" applyFill="1" applyBorder="1"/>
    <xf numFmtId="3" fontId="6" fillId="0" borderId="0" xfId="0" applyNumberFormat="1" applyFont="1" applyFill="1"/>
    <xf numFmtId="3" fontId="6" fillId="0" borderId="0" xfId="0" applyNumberFormat="1" applyFont="1" applyFill="1" applyBorder="1"/>
    <xf numFmtId="3" fontId="6" fillId="2" borderId="0" xfId="0" applyNumberFormat="1" applyFont="1" applyFill="1"/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4" fontId="6" fillId="2" borderId="0" xfId="0" applyNumberFormat="1" applyFont="1" applyFill="1"/>
    <xf numFmtId="4" fontId="6" fillId="0" borderId="0" xfId="0" applyNumberFormat="1" applyFont="1"/>
    <xf numFmtId="4" fontId="6" fillId="0" borderId="0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9" fontId="7" fillId="0" borderId="0" xfId="0" applyNumberFormat="1" applyFont="1" applyBorder="1"/>
    <xf numFmtId="166" fontId="6" fillId="0" borderId="0" xfId="0" applyNumberFormat="1" applyFont="1" applyBorder="1"/>
    <xf numFmtId="166" fontId="6" fillId="0" borderId="0" xfId="0" applyNumberFormat="1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7</xdr:row>
      <xdr:rowOff>152400</xdr:rowOff>
    </xdr:from>
    <xdr:to>
      <xdr:col>4</xdr:col>
      <xdr:colOff>241300</xdr:colOff>
      <xdr:row>64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702300" y="1308100"/>
          <a:ext cx="0" cy="9410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241300</xdr:colOff>
      <xdr:row>0</xdr:row>
      <xdr:rowOff>152400</xdr:rowOff>
    </xdr:from>
    <xdr:to>
      <xdr:col>12</xdr:col>
      <xdr:colOff>241300</xdr:colOff>
      <xdr:row>59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0655300" y="152400"/>
          <a:ext cx="0" cy="9740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sjoeberg/Dropbox/-%20PROJECTS/-%20Investing/stoc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NPV-Internet-Software"/>
      <sheetName val="Largest-Defensive"/>
      <sheetName val="REIT-Speciality-Commercial"/>
      <sheetName val="Upcoming IPOs"/>
    </sheetNames>
    <sheetDataSet>
      <sheetData sheetId="0">
        <row r="31">
          <cell r="J31">
            <v>128.93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Kevin_P._Ryan" TargetMode="External"/><Relationship Id="rId2" Type="http://schemas.openxmlformats.org/officeDocument/2006/relationships/hyperlink" Target="https://en.wikipedia.org/wiki/Dev_Ittycheria" TargetMode="External"/><Relationship Id="rId1" Type="http://schemas.openxmlformats.org/officeDocument/2006/relationships/hyperlink" Target="https://investors.mongodb.com/investor-relation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Dwight_Merrima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MD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64"/>
  <sheetViews>
    <sheetView tabSelected="1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F5" sqref="F5"/>
    </sheetView>
  </sheetViews>
  <sheetFormatPr baseColWidth="10" defaultRowHeight="13" x14ac:dyDescent="0.15"/>
  <cols>
    <col min="1" max="1" width="17.5" style="3" bestFit="1" customWidth="1"/>
    <col min="2" max="16384" width="10.83203125" style="3"/>
  </cols>
  <sheetData>
    <row r="1" spans="1:120" x14ac:dyDescent="0.15">
      <c r="A1" s="1" t="s">
        <v>55</v>
      </c>
      <c r="B1" s="2" t="s">
        <v>67</v>
      </c>
    </row>
    <row r="2" spans="1:120" x14ac:dyDescent="0.15">
      <c r="B2" s="3" t="s">
        <v>36</v>
      </c>
      <c r="C2" s="4">
        <f>[1]MAIN!$J$31</f>
        <v>128.93</v>
      </c>
      <c r="E2" s="6" t="s">
        <v>21</v>
      </c>
      <c r="F2" s="7">
        <v>-5.0000000000000001E-3</v>
      </c>
      <c r="H2" s="3" t="s">
        <v>0</v>
      </c>
      <c r="I2" s="16">
        <f>C16</f>
        <v>257.09800000000001</v>
      </c>
      <c r="J2" s="2"/>
    </row>
    <row r="3" spans="1:120" x14ac:dyDescent="0.15">
      <c r="A3" s="2" t="s">
        <v>34</v>
      </c>
      <c r="B3" s="3" t="s">
        <v>13</v>
      </c>
      <c r="C3" s="8">
        <f>Reports!M23</f>
        <v>56</v>
      </c>
      <c r="D3" s="3" t="s">
        <v>70</v>
      </c>
      <c r="E3" s="6" t="s">
        <v>22</v>
      </c>
      <c r="F3" s="7">
        <v>0.05</v>
      </c>
      <c r="G3" s="5" t="s">
        <v>56</v>
      </c>
      <c r="H3" s="3" t="s">
        <v>62</v>
      </c>
      <c r="I3" s="16">
        <f>C27</f>
        <v>-111.34700000000005</v>
      </c>
    </row>
    <row r="4" spans="1:120" x14ac:dyDescent="0.15">
      <c r="A4" s="9" t="s">
        <v>87</v>
      </c>
      <c r="B4" s="3" t="s">
        <v>37</v>
      </c>
      <c r="C4" s="10">
        <f>C2*C3</f>
        <v>7220.08</v>
      </c>
      <c r="E4" s="6" t="s">
        <v>23</v>
      </c>
      <c r="F4" s="7">
        <f>6%</f>
        <v>0.06</v>
      </c>
      <c r="G4" s="5" t="s">
        <v>40</v>
      </c>
      <c r="H4" s="3" t="s">
        <v>63</v>
      </c>
      <c r="I4" s="27">
        <f>C35</f>
        <v>0.61160666712635336</v>
      </c>
    </row>
    <row r="5" spans="1:120" x14ac:dyDescent="0.15">
      <c r="B5" s="3" t="s">
        <v>18</v>
      </c>
      <c r="C5" s="8">
        <f>Reports!M35</f>
        <v>199</v>
      </c>
      <c r="D5" s="3" t="s">
        <v>70</v>
      </c>
      <c r="E5" s="6" t="s">
        <v>24</v>
      </c>
      <c r="F5" s="11">
        <f>NPV(F4,E27:DP27)</f>
        <v>17280.762584444597</v>
      </c>
      <c r="G5" s="5" t="s">
        <v>61</v>
      </c>
      <c r="H5" s="3" t="s">
        <v>64</v>
      </c>
      <c r="I5" s="27">
        <f>C31</f>
        <v>0.71385230534659927</v>
      </c>
    </row>
    <row r="6" spans="1:120" x14ac:dyDescent="0.15">
      <c r="A6" s="2" t="s">
        <v>35</v>
      </c>
      <c r="B6" s="3" t="s">
        <v>38</v>
      </c>
      <c r="C6" s="10">
        <f>C4-C5</f>
        <v>7021.08</v>
      </c>
      <c r="E6" s="12" t="s">
        <v>25</v>
      </c>
      <c r="F6" s="13">
        <f>F5+C5</f>
        <v>17479.762584444597</v>
      </c>
      <c r="H6" s="3" t="s">
        <v>65</v>
      </c>
      <c r="I6" s="27">
        <f>C32</f>
        <v>-0.43187811651588132</v>
      </c>
    </row>
    <row r="7" spans="1:120" x14ac:dyDescent="0.15">
      <c r="A7" s="9" t="s">
        <v>88</v>
      </c>
      <c r="B7" s="5" t="s">
        <v>39</v>
      </c>
      <c r="C7" s="59">
        <f>C6/C3</f>
        <v>125.37642857142858</v>
      </c>
      <c r="E7" s="14" t="s">
        <v>39</v>
      </c>
      <c r="F7" s="55">
        <f>F6/C3</f>
        <v>312.1386175793678</v>
      </c>
      <c r="G7" s="27">
        <f>F7/C2-1</f>
        <v>1.4209929231316822</v>
      </c>
    </row>
    <row r="8" spans="1:120" x14ac:dyDescent="0.15">
      <c r="A8" s="9" t="s">
        <v>89</v>
      </c>
      <c r="C8" s="6"/>
      <c r="D8" s="15"/>
    </row>
    <row r="9" spans="1:120" x14ac:dyDescent="0.15">
      <c r="B9" s="3">
        <v>2018</v>
      </c>
      <c r="C9" s="3">
        <f t="shared" ref="C9:N9" si="0">B9+1</f>
        <v>2019</v>
      </c>
      <c r="D9" s="3">
        <f t="shared" si="0"/>
        <v>2020</v>
      </c>
      <c r="E9" s="3">
        <f t="shared" si="0"/>
        <v>2021</v>
      </c>
      <c r="F9" s="3">
        <f t="shared" si="0"/>
        <v>2022</v>
      </c>
      <c r="G9" s="3">
        <f t="shared" si="0"/>
        <v>2023</v>
      </c>
      <c r="H9" s="3">
        <f t="shared" si="0"/>
        <v>2024</v>
      </c>
      <c r="I9" s="3">
        <f t="shared" si="0"/>
        <v>2025</v>
      </c>
      <c r="J9" s="3">
        <f t="shared" si="0"/>
        <v>2026</v>
      </c>
      <c r="K9" s="3">
        <f t="shared" si="0"/>
        <v>2027</v>
      </c>
      <c r="L9" s="3">
        <f t="shared" si="0"/>
        <v>2028</v>
      </c>
      <c r="M9" s="3">
        <f t="shared" si="0"/>
        <v>2029</v>
      </c>
      <c r="N9" s="3">
        <f t="shared" si="0"/>
        <v>2030</v>
      </c>
      <c r="O9" s="3">
        <v>2031</v>
      </c>
    </row>
    <row r="10" spans="1:120" x14ac:dyDescent="0.15">
      <c r="A10" s="3" t="s">
        <v>72</v>
      </c>
      <c r="B10" s="16">
        <f>SUM(Reports!B3:E3)</f>
        <v>146.101</v>
      </c>
      <c r="C10" s="16">
        <f>SUM(Reports!F3:I3)</f>
        <v>238.72400000000002</v>
      </c>
      <c r="D10" s="16">
        <f>SUM(Reports!J3:M3)</f>
        <v>386.81560000000002</v>
      </c>
      <c r="E10" s="16">
        <f>D10*1.6</f>
        <v>618.90496000000007</v>
      </c>
      <c r="F10" s="16">
        <f t="shared" ref="F10:I10" si="1">E10*1.6</f>
        <v>990.24793600000021</v>
      </c>
      <c r="G10" s="16">
        <f t="shared" si="1"/>
        <v>1584.3966976000004</v>
      </c>
      <c r="H10" s="16">
        <f t="shared" si="1"/>
        <v>2535.0347161600007</v>
      </c>
      <c r="I10" s="16">
        <f t="shared" si="1"/>
        <v>4056.0555458560011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</row>
    <row r="11" spans="1:120" x14ac:dyDescent="0.15">
      <c r="A11" s="3" t="s">
        <v>73</v>
      </c>
      <c r="B11" s="16">
        <f>SUM(Reports!B4:E4)</f>
        <v>13.428000000000001</v>
      </c>
      <c r="C11" s="16">
        <f>SUM(Reports!F4:I4)</f>
        <v>18.374000000000002</v>
      </c>
      <c r="D11" s="16">
        <f>SUM(Reports!J4:M4)</f>
        <v>22.2164</v>
      </c>
      <c r="E11" s="16">
        <f>D11*1.25</f>
        <v>27.770499999999998</v>
      </c>
      <c r="F11" s="16">
        <f t="shared" ref="F11:I11" si="2">E11*1.25</f>
        <v>34.713124999999998</v>
      </c>
      <c r="G11" s="16">
        <f t="shared" si="2"/>
        <v>43.391406249999996</v>
      </c>
      <c r="H11" s="16">
        <f t="shared" si="2"/>
        <v>54.239257812499993</v>
      </c>
      <c r="I11" s="16">
        <f t="shared" si="2"/>
        <v>67.799072265624986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</row>
    <row r="12" spans="1:120" x14ac:dyDescent="0.15">
      <c r="B12" s="16"/>
      <c r="C12" s="16"/>
      <c r="D12" s="16"/>
      <c r="E12" s="16"/>
      <c r="F12" s="16"/>
      <c r="G12" s="16"/>
    </row>
    <row r="13" spans="1:120" s="16" customFormat="1" x14ac:dyDescent="0.15">
      <c r="A13" s="16" t="s">
        <v>57</v>
      </c>
    </row>
    <row r="14" spans="1:120" s="56" customFormat="1" x14ac:dyDescent="0.15">
      <c r="A14" s="56" t="s">
        <v>58</v>
      </c>
    </row>
    <row r="15" spans="1:120" x14ac:dyDescent="0.15">
      <c r="D15" s="66" t="s">
        <v>94</v>
      </c>
      <c r="E15" s="16"/>
      <c r="F15" s="16"/>
      <c r="G15" s="16"/>
    </row>
    <row r="16" spans="1:120" x14ac:dyDescent="0.15">
      <c r="A16" s="2" t="s">
        <v>0</v>
      </c>
      <c r="B16" s="17">
        <f t="shared" ref="B16:C16" si="3">SUM(B10:B11)</f>
        <v>159.529</v>
      </c>
      <c r="C16" s="17">
        <f t="shared" si="3"/>
        <v>257.09800000000001</v>
      </c>
      <c r="D16" s="17">
        <f>SUM(D10:D11)</f>
        <v>409.03200000000004</v>
      </c>
      <c r="E16" s="18">
        <f>SUM(E10:E11)</f>
        <v>646.67546000000004</v>
      </c>
      <c r="F16" s="18">
        <f>SUM(F10:F11)</f>
        <v>1024.9610610000002</v>
      </c>
      <c r="G16" s="18">
        <f t="shared" ref="G16:I16" si="4">SUM(G10:G11)</f>
        <v>1627.7881038500004</v>
      </c>
      <c r="H16" s="18">
        <f t="shared" si="4"/>
        <v>2589.2739739725007</v>
      </c>
      <c r="I16" s="18">
        <f t="shared" si="4"/>
        <v>4123.8546181216261</v>
      </c>
      <c r="J16" s="18">
        <f t="shared" ref="J16:O16" si="5">I16*1.1</f>
        <v>4536.2400799337893</v>
      </c>
      <c r="K16" s="18">
        <f t="shared" si="5"/>
        <v>4989.8640879271688</v>
      </c>
      <c r="L16" s="18">
        <f t="shared" si="5"/>
        <v>5488.850496719886</v>
      </c>
      <c r="M16" s="18">
        <f t="shared" si="5"/>
        <v>6037.7355463918748</v>
      </c>
      <c r="N16" s="18">
        <f t="shared" si="5"/>
        <v>6641.5091010310625</v>
      </c>
      <c r="O16" s="18">
        <f t="shared" si="5"/>
        <v>7305.6600111341695</v>
      </c>
      <c r="P16" s="18"/>
      <c r="Q16" s="18"/>
      <c r="R16" s="18"/>
      <c r="S16" s="18"/>
      <c r="T16" s="18"/>
    </row>
    <row r="17" spans="1:120" x14ac:dyDescent="0.15">
      <c r="A17" s="3" t="s">
        <v>1</v>
      </c>
      <c r="B17" s="16">
        <f>SUM(Reports!B10:E10)</f>
        <v>42.858999999999995</v>
      </c>
      <c r="C17" s="8">
        <f>SUM(Reports!F10:I10)</f>
        <v>73.568000000000012</v>
      </c>
      <c r="D17" s="16">
        <f>SUM(Reports!J10:M10)</f>
        <v>122.172</v>
      </c>
      <c r="E17" s="8">
        <f>E16-E18</f>
        <v>193.15269783078099</v>
      </c>
      <c r="F17" s="8">
        <f t="shared" ref="F17" si="6">F16-F18</f>
        <v>306.14118881772583</v>
      </c>
      <c r="G17" s="8">
        <f t="shared" ref="G17:O17" si="7">G16-G18</f>
        <v>486.19699246895675</v>
      </c>
      <c r="H17" s="8">
        <f t="shared" si="7"/>
        <v>773.37905090107483</v>
      </c>
      <c r="I17" s="8">
        <f t="shared" si="7"/>
        <v>1231.7363101301498</v>
      </c>
      <c r="J17" s="8">
        <f t="shared" si="7"/>
        <v>1354.9099411431648</v>
      </c>
      <c r="K17" s="8">
        <f t="shared" si="7"/>
        <v>1490.4009352574817</v>
      </c>
      <c r="L17" s="8">
        <f t="shared" si="7"/>
        <v>1639.4410287832297</v>
      </c>
      <c r="M17" s="8">
        <f t="shared" si="7"/>
        <v>1803.3851316615528</v>
      </c>
      <c r="N17" s="8">
        <f t="shared" si="7"/>
        <v>1983.7236448277081</v>
      </c>
      <c r="O17" s="8">
        <f t="shared" si="7"/>
        <v>2182.0960093104795</v>
      </c>
      <c r="P17" s="8"/>
      <c r="Q17" s="8"/>
      <c r="R17" s="8"/>
      <c r="S17" s="8"/>
      <c r="T17" s="8"/>
    </row>
    <row r="18" spans="1:120" x14ac:dyDescent="0.15">
      <c r="A18" s="3" t="s">
        <v>2</v>
      </c>
      <c r="B18" s="10">
        <f>B16-B17</f>
        <v>116.67</v>
      </c>
      <c r="C18" s="10">
        <f>C16-C17</f>
        <v>183.53</v>
      </c>
      <c r="D18" s="10">
        <f>D16-D17</f>
        <v>286.86</v>
      </c>
      <c r="E18" s="8">
        <f>E16*D31</f>
        <v>453.52276216921905</v>
      </c>
      <c r="F18" s="8">
        <f t="shared" ref="F18:O18" si="8">F16*E31</f>
        <v>718.81987218227437</v>
      </c>
      <c r="G18" s="8">
        <f t="shared" si="8"/>
        <v>1141.5911113810437</v>
      </c>
      <c r="H18" s="8">
        <f t="shared" si="8"/>
        <v>1815.8949230714259</v>
      </c>
      <c r="I18" s="8">
        <f t="shared" si="8"/>
        <v>2892.1183079914763</v>
      </c>
      <c r="J18" s="8">
        <f t="shared" si="8"/>
        <v>3181.3301387906245</v>
      </c>
      <c r="K18" s="8">
        <f t="shared" si="8"/>
        <v>3499.4631526696871</v>
      </c>
      <c r="L18" s="8">
        <f t="shared" si="8"/>
        <v>3849.4094679366563</v>
      </c>
      <c r="M18" s="8">
        <f t="shared" si="8"/>
        <v>4234.350414730322</v>
      </c>
      <c r="N18" s="8">
        <f t="shared" si="8"/>
        <v>4657.7854562033544</v>
      </c>
      <c r="O18" s="8">
        <f t="shared" si="8"/>
        <v>5123.56400182369</v>
      </c>
      <c r="P18" s="8"/>
      <c r="Q18" s="8"/>
      <c r="R18" s="8"/>
      <c r="S18" s="8"/>
      <c r="T18" s="8"/>
    </row>
    <row r="19" spans="1:120" x14ac:dyDescent="0.15">
      <c r="A19" s="3" t="s">
        <v>3</v>
      </c>
      <c r="B19" s="16">
        <f>SUM(Reports!B12:E12)</f>
        <v>62.201999999999998</v>
      </c>
      <c r="C19" s="8">
        <f>SUM(Reports!F12:I12)</f>
        <v>89.854000000000013</v>
      </c>
      <c r="D19" s="16">
        <f>SUM(Reports!J12:M12)</f>
        <v>149.428</v>
      </c>
      <c r="E19" s="8">
        <f>D19*1.55</f>
        <v>231.61340000000001</v>
      </c>
      <c r="F19" s="8">
        <f t="shared" ref="F19:I19" si="9">E19*1.55</f>
        <v>359.00077000000005</v>
      </c>
      <c r="G19" s="8">
        <f t="shared" si="9"/>
        <v>556.45119350000004</v>
      </c>
      <c r="H19" s="8">
        <f t="shared" si="9"/>
        <v>862.49934992500005</v>
      </c>
      <c r="I19" s="8">
        <f t="shared" si="9"/>
        <v>1336.8739923837502</v>
      </c>
      <c r="J19" s="8">
        <f>I19*1.02</f>
        <v>1363.6114722314253</v>
      </c>
      <c r="K19" s="8">
        <f t="shared" ref="K19:O19" si="10">J19*1.02</f>
        <v>1390.8837016760538</v>
      </c>
      <c r="L19" s="8">
        <f t="shared" si="10"/>
        <v>1418.7013757095749</v>
      </c>
      <c r="M19" s="8">
        <f t="shared" si="10"/>
        <v>1447.0754032237664</v>
      </c>
      <c r="N19" s="8">
        <f t="shared" si="10"/>
        <v>1476.0169112882418</v>
      </c>
      <c r="O19" s="8">
        <f t="shared" si="10"/>
        <v>1505.5372495140066</v>
      </c>
      <c r="P19" s="8"/>
      <c r="Q19" s="8"/>
      <c r="R19" s="8"/>
      <c r="S19" s="8"/>
      <c r="T19" s="8"/>
    </row>
    <row r="20" spans="1:120" x14ac:dyDescent="0.15">
      <c r="A20" s="3" t="s">
        <v>4</v>
      </c>
      <c r="B20" s="16">
        <f>SUM(Reports!B13:E13)</f>
        <v>108.62100000000001</v>
      </c>
      <c r="C20" s="8">
        <f>SUM(Reports!F13:I13)</f>
        <v>151.67500000000001</v>
      </c>
      <c r="D20" s="16">
        <f>SUM(Reports!J13:M13)</f>
        <v>220.84300000000002</v>
      </c>
      <c r="E20" s="8">
        <f>D20*1.4</f>
        <v>309.18020000000001</v>
      </c>
      <c r="F20" s="8">
        <f t="shared" ref="F20:I20" si="11">E20*1.4</f>
        <v>432.85228000000001</v>
      </c>
      <c r="G20" s="8">
        <f t="shared" si="11"/>
        <v>605.99319200000002</v>
      </c>
      <c r="H20" s="8">
        <f t="shared" si="11"/>
        <v>848.39046880000001</v>
      </c>
      <c r="I20" s="8">
        <f t="shared" si="11"/>
        <v>1187.7466563199998</v>
      </c>
      <c r="J20" s="8">
        <f>I20*1.05</f>
        <v>1247.1339891359999</v>
      </c>
      <c r="K20" s="8">
        <f t="shared" ref="K20:O20" si="12">J20*1.05</f>
        <v>1309.4906885927999</v>
      </c>
      <c r="L20" s="8">
        <f t="shared" si="12"/>
        <v>1374.9652230224399</v>
      </c>
      <c r="M20" s="8">
        <f t="shared" si="12"/>
        <v>1443.7134841735619</v>
      </c>
      <c r="N20" s="8">
        <f t="shared" si="12"/>
        <v>1515.8991583822401</v>
      </c>
      <c r="O20" s="8">
        <f t="shared" si="12"/>
        <v>1591.6941163013521</v>
      </c>
      <c r="P20" s="8"/>
      <c r="Q20" s="8"/>
      <c r="R20" s="8"/>
      <c r="S20" s="8"/>
      <c r="T20" s="8"/>
    </row>
    <row r="21" spans="1:120" x14ac:dyDescent="0.15">
      <c r="A21" s="3" t="s">
        <v>5</v>
      </c>
      <c r="B21" s="16">
        <f>SUM(Reports!B14:E14)</f>
        <v>36.775000000000006</v>
      </c>
      <c r="C21" s="8">
        <f>SUM(Reports!F14:I14)</f>
        <v>53.036000000000001</v>
      </c>
      <c r="D21" s="16">
        <f>SUM(Reports!J14:M14)</f>
        <v>69.744699999999995</v>
      </c>
      <c r="E21" s="8">
        <f>D21*1.2</f>
        <v>83.693639999999988</v>
      </c>
      <c r="F21" s="8">
        <f t="shared" ref="F21:I21" si="13">E21*1.2</f>
        <v>100.43236799999998</v>
      </c>
      <c r="G21" s="8">
        <f t="shared" si="13"/>
        <v>120.51884159999997</v>
      </c>
      <c r="H21" s="8">
        <f t="shared" si="13"/>
        <v>144.62260991999997</v>
      </c>
      <c r="I21" s="8">
        <f t="shared" si="13"/>
        <v>173.54713190399997</v>
      </c>
      <c r="J21" s="8">
        <f t="shared" ref="J21:O21" si="14">I21*0.98</f>
        <v>170.07618926591996</v>
      </c>
      <c r="K21" s="8">
        <f t="shared" si="14"/>
        <v>166.67466548060156</v>
      </c>
      <c r="L21" s="8">
        <f t="shared" si="14"/>
        <v>163.34117217098952</v>
      </c>
      <c r="M21" s="8">
        <f t="shared" si="14"/>
        <v>160.07434872756974</v>
      </c>
      <c r="N21" s="8">
        <f t="shared" si="14"/>
        <v>156.87286175301836</v>
      </c>
      <c r="O21" s="8">
        <f t="shared" si="14"/>
        <v>153.73540451795799</v>
      </c>
      <c r="P21" s="8"/>
      <c r="Q21" s="8"/>
      <c r="R21" s="8"/>
      <c r="S21" s="8"/>
      <c r="T21" s="8"/>
    </row>
    <row r="22" spans="1:120" x14ac:dyDescent="0.15">
      <c r="A22" s="3" t="s">
        <v>6</v>
      </c>
      <c r="B22" s="10">
        <f>SUM(B19:B21)</f>
        <v>207.59800000000001</v>
      </c>
      <c r="C22" s="10">
        <f>SUM(C19:C21)</f>
        <v>294.56500000000005</v>
      </c>
      <c r="D22" s="10">
        <f>SUM(D19:D21)</f>
        <v>440.01570000000004</v>
      </c>
      <c r="E22" s="8">
        <f t="shared" ref="E22:F22" si="15">SUM(E19:E21)</f>
        <v>624.48723999999993</v>
      </c>
      <c r="F22" s="8">
        <f t="shared" si="15"/>
        <v>892.28541800000005</v>
      </c>
      <c r="G22" s="8">
        <f t="shared" ref="G22:O22" si="16">SUM(G19:G21)</f>
        <v>1282.9632271</v>
      </c>
      <c r="H22" s="8">
        <f t="shared" si="16"/>
        <v>1855.5124286450002</v>
      </c>
      <c r="I22" s="8">
        <f t="shared" si="16"/>
        <v>2698.1677806077496</v>
      </c>
      <c r="J22" s="8">
        <f t="shared" si="16"/>
        <v>2780.8216506333451</v>
      </c>
      <c r="K22" s="8">
        <f t="shared" si="16"/>
        <v>2867.0490557494554</v>
      </c>
      <c r="L22" s="8">
        <f t="shared" si="16"/>
        <v>2957.0077709030043</v>
      </c>
      <c r="M22" s="8">
        <f t="shared" si="16"/>
        <v>3050.8632361248983</v>
      </c>
      <c r="N22" s="8">
        <f t="shared" si="16"/>
        <v>3148.7889314235003</v>
      </c>
      <c r="O22" s="8">
        <f t="shared" si="16"/>
        <v>3250.9667703333171</v>
      </c>
      <c r="P22" s="8"/>
      <c r="Q22" s="8"/>
      <c r="R22" s="8"/>
      <c r="S22" s="8"/>
      <c r="T22" s="8"/>
    </row>
    <row r="23" spans="1:120" x14ac:dyDescent="0.15">
      <c r="A23" s="3" t="s">
        <v>7</v>
      </c>
      <c r="B23" s="10">
        <f>B18-B22</f>
        <v>-90.928000000000011</v>
      </c>
      <c r="C23" s="10">
        <f>C18-C22</f>
        <v>-111.03500000000005</v>
      </c>
      <c r="D23" s="10">
        <f>D18-D22</f>
        <v>-153.15570000000002</v>
      </c>
      <c r="E23" s="8">
        <f t="shared" ref="E23:F23" si="17">E18-E22</f>
        <v>-170.96447783078088</v>
      </c>
      <c r="F23" s="8">
        <f t="shared" si="17"/>
        <v>-173.46554581772568</v>
      </c>
      <c r="G23" s="8">
        <f t="shared" ref="G23:O23" si="18">G18-G22</f>
        <v>-141.37211571895637</v>
      </c>
      <c r="H23" s="8">
        <f t="shared" si="18"/>
        <v>-39.617505573574363</v>
      </c>
      <c r="I23" s="8">
        <f t="shared" si="18"/>
        <v>193.95052738372669</v>
      </c>
      <c r="J23" s="8">
        <f t="shared" si="18"/>
        <v>400.50848815727932</v>
      </c>
      <c r="K23" s="8">
        <f t="shared" si="18"/>
        <v>632.41409692023171</v>
      </c>
      <c r="L23" s="8">
        <f t="shared" si="18"/>
        <v>892.401697033652</v>
      </c>
      <c r="M23" s="8">
        <f t="shared" si="18"/>
        <v>1183.4871786054237</v>
      </c>
      <c r="N23" s="8">
        <f t="shared" si="18"/>
        <v>1508.9965247798541</v>
      </c>
      <c r="O23" s="8">
        <f t="shared" si="18"/>
        <v>1872.5972314903729</v>
      </c>
      <c r="P23" s="8"/>
      <c r="Q23" s="8"/>
      <c r="R23" s="8"/>
      <c r="S23" s="8"/>
      <c r="T23" s="8"/>
    </row>
    <row r="24" spans="1:120" x14ac:dyDescent="0.15">
      <c r="A24" s="3" t="s">
        <v>8</v>
      </c>
      <c r="B24" s="16">
        <f>SUM(Reports!B17:E17)</f>
        <v>2.1950000000000003</v>
      </c>
      <c r="C24" s="8">
        <f>SUM(Reports!F17:I17)</f>
        <v>-4.5640000000000001</v>
      </c>
      <c r="D24" s="16">
        <f>SUM(Reports!J17:M17)</f>
        <v>-11.801</v>
      </c>
      <c r="E24" s="8">
        <f t="shared" ref="E24:O24" si="19">D41*$F$3</f>
        <v>9.9500000000000011</v>
      </c>
      <c r="F24" s="8">
        <f t="shared" si="19"/>
        <v>1.8992761084609555</v>
      </c>
      <c r="G24" s="8">
        <f t="shared" si="19"/>
        <v>-6.6790373770022811</v>
      </c>
      <c r="H24" s="8">
        <f t="shared" si="19"/>
        <v>-12.971211383580524</v>
      </c>
      <c r="I24" s="8">
        <f t="shared" si="19"/>
        <v>-15.206231854259608</v>
      </c>
      <c r="J24" s="8">
        <f t="shared" si="19"/>
        <v>-7.609599294257257</v>
      </c>
      <c r="K24" s="8">
        <f t="shared" si="19"/>
        <v>9.0886034824211812</v>
      </c>
      <c r="L24" s="8">
        <f t="shared" si="19"/>
        <v>36.352468249533921</v>
      </c>
      <c r="M24" s="8">
        <f t="shared" si="19"/>
        <v>75.824520274069329</v>
      </c>
      <c r="N24" s="8">
        <f t="shared" si="19"/>
        <v>129.34526747644779</v>
      </c>
      <c r="O24" s="8">
        <f t="shared" si="19"/>
        <v>198.97479364734062</v>
      </c>
      <c r="P24" s="8"/>
      <c r="Q24" s="8"/>
      <c r="R24" s="8"/>
      <c r="S24" s="8"/>
      <c r="T24" s="8"/>
    </row>
    <row r="25" spans="1:120" x14ac:dyDescent="0.15">
      <c r="A25" s="3" t="s">
        <v>9</v>
      </c>
      <c r="B25" s="10">
        <f>B23+B24</f>
        <v>-88.733000000000004</v>
      </c>
      <c r="C25" s="10">
        <f>C23+C24</f>
        <v>-115.59900000000005</v>
      </c>
      <c r="D25" s="10">
        <f>D23+D24</f>
        <v>-164.95670000000001</v>
      </c>
      <c r="E25" s="8">
        <f t="shared" ref="E25:F25" si="20">E23+E24</f>
        <v>-161.01447783078089</v>
      </c>
      <c r="F25" s="8">
        <f t="shared" si="20"/>
        <v>-171.56626970926473</v>
      </c>
      <c r="G25" s="8">
        <f t="shared" ref="G25" si="21">G23+G24</f>
        <v>-148.05115309595865</v>
      </c>
      <c r="H25" s="8">
        <f t="shared" ref="H25" si="22">H23+H24</f>
        <v>-52.588716957154887</v>
      </c>
      <c r="I25" s="8">
        <f t="shared" ref="I25" si="23">I23+I24</f>
        <v>178.74429552946708</v>
      </c>
      <c r="J25" s="8">
        <f t="shared" ref="J25" si="24">J23+J24</f>
        <v>392.89888886302208</v>
      </c>
      <c r="K25" s="8">
        <f t="shared" ref="K25" si="25">K23+K24</f>
        <v>641.50270040265286</v>
      </c>
      <c r="L25" s="8">
        <f t="shared" ref="L25" si="26">L23+L24</f>
        <v>928.7541652831859</v>
      </c>
      <c r="M25" s="8">
        <f t="shared" ref="M25" si="27">M23+M24</f>
        <v>1259.311698879493</v>
      </c>
      <c r="N25" s="8">
        <f t="shared" ref="N25" si="28">N23+N24</f>
        <v>1638.3417922563019</v>
      </c>
      <c r="O25" s="8">
        <f t="shared" ref="O25" si="29">O23+O24</f>
        <v>2071.5720251377134</v>
      </c>
      <c r="P25" s="8"/>
      <c r="Q25" s="8"/>
      <c r="R25" s="8"/>
      <c r="S25" s="8"/>
      <c r="T25" s="8"/>
    </row>
    <row r="26" spans="1:120" x14ac:dyDescent="0.15">
      <c r="A26" s="3" t="s">
        <v>10</v>
      </c>
      <c r="B26" s="16">
        <f>SUM(Reports!B19:E19)</f>
        <v>0.98459999999999992</v>
      </c>
      <c r="C26" s="8">
        <f>SUM(Reports!F19:I19)</f>
        <v>-4.2520000000000007</v>
      </c>
      <c r="D26" s="16">
        <f>SUM(Reports!J19:M19)</f>
        <v>-1.1379999999999999</v>
      </c>
      <c r="E26" s="8">
        <v>0</v>
      </c>
      <c r="F26" s="8">
        <v>0</v>
      </c>
      <c r="G26" s="8">
        <f>G25*0.15</f>
        <v>-22.207672964393797</v>
      </c>
      <c r="H26" s="8">
        <f t="shared" ref="H26:O26" si="30">H25*0.15</f>
        <v>-7.8883075435732328</v>
      </c>
      <c r="I26" s="8">
        <f t="shared" si="30"/>
        <v>26.811644329420062</v>
      </c>
      <c r="J26" s="8">
        <f t="shared" si="30"/>
        <v>58.934833329453312</v>
      </c>
      <c r="K26" s="8">
        <f t="shared" si="30"/>
        <v>96.225405060397932</v>
      </c>
      <c r="L26" s="8">
        <f t="shared" si="30"/>
        <v>139.31312479247788</v>
      </c>
      <c r="M26" s="8">
        <f t="shared" si="30"/>
        <v>188.89675483192394</v>
      </c>
      <c r="N26" s="8">
        <f t="shared" si="30"/>
        <v>245.75126883844527</v>
      </c>
      <c r="O26" s="8">
        <f t="shared" si="30"/>
        <v>310.73580377065701</v>
      </c>
      <c r="P26" s="8"/>
      <c r="Q26" s="8"/>
      <c r="R26" s="8"/>
      <c r="S26" s="8"/>
      <c r="T26" s="8"/>
    </row>
    <row r="27" spans="1:120" s="2" customFormat="1" x14ac:dyDescent="0.15">
      <c r="A27" s="2" t="s">
        <v>11</v>
      </c>
      <c r="B27" s="17">
        <f>B25-B26</f>
        <v>-89.717600000000004</v>
      </c>
      <c r="C27" s="17">
        <f>C25-C26</f>
        <v>-111.34700000000005</v>
      </c>
      <c r="D27" s="17">
        <f>D25-D26</f>
        <v>-163.81870000000001</v>
      </c>
      <c r="E27" s="17">
        <f>E25-E26</f>
        <v>-161.01447783078089</v>
      </c>
      <c r="F27" s="17">
        <f t="shared" ref="F27" si="31">F25-F26</f>
        <v>-171.56626970926473</v>
      </c>
      <c r="G27" s="17">
        <f t="shared" ref="G27:O27" si="32">G25-G26</f>
        <v>-125.84348013156486</v>
      </c>
      <c r="H27" s="17">
        <f t="shared" si="32"/>
        <v>-44.700409413581653</v>
      </c>
      <c r="I27" s="17">
        <f t="shared" si="32"/>
        <v>151.93265120004702</v>
      </c>
      <c r="J27" s="17">
        <f t="shared" si="32"/>
        <v>333.96405553356874</v>
      </c>
      <c r="K27" s="17">
        <f t="shared" si="32"/>
        <v>545.27729534225489</v>
      </c>
      <c r="L27" s="17">
        <f t="shared" si="32"/>
        <v>789.44104049070802</v>
      </c>
      <c r="M27" s="17">
        <f t="shared" si="32"/>
        <v>1070.414944047569</v>
      </c>
      <c r="N27" s="17">
        <f t="shared" si="32"/>
        <v>1392.5905234178567</v>
      </c>
      <c r="O27" s="17">
        <f t="shared" si="32"/>
        <v>1760.8362213670564</v>
      </c>
      <c r="P27" s="17">
        <f t="shared" ref="P27:AU27" si="33">O27*($F$2+1)</f>
        <v>1752.032040260221</v>
      </c>
      <c r="Q27" s="17">
        <f t="shared" si="33"/>
        <v>1743.27188005892</v>
      </c>
      <c r="R27" s="17">
        <f t="shared" si="33"/>
        <v>1734.5555206586255</v>
      </c>
      <c r="S27" s="17">
        <f t="shared" si="33"/>
        <v>1725.8827430553324</v>
      </c>
      <c r="T27" s="17">
        <f t="shared" si="33"/>
        <v>1717.2533293400556</v>
      </c>
      <c r="U27" s="17">
        <f t="shared" si="33"/>
        <v>1708.6670626933553</v>
      </c>
      <c r="V27" s="17">
        <f t="shared" si="33"/>
        <v>1700.1237273798886</v>
      </c>
      <c r="W27" s="17">
        <f t="shared" si="33"/>
        <v>1691.6231087429892</v>
      </c>
      <c r="X27" s="17">
        <f t="shared" si="33"/>
        <v>1683.1649931992742</v>
      </c>
      <c r="Y27" s="17">
        <f t="shared" si="33"/>
        <v>1674.7491682332779</v>
      </c>
      <c r="Z27" s="17">
        <f t="shared" si="33"/>
        <v>1666.3754223921114</v>
      </c>
      <c r="AA27" s="17">
        <f t="shared" si="33"/>
        <v>1658.043545280151</v>
      </c>
      <c r="AB27" s="17">
        <f t="shared" si="33"/>
        <v>1649.7533275537503</v>
      </c>
      <c r="AC27" s="17">
        <f t="shared" si="33"/>
        <v>1641.5045609159815</v>
      </c>
      <c r="AD27" s="17">
        <f t="shared" si="33"/>
        <v>1633.2970381114017</v>
      </c>
      <c r="AE27" s="17">
        <f t="shared" si="33"/>
        <v>1625.1305529208446</v>
      </c>
      <c r="AF27" s="17">
        <f t="shared" si="33"/>
        <v>1617.0049001562404</v>
      </c>
      <c r="AG27" s="17">
        <f t="shared" si="33"/>
        <v>1608.9198756554592</v>
      </c>
      <c r="AH27" s="17">
        <f t="shared" si="33"/>
        <v>1600.8752762771819</v>
      </c>
      <c r="AI27" s="17">
        <f t="shared" si="33"/>
        <v>1592.8708998957959</v>
      </c>
      <c r="AJ27" s="17">
        <f t="shared" si="33"/>
        <v>1584.9065453963169</v>
      </c>
      <c r="AK27" s="17">
        <f t="shared" si="33"/>
        <v>1576.9820126693353</v>
      </c>
      <c r="AL27" s="17">
        <f t="shared" si="33"/>
        <v>1569.0971026059885</v>
      </c>
      <c r="AM27" s="17">
        <f t="shared" si="33"/>
        <v>1561.2516170929587</v>
      </c>
      <c r="AN27" s="17">
        <f t="shared" si="33"/>
        <v>1553.4453590074938</v>
      </c>
      <c r="AO27" s="17">
        <f t="shared" si="33"/>
        <v>1545.6781322124564</v>
      </c>
      <c r="AP27" s="17">
        <f t="shared" si="33"/>
        <v>1537.949741551394</v>
      </c>
      <c r="AQ27" s="17">
        <f t="shared" si="33"/>
        <v>1530.2599928436371</v>
      </c>
      <c r="AR27" s="17">
        <f t="shared" si="33"/>
        <v>1522.6086928794189</v>
      </c>
      <c r="AS27" s="17">
        <f t="shared" si="33"/>
        <v>1514.9956494150217</v>
      </c>
      <c r="AT27" s="17">
        <f t="shared" si="33"/>
        <v>1507.4206711679467</v>
      </c>
      <c r="AU27" s="17">
        <f t="shared" si="33"/>
        <v>1499.883567812107</v>
      </c>
      <c r="AV27" s="17">
        <f t="shared" ref="AV27:CA27" si="34">AU27*($F$2+1)</f>
        <v>1492.3841499730465</v>
      </c>
      <c r="AW27" s="17">
        <f t="shared" si="34"/>
        <v>1484.9222292231814</v>
      </c>
      <c r="AX27" s="17">
        <f t="shared" si="34"/>
        <v>1477.4976180770655</v>
      </c>
      <c r="AY27" s="17">
        <f t="shared" si="34"/>
        <v>1470.11012998668</v>
      </c>
      <c r="AZ27" s="17">
        <f t="shared" si="34"/>
        <v>1462.7595793367466</v>
      </c>
      <c r="BA27" s="17">
        <f t="shared" si="34"/>
        <v>1455.4457814400628</v>
      </c>
      <c r="BB27" s="17">
        <f t="shared" si="34"/>
        <v>1448.1685525328623</v>
      </c>
      <c r="BC27" s="17">
        <f t="shared" si="34"/>
        <v>1440.9277097701981</v>
      </c>
      <c r="BD27" s="17">
        <f t="shared" si="34"/>
        <v>1433.723071221347</v>
      </c>
      <c r="BE27" s="17">
        <f t="shared" si="34"/>
        <v>1426.5544558652402</v>
      </c>
      <c r="BF27" s="17">
        <f t="shared" si="34"/>
        <v>1419.421683585914</v>
      </c>
      <c r="BG27" s="17">
        <f t="shared" si="34"/>
        <v>1412.3245751679844</v>
      </c>
      <c r="BH27" s="17">
        <f t="shared" si="34"/>
        <v>1405.2629522921445</v>
      </c>
      <c r="BI27" s="17">
        <f t="shared" si="34"/>
        <v>1398.2366375306838</v>
      </c>
      <c r="BJ27" s="17">
        <f t="shared" si="34"/>
        <v>1391.2454543430304</v>
      </c>
      <c r="BK27" s="17">
        <f t="shared" si="34"/>
        <v>1384.2892270713153</v>
      </c>
      <c r="BL27" s="17">
        <f t="shared" si="34"/>
        <v>1377.3677809359588</v>
      </c>
      <c r="BM27" s="17">
        <f t="shared" si="34"/>
        <v>1370.480942031279</v>
      </c>
      <c r="BN27" s="17">
        <f t="shared" si="34"/>
        <v>1363.6285373211226</v>
      </c>
      <c r="BO27" s="17">
        <f t="shared" si="34"/>
        <v>1356.810394634517</v>
      </c>
      <c r="BP27" s="17">
        <f t="shared" si="34"/>
        <v>1350.0263426613444</v>
      </c>
      <c r="BQ27" s="17">
        <f t="shared" si="34"/>
        <v>1343.2762109480377</v>
      </c>
      <c r="BR27" s="17">
        <f t="shared" si="34"/>
        <v>1336.5598298932975</v>
      </c>
      <c r="BS27" s="17">
        <f t="shared" si="34"/>
        <v>1329.877030743831</v>
      </c>
      <c r="BT27" s="17">
        <f t="shared" si="34"/>
        <v>1323.2276455901119</v>
      </c>
      <c r="BU27" s="17">
        <f t="shared" si="34"/>
        <v>1316.6115073621613</v>
      </c>
      <c r="BV27" s="17">
        <f t="shared" si="34"/>
        <v>1310.0284498253504</v>
      </c>
      <c r="BW27" s="17">
        <f t="shared" si="34"/>
        <v>1303.4783075762236</v>
      </c>
      <c r="BX27" s="17">
        <f t="shared" si="34"/>
        <v>1296.9609160383425</v>
      </c>
      <c r="BY27" s="17">
        <f t="shared" si="34"/>
        <v>1290.4761114581509</v>
      </c>
      <c r="BZ27" s="17">
        <f t="shared" si="34"/>
        <v>1284.0237309008601</v>
      </c>
      <c r="CA27" s="17">
        <f t="shared" si="34"/>
        <v>1277.6036122463559</v>
      </c>
      <c r="CB27" s="17">
        <f t="shared" ref="CB27:DG27" si="35">CA27*($F$2+1)</f>
        <v>1271.215594185124</v>
      </c>
      <c r="CC27" s="17">
        <f t="shared" si="35"/>
        <v>1264.8595162141985</v>
      </c>
      <c r="CD27" s="17">
        <f t="shared" si="35"/>
        <v>1258.5352186331274</v>
      </c>
      <c r="CE27" s="17">
        <f t="shared" si="35"/>
        <v>1252.2425425399617</v>
      </c>
      <c r="CF27" s="17">
        <f t="shared" si="35"/>
        <v>1245.981329827262</v>
      </c>
      <c r="CG27" s="17">
        <f t="shared" si="35"/>
        <v>1239.7514231781256</v>
      </c>
      <c r="CH27" s="17">
        <f t="shared" si="35"/>
        <v>1233.5526660622349</v>
      </c>
      <c r="CI27" s="17">
        <f t="shared" si="35"/>
        <v>1227.3849027319238</v>
      </c>
      <c r="CJ27" s="17">
        <f t="shared" si="35"/>
        <v>1221.2479782182643</v>
      </c>
      <c r="CK27" s="17">
        <f t="shared" si="35"/>
        <v>1215.141738327173</v>
      </c>
      <c r="CL27" s="17">
        <f t="shared" si="35"/>
        <v>1209.0660296355372</v>
      </c>
      <c r="CM27" s="17">
        <f t="shared" si="35"/>
        <v>1203.0206994873595</v>
      </c>
      <c r="CN27" s="17">
        <f t="shared" si="35"/>
        <v>1197.0055959899228</v>
      </c>
      <c r="CO27" s="17">
        <f t="shared" si="35"/>
        <v>1191.0205680099732</v>
      </c>
      <c r="CP27" s="17">
        <f t="shared" si="35"/>
        <v>1185.0654651699233</v>
      </c>
      <c r="CQ27" s="17">
        <f t="shared" si="35"/>
        <v>1179.1401378440737</v>
      </c>
      <c r="CR27" s="17">
        <f t="shared" si="35"/>
        <v>1173.2444371548534</v>
      </c>
      <c r="CS27" s="17">
        <f t="shared" si="35"/>
        <v>1167.3782149690792</v>
      </c>
      <c r="CT27" s="17">
        <f t="shared" si="35"/>
        <v>1161.5413238942338</v>
      </c>
      <c r="CU27" s="17">
        <f t="shared" si="35"/>
        <v>1155.7336172747625</v>
      </c>
      <c r="CV27" s="17">
        <f t="shared" si="35"/>
        <v>1149.9549491883888</v>
      </c>
      <c r="CW27" s="17">
        <f t="shared" si="35"/>
        <v>1144.2051744424468</v>
      </c>
      <c r="CX27" s="17">
        <f t="shared" si="35"/>
        <v>1138.4841485702345</v>
      </c>
      <c r="CY27" s="17">
        <f t="shared" si="35"/>
        <v>1132.7917278273833</v>
      </c>
      <c r="CZ27" s="17">
        <f t="shared" si="35"/>
        <v>1127.1277691882465</v>
      </c>
      <c r="DA27" s="17">
        <f t="shared" si="35"/>
        <v>1121.4921303423052</v>
      </c>
      <c r="DB27" s="17">
        <f t="shared" si="35"/>
        <v>1115.8846696905937</v>
      </c>
      <c r="DC27" s="17">
        <f t="shared" si="35"/>
        <v>1110.3052463421407</v>
      </c>
      <c r="DD27" s="17">
        <f t="shared" si="35"/>
        <v>1104.7537201104299</v>
      </c>
      <c r="DE27" s="17">
        <f t="shared" si="35"/>
        <v>1099.2299515098778</v>
      </c>
      <c r="DF27" s="17">
        <f t="shared" si="35"/>
        <v>1093.7338017523284</v>
      </c>
      <c r="DG27" s="17">
        <f t="shared" si="35"/>
        <v>1088.2651327435667</v>
      </c>
      <c r="DH27" s="17">
        <f t="shared" ref="DH27:DP27" si="36">DG27*($F$2+1)</f>
        <v>1082.8238070798488</v>
      </c>
      <c r="DI27" s="17">
        <f t="shared" si="36"/>
        <v>1077.4096880444497</v>
      </c>
      <c r="DJ27" s="17">
        <f t="shared" si="36"/>
        <v>1072.0226396042274</v>
      </c>
      <c r="DK27" s="17">
        <f t="shared" si="36"/>
        <v>1066.6625264062063</v>
      </c>
      <c r="DL27" s="17">
        <f t="shared" si="36"/>
        <v>1061.3292137741753</v>
      </c>
      <c r="DM27" s="17">
        <f t="shared" si="36"/>
        <v>1056.0225677053045</v>
      </c>
      <c r="DN27" s="17">
        <f t="shared" si="36"/>
        <v>1050.742454866778</v>
      </c>
      <c r="DO27" s="17">
        <f t="shared" si="36"/>
        <v>1045.4887425924442</v>
      </c>
      <c r="DP27" s="17">
        <f t="shared" si="36"/>
        <v>1040.261298879482</v>
      </c>
    </row>
    <row r="28" spans="1:120" x14ac:dyDescent="0.15">
      <c r="A28" s="3" t="s">
        <v>12</v>
      </c>
      <c r="B28" s="19">
        <f>B27/B29</f>
        <v>-1.7841054541912706</v>
      </c>
      <c r="C28" s="19">
        <f>C27/C29</f>
        <v>-2.0686639940455067</v>
      </c>
      <c r="D28" s="19">
        <f>D27/D29</f>
        <v>-2.9253339285714288</v>
      </c>
      <c r="E28" s="20">
        <f t="shared" ref="E28:F28" si="37">E27/E29</f>
        <v>-2.875258532692516</v>
      </c>
      <c r="F28" s="20">
        <f t="shared" si="37"/>
        <v>-3.0636833876654417</v>
      </c>
      <c r="G28" s="20">
        <f t="shared" ref="G28:O28" si="38">G27/G29</f>
        <v>-2.2472050023493724</v>
      </c>
      <c r="H28" s="20">
        <f t="shared" si="38"/>
        <v>-0.79822159667110093</v>
      </c>
      <c r="I28" s="20">
        <f t="shared" si="38"/>
        <v>2.7130830571436966</v>
      </c>
      <c r="J28" s="20">
        <f t="shared" si="38"/>
        <v>5.9636438488137271</v>
      </c>
      <c r="K28" s="20">
        <f t="shared" si="38"/>
        <v>9.7370945596831238</v>
      </c>
      <c r="L28" s="20">
        <f t="shared" si="38"/>
        <v>14.097161437334071</v>
      </c>
      <c r="M28" s="20">
        <f t="shared" si="38"/>
        <v>19.114552572278019</v>
      </c>
      <c r="N28" s="20">
        <f t="shared" si="38"/>
        <v>24.867687918176014</v>
      </c>
      <c r="O28" s="20">
        <f t="shared" si="38"/>
        <v>31.44350395298315</v>
      </c>
      <c r="P28" s="20"/>
      <c r="Q28" s="20"/>
      <c r="R28" s="20"/>
      <c r="S28" s="20"/>
      <c r="T28" s="20"/>
    </row>
    <row r="29" spans="1:120" s="16" customFormat="1" x14ac:dyDescent="0.15">
      <c r="A29" s="16" t="s">
        <v>13</v>
      </c>
      <c r="B29" s="8">
        <f>Reports!E23</f>
        <v>50.287162000000002</v>
      </c>
      <c r="C29" s="8">
        <f>Reports!I23</f>
        <v>53.825561</v>
      </c>
      <c r="D29" s="8">
        <f>Reports!M23</f>
        <v>56</v>
      </c>
      <c r="E29" s="8">
        <f t="shared" ref="E29" si="39">D29</f>
        <v>56</v>
      </c>
      <c r="F29" s="8">
        <f t="shared" ref="F29" si="40">E29</f>
        <v>56</v>
      </c>
      <c r="G29" s="8">
        <f t="shared" ref="G29" si="41">F29</f>
        <v>56</v>
      </c>
      <c r="H29" s="8">
        <f t="shared" ref="H29" si="42">G29</f>
        <v>56</v>
      </c>
      <c r="I29" s="8">
        <f t="shared" ref="I29" si="43">H29</f>
        <v>56</v>
      </c>
      <c r="J29" s="8">
        <f t="shared" ref="J29" si="44">I29</f>
        <v>56</v>
      </c>
      <c r="K29" s="8">
        <f t="shared" ref="K29" si="45">J29</f>
        <v>56</v>
      </c>
      <c r="L29" s="8">
        <f t="shared" ref="L29" si="46">K29</f>
        <v>56</v>
      </c>
      <c r="M29" s="8">
        <f t="shared" ref="M29" si="47">L29</f>
        <v>56</v>
      </c>
      <c r="N29" s="8">
        <f t="shared" ref="N29" si="48">M29</f>
        <v>56</v>
      </c>
      <c r="O29" s="8">
        <f t="shared" ref="O29" si="49">N29</f>
        <v>56</v>
      </c>
      <c r="P29" s="8"/>
      <c r="Q29" s="8"/>
      <c r="R29" s="8"/>
      <c r="S29" s="8"/>
      <c r="T29" s="8"/>
    </row>
    <row r="30" spans="1:120" x14ac:dyDescent="0.1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120" x14ac:dyDescent="0.15">
      <c r="A31" s="3" t="s">
        <v>15</v>
      </c>
      <c r="B31" s="23">
        <f t="shared" ref="B31:O31" si="50">IFERROR(B18/B16,0)</f>
        <v>0.73134038325320161</v>
      </c>
      <c r="C31" s="23">
        <f>IFERROR(C18/C16,0)</f>
        <v>0.71385230534659927</v>
      </c>
      <c r="D31" s="23">
        <f t="shared" si="50"/>
        <v>0.70131432259578708</v>
      </c>
      <c r="E31" s="23">
        <f t="shared" si="50"/>
        <v>0.70131432259578708</v>
      </c>
      <c r="F31" s="23">
        <f>IFERROR(F18/F16,0)</f>
        <v>0.70131432259578708</v>
      </c>
      <c r="G31" s="23">
        <f t="shared" si="50"/>
        <v>0.70131432259578708</v>
      </c>
      <c r="H31" s="23">
        <f t="shared" si="50"/>
        <v>0.70131432259578708</v>
      </c>
      <c r="I31" s="23">
        <f t="shared" si="50"/>
        <v>0.70131432259578708</v>
      </c>
      <c r="J31" s="23">
        <f t="shared" si="50"/>
        <v>0.70131432259578708</v>
      </c>
      <c r="K31" s="23">
        <f t="shared" si="50"/>
        <v>0.70131432259578708</v>
      </c>
      <c r="L31" s="23">
        <f t="shared" si="50"/>
        <v>0.70131432259578708</v>
      </c>
      <c r="M31" s="23">
        <f t="shared" si="50"/>
        <v>0.70131432259578708</v>
      </c>
      <c r="N31" s="23">
        <f t="shared" si="50"/>
        <v>0.70131432259578708</v>
      </c>
      <c r="O31" s="23">
        <f t="shared" si="50"/>
        <v>0.70131432259578708</v>
      </c>
      <c r="P31" s="23"/>
      <c r="Q31" s="23"/>
      <c r="R31" s="23"/>
      <c r="S31" s="23"/>
      <c r="T31" s="23"/>
    </row>
    <row r="32" spans="1:120" x14ac:dyDescent="0.15">
      <c r="A32" s="3" t="s">
        <v>16</v>
      </c>
      <c r="B32" s="22">
        <f t="shared" ref="B32:O32" si="51">IFERROR(B23/B16,0)</f>
        <v>-0.569977872361765</v>
      </c>
      <c r="C32" s="22">
        <f>IFERROR(C23/C16,0)</f>
        <v>-0.43187811651588132</v>
      </c>
      <c r="D32" s="22">
        <f t="shared" si="51"/>
        <v>-0.37443451857067422</v>
      </c>
      <c r="E32" s="22">
        <f t="shared" si="51"/>
        <v>-0.26437446355360517</v>
      </c>
      <c r="F32" s="22">
        <f t="shared" si="51"/>
        <v>-0.16924110819242688</v>
      </c>
      <c r="G32" s="22">
        <f t="shared" si="51"/>
        <v>-8.6849212980846136E-2</v>
      </c>
      <c r="H32" s="22">
        <f t="shared" si="51"/>
        <v>-1.5300623252622676E-2</v>
      </c>
      <c r="I32" s="22">
        <f t="shared" si="51"/>
        <v>4.7031368790607167E-2</v>
      </c>
      <c r="J32" s="22">
        <f t="shared" si="51"/>
        <v>8.8290849051165105E-2</v>
      </c>
      <c r="K32" s="22">
        <f t="shared" si="51"/>
        <v>0.12673974396423726</v>
      </c>
      <c r="L32" s="22">
        <f t="shared" si="51"/>
        <v>0.1625844423284889</v>
      </c>
      <c r="M32" s="22">
        <f t="shared" si="51"/>
        <v>0.19601507378253269</v>
      </c>
      <c r="N32" s="22">
        <f t="shared" si="51"/>
        <v>0.22720687449567592</v>
      </c>
      <c r="O32" s="22">
        <f t="shared" si="51"/>
        <v>0.25632143141570324</v>
      </c>
      <c r="P32" s="22"/>
      <c r="Q32" s="22"/>
      <c r="R32" s="22"/>
      <c r="S32" s="22"/>
      <c r="T32" s="22"/>
    </row>
    <row r="33" spans="1:120" x14ac:dyDescent="0.15">
      <c r="A33" s="3" t="s">
        <v>17</v>
      </c>
      <c r="B33" s="22">
        <f t="shared" ref="B33:O33" si="52">IFERROR(B26/B25,0)</f>
        <v>-1.1096209978249354E-2</v>
      </c>
      <c r="C33" s="22">
        <f>IFERROR(C26/C25,0)</f>
        <v>3.6782325106618559E-2</v>
      </c>
      <c r="D33" s="22">
        <f t="shared" si="52"/>
        <v>6.8987801041121687E-3</v>
      </c>
      <c r="E33" s="22">
        <f>IFERROR(E26/E25,0)</f>
        <v>0</v>
      </c>
      <c r="F33" s="22">
        <f t="shared" si="52"/>
        <v>0</v>
      </c>
      <c r="G33" s="22">
        <f t="shared" si="52"/>
        <v>0.15</v>
      </c>
      <c r="H33" s="22">
        <f t="shared" si="52"/>
        <v>0.15</v>
      </c>
      <c r="I33" s="22">
        <f t="shared" si="52"/>
        <v>0.15</v>
      </c>
      <c r="J33" s="22">
        <f t="shared" si="52"/>
        <v>0.15</v>
      </c>
      <c r="K33" s="22">
        <f t="shared" si="52"/>
        <v>0.15</v>
      </c>
      <c r="L33" s="22">
        <f t="shared" si="52"/>
        <v>0.15</v>
      </c>
      <c r="M33" s="22">
        <f t="shared" si="52"/>
        <v>0.15</v>
      </c>
      <c r="N33" s="22">
        <f t="shared" si="52"/>
        <v>0.15</v>
      </c>
      <c r="O33" s="22">
        <f t="shared" si="52"/>
        <v>0.15</v>
      </c>
      <c r="P33" s="22"/>
      <c r="Q33" s="22"/>
      <c r="R33" s="22"/>
      <c r="S33" s="22"/>
      <c r="T33" s="22"/>
    </row>
    <row r="34" spans="1:120" x14ac:dyDescent="0.15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</row>
    <row r="35" spans="1:120" x14ac:dyDescent="0.15">
      <c r="A35" s="2" t="s">
        <v>14</v>
      </c>
      <c r="B35" s="21"/>
      <c r="C35" s="21">
        <f t="shared" ref="C35:O35" si="53">C16/B16-1</f>
        <v>0.61160666712635336</v>
      </c>
      <c r="D35" s="21">
        <f t="shared" si="53"/>
        <v>0.59095753370310167</v>
      </c>
      <c r="E35" s="21">
        <f>E16/D16-1</f>
        <v>0.58098989810088209</v>
      </c>
      <c r="F35" s="21">
        <f t="shared" si="53"/>
        <v>0.5849697791222821</v>
      </c>
      <c r="G35" s="21">
        <f t="shared" si="53"/>
        <v>0.58814628749101328</v>
      </c>
      <c r="H35" s="21">
        <f t="shared" si="53"/>
        <v>0.5906701663738787</v>
      </c>
      <c r="I35" s="21">
        <f t="shared" si="53"/>
        <v>0.59266831535588715</v>
      </c>
      <c r="J35" s="21">
        <f t="shared" si="53"/>
        <v>0.10000000000000009</v>
      </c>
      <c r="K35" s="21">
        <f t="shared" si="53"/>
        <v>0.10000000000000009</v>
      </c>
      <c r="L35" s="21">
        <f t="shared" si="53"/>
        <v>0.10000000000000009</v>
      </c>
      <c r="M35" s="21">
        <f t="shared" si="53"/>
        <v>0.10000000000000009</v>
      </c>
      <c r="N35" s="21">
        <f t="shared" si="53"/>
        <v>0.10000000000000009</v>
      </c>
      <c r="O35" s="21">
        <f t="shared" si="53"/>
        <v>0.10000000000000009</v>
      </c>
      <c r="P35" s="21"/>
      <c r="Q35" s="21"/>
      <c r="R35" s="21"/>
      <c r="S35" s="21"/>
      <c r="T35" s="21"/>
    </row>
    <row r="36" spans="1:120" x14ac:dyDescent="0.15">
      <c r="A36" s="3" t="s">
        <v>30</v>
      </c>
      <c r="B36" s="22"/>
      <c r="C36" s="22">
        <f t="shared" ref="C36:O36" si="54">C19/B19-1</f>
        <v>0.44455162213433685</v>
      </c>
      <c r="D36" s="22">
        <f t="shared" si="54"/>
        <v>0.66300888107374156</v>
      </c>
      <c r="E36" s="22">
        <f t="shared" si="54"/>
        <v>0.55000000000000004</v>
      </c>
      <c r="F36" s="22">
        <f t="shared" si="54"/>
        <v>0.55000000000000004</v>
      </c>
      <c r="G36" s="22">
        <f t="shared" si="54"/>
        <v>0.54999999999999982</v>
      </c>
      <c r="H36" s="22">
        <f t="shared" si="54"/>
        <v>0.55000000000000004</v>
      </c>
      <c r="I36" s="22">
        <f t="shared" si="54"/>
        <v>0.55000000000000004</v>
      </c>
      <c r="J36" s="22">
        <f t="shared" si="54"/>
        <v>2.0000000000000018E-2</v>
      </c>
      <c r="K36" s="22">
        <f t="shared" si="54"/>
        <v>2.0000000000000018E-2</v>
      </c>
      <c r="L36" s="22">
        <f t="shared" si="54"/>
        <v>2.0000000000000018E-2</v>
      </c>
      <c r="M36" s="22">
        <f t="shared" si="54"/>
        <v>2.0000000000000018E-2</v>
      </c>
      <c r="N36" s="22">
        <f t="shared" si="54"/>
        <v>2.0000000000000018E-2</v>
      </c>
      <c r="O36" s="22">
        <f t="shared" si="54"/>
        <v>2.0000000000000018E-2</v>
      </c>
      <c r="P36" s="22"/>
      <c r="Q36" s="22"/>
      <c r="R36" s="22"/>
      <c r="S36" s="22"/>
      <c r="T36" s="22"/>
    </row>
    <row r="37" spans="1:120" x14ac:dyDescent="0.15">
      <c r="A37" s="3" t="s">
        <v>31</v>
      </c>
      <c r="B37" s="22"/>
      <c r="C37" s="22">
        <f t="shared" ref="C37:O37" si="55">C20/B20-1</f>
        <v>0.39636902624722659</v>
      </c>
      <c r="D37" s="22">
        <f t="shared" si="55"/>
        <v>0.45602769078622063</v>
      </c>
      <c r="E37" s="22">
        <f t="shared" si="55"/>
        <v>0.39999999999999991</v>
      </c>
      <c r="F37" s="22">
        <f t="shared" si="55"/>
        <v>0.39999999999999991</v>
      </c>
      <c r="G37" s="22">
        <f t="shared" si="55"/>
        <v>0.40000000000000013</v>
      </c>
      <c r="H37" s="22">
        <f t="shared" si="55"/>
        <v>0.39999999999999991</v>
      </c>
      <c r="I37" s="22">
        <f t="shared" si="55"/>
        <v>0.39999999999999969</v>
      </c>
      <c r="J37" s="22">
        <f t="shared" si="55"/>
        <v>5.0000000000000044E-2</v>
      </c>
      <c r="K37" s="22">
        <f t="shared" si="55"/>
        <v>5.0000000000000044E-2</v>
      </c>
      <c r="L37" s="22">
        <f t="shared" si="55"/>
        <v>5.0000000000000044E-2</v>
      </c>
      <c r="M37" s="22">
        <f t="shared" si="55"/>
        <v>5.0000000000000044E-2</v>
      </c>
      <c r="N37" s="22">
        <f t="shared" si="55"/>
        <v>5.0000000000000044E-2</v>
      </c>
      <c r="O37" s="22">
        <f t="shared" si="55"/>
        <v>5.0000000000000044E-2</v>
      </c>
      <c r="P37" s="22"/>
      <c r="Q37" s="22"/>
      <c r="R37" s="22"/>
      <c r="S37" s="22"/>
      <c r="T37" s="22"/>
    </row>
    <row r="38" spans="1:120" x14ac:dyDescent="0.15">
      <c r="A38" s="3" t="s">
        <v>32</v>
      </c>
      <c r="B38" s="22"/>
      <c r="C38" s="22">
        <f t="shared" ref="C38:O38" si="56">C21/B21-1</f>
        <v>0.44217539089055036</v>
      </c>
      <c r="D38" s="22">
        <f t="shared" si="56"/>
        <v>0.31504449807677792</v>
      </c>
      <c r="E38" s="22">
        <f t="shared" si="56"/>
        <v>0.19999999999999996</v>
      </c>
      <c r="F38" s="22">
        <f t="shared" si="56"/>
        <v>0.19999999999999996</v>
      </c>
      <c r="G38" s="22">
        <f t="shared" si="56"/>
        <v>0.19999999999999996</v>
      </c>
      <c r="H38" s="22">
        <f t="shared" si="56"/>
        <v>0.19999999999999996</v>
      </c>
      <c r="I38" s="22">
        <f t="shared" si="56"/>
        <v>0.19999999999999996</v>
      </c>
      <c r="J38" s="22">
        <f t="shared" si="56"/>
        <v>-2.0000000000000018E-2</v>
      </c>
      <c r="K38" s="22">
        <f t="shared" si="56"/>
        <v>-2.0000000000000018E-2</v>
      </c>
      <c r="L38" s="22">
        <f t="shared" si="56"/>
        <v>-2.0000000000000018E-2</v>
      </c>
      <c r="M38" s="22">
        <f t="shared" si="56"/>
        <v>-1.9999999999999907E-2</v>
      </c>
      <c r="N38" s="22">
        <f t="shared" si="56"/>
        <v>-1.9999999999999907E-2</v>
      </c>
      <c r="O38" s="22">
        <f t="shared" si="56"/>
        <v>-2.0000000000000018E-2</v>
      </c>
      <c r="P38" s="22"/>
      <c r="Q38" s="22"/>
      <c r="R38" s="22"/>
      <c r="S38" s="22"/>
      <c r="T38" s="22"/>
    </row>
    <row r="39" spans="1:120" s="5" customFormat="1" x14ac:dyDescent="0.15">
      <c r="A39" s="5" t="s">
        <v>95</v>
      </c>
      <c r="B39" s="62"/>
      <c r="C39" s="62">
        <f>C22/B22-1</f>
        <v>0.41892022081137603</v>
      </c>
      <c r="D39" s="62">
        <f t="shared" ref="D39:O39" si="57">D22/C22-1</f>
        <v>0.49378133858401352</v>
      </c>
      <c r="E39" s="62">
        <f t="shared" si="57"/>
        <v>0.41923854080661194</v>
      </c>
      <c r="F39" s="62">
        <f t="shared" si="57"/>
        <v>0.4288289028931962</v>
      </c>
      <c r="G39" s="62">
        <f t="shared" si="57"/>
        <v>0.43783950877027555</v>
      </c>
      <c r="H39" s="62">
        <f t="shared" si="57"/>
        <v>0.44627093703939269</v>
      </c>
      <c r="I39" s="62">
        <f t="shared" si="57"/>
        <v>0.45413619383735626</v>
      </c>
      <c r="J39" s="62">
        <f t="shared" si="57"/>
        <v>3.0633332226277732E-2</v>
      </c>
      <c r="K39" s="62">
        <f>K22/J22-1</f>
        <v>3.1007887577569671E-2</v>
      </c>
      <c r="L39" s="62">
        <f t="shared" si="57"/>
        <v>3.1376761752000659E-2</v>
      </c>
      <c r="M39" s="62">
        <f t="shared" si="57"/>
        <v>3.1740013044751825E-2</v>
      </c>
      <c r="N39" s="62">
        <f t="shared" si="57"/>
        <v>3.2097700788116468E-2</v>
      </c>
      <c r="O39" s="62">
        <f t="shared" si="57"/>
        <v>3.2449885062198813E-2</v>
      </c>
      <c r="P39" s="14"/>
      <c r="Q39" s="14"/>
      <c r="R39" s="14"/>
      <c r="S39" s="14"/>
      <c r="T39" s="14"/>
    </row>
    <row r="40" spans="1:120" x14ac:dyDescent="0.15"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"/>
      <c r="Q40" s="6"/>
      <c r="R40" s="6"/>
      <c r="S40" s="6"/>
      <c r="T40" s="6"/>
    </row>
    <row r="41" spans="1:120" x14ac:dyDescent="0.15">
      <c r="A41" s="2" t="s">
        <v>18</v>
      </c>
      <c r="B41" s="17">
        <f>B42-B43</f>
        <v>278.97399999999999</v>
      </c>
      <c r="C41" s="17">
        <f>C42-C43</f>
        <v>249.11200000000002</v>
      </c>
      <c r="D41" s="17">
        <f>D42-D43</f>
        <v>199</v>
      </c>
      <c r="E41" s="49">
        <f>D41+E27</f>
        <v>37.985522169219109</v>
      </c>
      <c r="F41" s="49">
        <f t="shared" ref="F41:O41" si="58">E41+F27</f>
        <v>-133.58074754004562</v>
      </c>
      <c r="G41" s="49">
        <f t="shared" si="58"/>
        <v>-259.42422767161048</v>
      </c>
      <c r="H41" s="49">
        <f t="shared" si="58"/>
        <v>-304.12463708519215</v>
      </c>
      <c r="I41" s="49">
        <f t="shared" si="58"/>
        <v>-152.19198588514513</v>
      </c>
      <c r="J41" s="49">
        <f t="shared" si="58"/>
        <v>181.77206964842361</v>
      </c>
      <c r="K41" s="49">
        <f t="shared" si="58"/>
        <v>727.04936499067844</v>
      </c>
      <c r="L41" s="49">
        <f t="shared" si="58"/>
        <v>1516.4904054813865</v>
      </c>
      <c r="M41" s="49">
        <f t="shared" si="58"/>
        <v>2586.9053495289554</v>
      </c>
      <c r="N41" s="49">
        <f t="shared" si="58"/>
        <v>3979.4958729468121</v>
      </c>
      <c r="O41" s="49">
        <f t="shared" si="58"/>
        <v>5740.3320943138688</v>
      </c>
      <c r="P41" s="18"/>
      <c r="Q41" s="18"/>
      <c r="R41" s="18"/>
      <c r="S41" s="18"/>
      <c r="T41" s="18"/>
    </row>
    <row r="42" spans="1:120" x14ac:dyDescent="0.15">
      <c r="A42" s="3" t="s">
        <v>19</v>
      </c>
      <c r="B42" s="51">
        <f>Reports!E36</f>
        <v>278.97399999999999</v>
      </c>
      <c r="C42" s="51">
        <f>Reports!I36</f>
        <v>465.97</v>
      </c>
      <c r="D42" s="51">
        <f>Reports!M36</f>
        <v>426</v>
      </c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8"/>
      <c r="Q42" s="8"/>
      <c r="R42" s="8"/>
      <c r="S42" s="8"/>
      <c r="T42" s="8"/>
    </row>
    <row r="43" spans="1:120" x14ac:dyDescent="0.15">
      <c r="A43" s="3" t="s">
        <v>20</v>
      </c>
      <c r="B43" s="51">
        <f>Reports!E37</f>
        <v>0</v>
      </c>
      <c r="C43" s="51">
        <f>Reports!I37</f>
        <v>216.858</v>
      </c>
      <c r="D43" s="51">
        <f>Reports!M37</f>
        <v>227</v>
      </c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8"/>
      <c r="Q43" s="8"/>
      <c r="R43" s="8"/>
      <c r="S43" s="8"/>
      <c r="T43" s="8"/>
    </row>
    <row r="44" spans="1:120" x14ac:dyDescent="0.15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5"/>
      <c r="Q44" s="25"/>
      <c r="R44" s="25"/>
      <c r="S44" s="25"/>
      <c r="T44" s="25"/>
    </row>
    <row r="45" spans="1:120" x14ac:dyDescent="0.15">
      <c r="A45" s="3" t="s">
        <v>45</v>
      </c>
      <c r="B45" s="50">
        <f>Reports!E39</f>
        <v>3.327</v>
      </c>
      <c r="C45" s="51">
        <f>Reports!I39</f>
        <v>57.771999999999998</v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</row>
    <row r="46" spans="1:120" x14ac:dyDescent="0.15">
      <c r="A46" s="3" t="s">
        <v>46</v>
      </c>
      <c r="B46" s="50">
        <f>Reports!E40</f>
        <v>415.19600000000003</v>
      </c>
      <c r="C46" s="51">
        <f>Reports!I40</f>
        <v>733.476</v>
      </c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</row>
    <row r="47" spans="1:120" x14ac:dyDescent="0.15">
      <c r="A47" s="3" t="s">
        <v>47</v>
      </c>
      <c r="B47" s="50">
        <f>Reports!E41</f>
        <v>221.703</v>
      </c>
      <c r="C47" s="51">
        <f>Reports!I41</f>
        <v>468.91</v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</row>
    <row r="49" spans="1:120" x14ac:dyDescent="0.15">
      <c r="A49" s="3" t="s">
        <v>48</v>
      </c>
      <c r="B49" s="52">
        <f>B46-B45-B42</f>
        <v>132.89500000000004</v>
      </c>
      <c r="C49" s="52">
        <f>C46-C45-C42</f>
        <v>209.73399999999992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</row>
    <row r="50" spans="1:120" x14ac:dyDescent="0.15">
      <c r="A50" s="3" t="s">
        <v>49</v>
      </c>
      <c r="B50" s="52">
        <f>B46-B47</f>
        <v>193.49300000000002</v>
      </c>
      <c r="C50" s="52">
        <f>C46-C47</f>
        <v>264.56599999999997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</row>
    <row r="52" spans="1:120" x14ac:dyDescent="0.15">
      <c r="A52" s="26" t="s">
        <v>51</v>
      </c>
      <c r="B52" s="27">
        <f>B27/B50</f>
        <v>-0.46367362126795281</v>
      </c>
      <c r="C52" s="27">
        <f>C27/C50</f>
        <v>-0.420866626853035</v>
      </c>
    </row>
    <row r="53" spans="1:120" x14ac:dyDescent="0.15">
      <c r="A53" s="26" t="s">
        <v>52</v>
      </c>
      <c r="B53" s="27">
        <f>B27/B46</f>
        <v>-0.21608493338086107</v>
      </c>
      <c r="C53" s="27">
        <f>C27/C46</f>
        <v>-0.1518072847646004</v>
      </c>
    </row>
    <row r="54" spans="1:120" x14ac:dyDescent="0.15">
      <c r="A54" s="26" t="s">
        <v>53</v>
      </c>
      <c r="B54" s="27">
        <f>B27/(B50-B45)</f>
        <v>-0.47178570301736372</v>
      </c>
      <c r="C54" s="27">
        <f>C27/(C50-C45)</f>
        <v>-0.53844405543681184</v>
      </c>
    </row>
    <row r="55" spans="1:120" x14ac:dyDescent="0.15">
      <c r="A55" s="26" t="s">
        <v>54</v>
      </c>
      <c r="B55" s="27">
        <f>B27/B49</f>
        <v>-0.67510139583882001</v>
      </c>
      <c r="C55" s="27">
        <f>C27/C49</f>
        <v>-0.53089627814279083</v>
      </c>
    </row>
    <row r="57" spans="1:120" x14ac:dyDescent="0.15">
      <c r="A57" s="3" t="s">
        <v>75</v>
      </c>
      <c r="B57" s="27"/>
      <c r="C57" s="27">
        <f t="shared" ref="C57:H58" si="59">C10/B10-1</f>
        <v>0.63396554438368002</v>
      </c>
      <c r="D57" s="27">
        <f t="shared" si="59"/>
        <v>0.6203465089391933</v>
      </c>
      <c r="E57" s="27">
        <f t="shared" si="59"/>
        <v>0.60000000000000009</v>
      </c>
      <c r="F57" s="27">
        <f t="shared" si="59"/>
        <v>0.60000000000000009</v>
      </c>
      <c r="G57" s="27">
        <f t="shared" si="59"/>
        <v>0.60000000000000009</v>
      </c>
      <c r="H57" s="27">
        <f t="shared" si="59"/>
        <v>0.60000000000000009</v>
      </c>
      <c r="I57" s="27">
        <f t="shared" ref="I57" si="60">I10/H10-1</f>
        <v>0.60000000000000009</v>
      </c>
    </row>
    <row r="58" spans="1:120" x14ac:dyDescent="0.15">
      <c r="A58" s="3" t="s">
        <v>76</v>
      </c>
      <c r="B58" s="27"/>
      <c r="C58" s="27">
        <f t="shared" si="59"/>
        <v>0.36833482275841534</v>
      </c>
      <c r="D58" s="27">
        <f t="shared" si="59"/>
        <v>0.20912158484815491</v>
      </c>
      <c r="E58" s="27">
        <f t="shared" si="59"/>
        <v>0.25</v>
      </c>
      <c r="F58" s="27">
        <f t="shared" si="59"/>
        <v>0.25</v>
      </c>
      <c r="G58" s="27">
        <f t="shared" si="59"/>
        <v>0.25</v>
      </c>
      <c r="H58" s="27">
        <f t="shared" si="59"/>
        <v>0.25</v>
      </c>
      <c r="I58" s="27">
        <f t="shared" ref="I58" si="61">I11/H11-1</f>
        <v>0.25</v>
      </c>
    </row>
    <row r="60" spans="1:120" s="27" customFormat="1" x14ac:dyDescent="0.15">
      <c r="A60" s="27" t="s">
        <v>59</v>
      </c>
    </row>
    <row r="61" spans="1:120" s="27" customFormat="1" x14ac:dyDescent="0.15">
      <c r="A61" s="27" t="s">
        <v>60</v>
      </c>
    </row>
    <row r="63" spans="1:120" x14ac:dyDescent="0.15">
      <c r="A63" s="3" t="s">
        <v>77</v>
      </c>
      <c r="B63" s="16">
        <f>Reports!E58</f>
        <v>5700</v>
      </c>
      <c r="C63" s="16">
        <f>Reports!I58</f>
        <v>13400</v>
      </c>
    </row>
    <row r="64" spans="1:120" x14ac:dyDescent="0.15">
      <c r="A64" s="3" t="s">
        <v>85</v>
      </c>
      <c r="C64" s="27">
        <f>C63/B63-1</f>
        <v>1.3508771929824563</v>
      </c>
    </row>
  </sheetData>
  <hyperlinks>
    <hyperlink ref="A1" r:id="rId1" xr:uid="{00000000-0004-0000-0000-000000000000}"/>
    <hyperlink ref="A4" r:id="rId2" xr:uid="{00000000-0004-0000-0000-000001000000}"/>
    <hyperlink ref="A7" r:id="rId3" xr:uid="{00000000-0004-0000-0000-000002000000}"/>
    <hyperlink ref="A8" r:id="rId4" xr:uid="{00000000-0004-0000-0000-000003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9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N8" sqref="N8"/>
    </sheetView>
  </sheetViews>
  <sheetFormatPr baseColWidth="10" defaultRowHeight="13" x14ac:dyDescent="0.15"/>
  <cols>
    <col min="1" max="1" width="17.5" style="6" bestFit="1" customWidth="1"/>
    <col min="2" max="2" width="10.83203125" style="29"/>
    <col min="3" max="5" width="10.83203125" style="28"/>
    <col min="6" max="6" width="10.83203125" style="29"/>
    <col min="7" max="9" width="10.83203125" style="28"/>
    <col min="10" max="10" width="10.83203125" style="29"/>
    <col min="11" max="13" width="10.83203125" style="28"/>
    <col min="14" max="16384" width="10.83203125" style="6"/>
  </cols>
  <sheetData>
    <row r="1" spans="1:13" x14ac:dyDescent="0.15">
      <c r="A1" s="1" t="s">
        <v>33</v>
      </c>
      <c r="B1" s="30" t="s">
        <v>26</v>
      </c>
      <c r="C1" s="31" t="s">
        <v>27</v>
      </c>
      <c r="D1" s="31" t="s">
        <v>28</v>
      </c>
      <c r="E1" s="31" t="s">
        <v>29</v>
      </c>
      <c r="F1" s="30" t="s">
        <v>41</v>
      </c>
      <c r="G1" s="31" t="s">
        <v>42</v>
      </c>
      <c r="H1" s="31" t="s">
        <v>43</v>
      </c>
      <c r="I1" s="31" t="s">
        <v>44</v>
      </c>
      <c r="J1" s="30" t="s">
        <v>68</v>
      </c>
      <c r="K1" s="31" t="s">
        <v>69</v>
      </c>
      <c r="L1" s="31" t="s">
        <v>70</v>
      </c>
      <c r="M1" s="31" t="s">
        <v>71</v>
      </c>
    </row>
    <row r="2" spans="1:13" s="28" customFormat="1" x14ac:dyDescent="0.15">
      <c r="A2" s="1"/>
      <c r="B2" s="29" t="s">
        <v>84</v>
      </c>
      <c r="C2" s="28" t="s">
        <v>83</v>
      </c>
      <c r="D2" s="28" t="s">
        <v>82</v>
      </c>
      <c r="E2" s="28" t="s">
        <v>81</v>
      </c>
      <c r="F2" s="29" t="s">
        <v>74</v>
      </c>
      <c r="G2" s="28" t="s">
        <v>80</v>
      </c>
      <c r="H2" s="28" t="s">
        <v>79</v>
      </c>
      <c r="I2" s="28" t="s">
        <v>78</v>
      </c>
      <c r="J2" s="29" t="s">
        <v>74</v>
      </c>
      <c r="K2" s="28" t="s">
        <v>90</v>
      </c>
      <c r="L2" s="28" t="s">
        <v>91</v>
      </c>
      <c r="M2" s="28" t="s">
        <v>92</v>
      </c>
    </row>
    <row r="3" spans="1:13" s="8" customFormat="1" x14ac:dyDescent="0.15">
      <c r="A3" s="8" t="s">
        <v>72</v>
      </c>
      <c r="B3" s="30">
        <v>29.187000000000001</v>
      </c>
      <c r="C3" s="31">
        <v>32.530999999999999</v>
      </c>
      <c r="D3" s="31">
        <v>37.884999999999998</v>
      </c>
      <c r="E3" s="31">
        <v>46.497999999999998</v>
      </c>
      <c r="F3" s="30">
        <v>46.069000000000003</v>
      </c>
      <c r="G3" s="31">
        <v>51.933</v>
      </c>
      <c r="H3" s="31">
        <v>60.09</v>
      </c>
      <c r="I3" s="31">
        <v>80.632000000000005</v>
      </c>
      <c r="J3" s="30">
        <v>83.994</v>
      </c>
      <c r="K3" s="31">
        <v>94</v>
      </c>
      <c r="L3" s="31">
        <v>104</v>
      </c>
      <c r="M3" s="31">
        <f>I3*1.3</f>
        <v>104.8216</v>
      </c>
    </row>
    <row r="4" spans="1:13" s="8" customFormat="1" x14ac:dyDescent="0.15">
      <c r="A4" s="8" t="s">
        <v>73</v>
      </c>
      <c r="B4" s="30">
        <v>3.2029999999999998</v>
      </c>
      <c r="C4" s="31">
        <v>3.069</v>
      </c>
      <c r="D4" s="31">
        <v>3.6030000000000002</v>
      </c>
      <c r="E4" s="31">
        <v>3.5529999999999999</v>
      </c>
      <c r="F4" s="30">
        <v>4.07</v>
      </c>
      <c r="G4" s="31">
        <v>4.5570000000000004</v>
      </c>
      <c r="H4" s="31">
        <v>4.8949999999999996</v>
      </c>
      <c r="I4" s="31">
        <v>4.8520000000000003</v>
      </c>
      <c r="J4" s="30">
        <v>5.3940000000000001</v>
      </c>
      <c r="K4" s="31">
        <v>5</v>
      </c>
      <c r="L4" s="31">
        <v>6</v>
      </c>
      <c r="M4" s="31">
        <f>I4*1.2</f>
        <v>5.8224</v>
      </c>
    </row>
    <row r="5" spans="1:13" x14ac:dyDescent="0.15">
      <c r="B5" s="30"/>
      <c r="C5" s="31"/>
      <c r="D5" s="31"/>
      <c r="E5" s="31"/>
      <c r="F5" s="30"/>
      <c r="G5" s="31"/>
      <c r="H5" s="31"/>
      <c r="I5" s="31"/>
      <c r="K5" s="31"/>
      <c r="L5" s="31"/>
      <c r="M5" s="31"/>
    </row>
    <row r="6" spans="1:13" s="63" customFormat="1" x14ac:dyDescent="0.15">
      <c r="A6" s="63" t="s">
        <v>86</v>
      </c>
      <c r="B6" s="65"/>
      <c r="C6" s="64"/>
      <c r="D6" s="64"/>
      <c r="E6" s="64"/>
      <c r="F6" s="65"/>
      <c r="G6" s="64"/>
      <c r="H6" s="64"/>
      <c r="I6" s="64"/>
      <c r="J6" s="65"/>
      <c r="K6" s="64"/>
      <c r="L6" s="64"/>
      <c r="M6" s="64"/>
    </row>
    <row r="7" spans="1:13" s="4" customFormat="1" x14ac:dyDescent="0.15">
      <c r="A7" s="4" t="s">
        <v>58</v>
      </c>
      <c r="B7" s="58"/>
      <c r="C7" s="57"/>
      <c r="D7" s="57"/>
      <c r="E7" s="57"/>
      <c r="F7" s="58"/>
      <c r="G7" s="57"/>
      <c r="H7" s="57"/>
      <c r="I7" s="57"/>
      <c r="J7" s="58"/>
      <c r="K7" s="57"/>
      <c r="L7" s="57"/>
      <c r="M7" s="57"/>
    </row>
    <row r="8" spans="1:13" x14ac:dyDescent="0.15">
      <c r="M8" s="28" t="s">
        <v>93</v>
      </c>
    </row>
    <row r="9" spans="1:13" s="12" customFormat="1" x14ac:dyDescent="0.15">
      <c r="A9" s="12" t="s">
        <v>0</v>
      </c>
      <c r="B9" s="34">
        <f t="shared" ref="B9:J9" si="0">SUM(B3:B4)</f>
        <v>32.39</v>
      </c>
      <c r="C9" s="33">
        <f t="shared" si="0"/>
        <v>35.6</v>
      </c>
      <c r="D9" s="33">
        <f t="shared" si="0"/>
        <v>41.488</v>
      </c>
      <c r="E9" s="33">
        <f t="shared" si="0"/>
        <v>50.050999999999995</v>
      </c>
      <c r="F9" s="34">
        <f t="shared" si="0"/>
        <v>50.139000000000003</v>
      </c>
      <c r="G9" s="33">
        <f t="shared" si="0"/>
        <v>56.49</v>
      </c>
      <c r="H9" s="33">
        <f t="shared" si="0"/>
        <v>64.984999999999999</v>
      </c>
      <c r="I9" s="33">
        <f t="shared" si="0"/>
        <v>85.484000000000009</v>
      </c>
      <c r="J9" s="34">
        <f t="shared" si="0"/>
        <v>89.388000000000005</v>
      </c>
      <c r="K9" s="33">
        <f>SUM(K3:K4)</f>
        <v>99</v>
      </c>
      <c r="L9" s="33">
        <f>SUM(L3:L4)</f>
        <v>110</v>
      </c>
      <c r="M9" s="33">
        <f>SUM(M3:M4)</f>
        <v>110.64400000000001</v>
      </c>
    </row>
    <row r="10" spans="1:13" x14ac:dyDescent="0.15">
      <c r="A10" s="6" t="s">
        <v>1</v>
      </c>
      <c r="B10" s="30">
        <v>9.1989999999999998</v>
      </c>
      <c r="C10" s="31">
        <v>10.188000000000001</v>
      </c>
      <c r="D10" s="31">
        <v>11.071</v>
      </c>
      <c r="E10" s="31">
        <v>12.401</v>
      </c>
      <c r="F10" s="30">
        <v>13.749000000000001</v>
      </c>
      <c r="G10" s="31">
        <v>16.494</v>
      </c>
      <c r="H10" s="31">
        <v>17.757999999999999</v>
      </c>
      <c r="I10" s="31">
        <v>25.567</v>
      </c>
      <c r="J10" s="30">
        <v>28.172000000000001</v>
      </c>
      <c r="K10" s="31">
        <v>30</v>
      </c>
      <c r="L10" s="31">
        <v>32</v>
      </c>
      <c r="M10" s="31">
        <v>32</v>
      </c>
    </row>
    <row r="11" spans="1:13" x14ac:dyDescent="0.15">
      <c r="A11" s="6" t="s">
        <v>2</v>
      </c>
      <c r="B11" s="36">
        <f t="shared" ref="B11:D11" si="1">B9-B10</f>
        <v>23.191000000000003</v>
      </c>
      <c r="C11" s="35">
        <f t="shared" si="1"/>
        <v>25.411999999999999</v>
      </c>
      <c r="D11" s="35">
        <f t="shared" si="1"/>
        <v>30.417000000000002</v>
      </c>
      <c r="E11" s="35">
        <f t="shared" ref="E11" si="2">E9-E10</f>
        <v>37.649999999999991</v>
      </c>
      <c r="F11" s="36">
        <f>F9-F10</f>
        <v>36.39</v>
      </c>
      <c r="G11" s="35">
        <f>G9-G10</f>
        <v>39.996000000000002</v>
      </c>
      <c r="H11" s="35">
        <f t="shared" ref="H11:I11" si="3">H9-H10</f>
        <v>47.227000000000004</v>
      </c>
      <c r="I11" s="35">
        <f t="shared" si="3"/>
        <v>59.917000000000009</v>
      </c>
      <c r="J11" s="36">
        <f t="shared" ref="J11:K11" si="4">J9-J10</f>
        <v>61.216000000000008</v>
      </c>
      <c r="K11" s="35">
        <f t="shared" si="4"/>
        <v>69</v>
      </c>
      <c r="L11" s="35">
        <f t="shared" ref="L11:M11" si="5">L9-L10</f>
        <v>78</v>
      </c>
      <c r="M11" s="35">
        <f t="shared" si="5"/>
        <v>78.644000000000005</v>
      </c>
    </row>
    <row r="12" spans="1:13" x14ac:dyDescent="0.15">
      <c r="A12" s="6" t="s">
        <v>3</v>
      </c>
      <c r="B12" s="30">
        <v>13.077</v>
      </c>
      <c r="C12" s="31">
        <v>15.749000000000001</v>
      </c>
      <c r="D12" s="31">
        <v>16.588000000000001</v>
      </c>
      <c r="E12" s="31">
        <v>16.788</v>
      </c>
      <c r="F12" s="30">
        <v>18.645</v>
      </c>
      <c r="G12" s="31">
        <v>21.43</v>
      </c>
      <c r="H12" s="31">
        <v>23.178999999999998</v>
      </c>
      <c r="I12" s="31">
        <v>26.6</v>
      </c>
      <c r="J12" s="30">
        <v>30.867999999999999</v>
      </c>
      <c r="K12" s="31">
        <v>37</v>
      </c>
      <c r="L12" s="31">
        <v>39</v>
      </c>
      <c r="M12" s="31">
        <f>I12*1.6</f>
        <v>42.56</v>
      </c>
    </row>
    <row r="13" spans="1:13" x14ac:dyDescent="0.15">
      <c r="A13" s="6" t="s">
        <v>4</v>
      </c>
      <c r="B13" s="30">
        <v>22.145</v>
      </c>
      <c r="C13" s="31">
        <v>26.891999999999999</v>
      </c>
      <c r="D13" s="31">
        <v>28.05</v>
      </c>
      <c r="E13" s="31">
        <v>31.533999999999999</v>
      </c>
      <c r="F13" s="30">
        <v>33.197000000000003</v>
      </c>
      <c r="G13" s="31">
        <v>37.880000000000003</v>
      </c>
      <c r="H13" s="31">
        <v>38.116</v>
      </c>
      <c r="I13" s="31">
        <v>42.481999999999999</v>
      </c>
      <c r="J13" s="30">
        <v>46.12</v>
      </c>
      <c r="K13" s="31">
        <v>54</v>
      </c>
      <c r="L13" s="31">
        <v>57</v>
      </c>
      <c r="M13" s="31">
        <f>I13*1.5</f>
        <v>63.722999999999999</v>
      </c>
    </row>
    <row r="14" spans="1:13" x14ac:dyDescent="0.15">
      <c r="A14" s="6" t="s">
        <v>5</v>
      </c>
      <c r="B14" s="30">
        <v>7.7709999999999999</v>
      </c>
      <c r="C14" s="31">
        <v>8.9329999999999998</v>
      </c>
      <c r="D14" s="31">
        <v>9.8290000000000006</v>
      </c>
      <c r="E14" s="31">
        <v>10.242000000000001</v>
      </c>
      <c r="F14" s="30">
        <v>11.227</v>
      </c>
      <c r="G14" s="31">
        <v>12.254</v>
      </c>
      <c r="H14" s="31">
        <v>14.986000000000001</v>
      </c>
      <c r="I14" s="31">
        <v>14.569000000000001</v>
      </c>
      <c r="J14" s="30">
        <v>14.805</v>
      </c>
      <c r="K14" s="31">
        <v>16</v>
      </c>
      <c r="L14" s="31">
        <v>20</v>
      </c>
      <c r="M14" s="31">
        <f>I14*1.3</f>
        <v>18.939700000000002</v>
      </c>
    </row>
    <row r="15" spans="1:13" x14ac:dyDescent="0.15">
      <c r="A15" s="6" t="s">
        <v>6</v>
      </c>
      <c r="B15" s="36">
        <f t="shared" ref="B15:D15" si="6">SUM(B12:B14)</f>
        <v>42.993000000000002</v>
      </c>
      <c r="C15" s="35">
        <f t="shared" si="6"/>
        <v>51.573999999999998</v>
      </c>
      <c r="D15" s="35">
        <f t="shared" si="6"/>
        <v>54.467000000000006</v>
      </c>
      <c r="E15" s="35">
        <f t="shared" ref="E15:F15" si="7">SUM(E12:E14)</f>
        <v>58.564000000000007</v>
      </c>
      <c r="F15" s="36">
        <f t="shared" si="7"/>
        <v>63.069000000000003</v>
      </c>
      <c r="G15" s="35">
        <f t="shared" ref="G15:H15" si="8">SUM(G12:G14)</f>
        <v>71.564000000000007</v>
      </c>
      <c r="H15" s="35">
        <f t="shared" si="8"/>
        <v>76.281000000000006</v>
      </c>
      <c r="I15" s="35">
        <f t="shared" ref="I15:K15" si="9">SUM(I12:I14)</f>
        <v>83.650999999999996</v>
      </c>
      <c r="J15" s="36">
        <f t="shared" si="9"/>
        <v>91.793000000000006</v>
      </c>
      <c r="K15" s="35">
        <f t="shared" si="9"/>
        <v>107</v>
      </c>
      <c r="L15" s="35">
        <f t="shared" ref="L15:M15" si="10">SUM(L12:L14)</f>
        <v>116</v>
      </c>
      <c r="M15" s="35">
        <f t="shared" si="10"/>
        <v>125.2227</v>
      </c>
    </row>
    <row r="16" spans="1:13" x14ac:dyDescent="0.15">
      <c r="A16" s="6" t="s">
        <v>7</v>
      </c>
      <c r="B16" s="36">
        <f t="shared" ref="B16:H16" si="11">B11-B15</f>
        <v>-19.802</v>
      </c>
      <c r="C16" s="35">
        <f t="shared" si="11"/>
        <v>-26.161999999999999</v>
      </c>
      <c r="D16" s="35">
        <f t="shared" si="11"/>
        <v>-24.050000000000004</v>
      </c>
      <c r="E16" s="35">
        <f t="shared" si="11"/>
        <v>-20.914000000000016</v>
      </c>
      <c r="F16" s="36">
        <f t="shared" si="11"/>
        <v>-26.679000000000002</v>
      </c>
      <c r="G16" s="35">
        <f t="shared" si="11"/>
        <v>-31.568000000000005</v>
      </c>
      <c r="H16" s="35">
        <f t="shared" si="11"/>
        <v>-29.054000000000002</v>
      </c>
      <c r="I16" s="35">
        <f t="shared" ref="I16:K16" si="12">I11-I15</f>
        <v>-23.733999999999988</v>
      </c>
      <c r="J16" s="36">
        <f t="shared" si="12"/>
        <v>-30.576999999999998</v>
      </c>
      <c r="K16" s="35">
        <f t="shared" si="12"/>
        <v>-38</v>
      </c>
      <c r="L16" s="35">
        <f t="shared" ref="L16:M16" si="13">L11-L15</f>
        <v>-38</v>
      </c>
      <c r="M16" s="35">
        <f t="shared" si="13"/>
        <v>-46.578699999999998</v>
      </c>
    </row>
    <row r="17" spans="1:13" x14ac:dyDescent="0.15">
      <c r="A17" s="6" t="s">
        <v>8</v>
      </c>
      <c r="B17" s="30">
        <v>0.34100000000000003</v>
      </c>
      <c r="C17" s="31">
        <v>0.33500000000000002</v>
      </c>
      <c r="D17" s="31">
        <v>0.17</v>
      </c>
      <c r="E17" s="31">
        <v>1.349</v>
      </c>
      <c r="F17" s="30">
        <f>0.959-0.368</f>
        <v>0.59099999999999997</v>
      </c>
      <c r="G17" s="31">
        <v>-0.432</v>
      </c>
      <c r="H17" s="31">
        <v>-2.2989999999999999</v>
      </c>
      <c r="I17" s="31">
        <v>-2.4239999999999999</v>
      </c>
      <c r="J17" s="30">
        <f>2.303-4.689-0.415</f>
        <v>-2.8010000000000002</v>
      </c>
      <c r="K17" s="31">
        <f>2-5</f>
        <v>-3</v>
      </c>
      <c r="L17" s="31">
        <f>2-5</f>
        <v>-3</v>
      </c>
      <c r="M17" s="31">
        <f>2-5</f>
        <v>-3</v>
      </c>
    </row>
    <row r="18" spans="1:13" x14ac:dyDescent="0.15">
      <c r="A18" s="6" t="s">
        <v>9</v>
      </c>
      <c r="B18" s="36">
        <f t="shared" ref="B18:C18" si="14">B16+B17</f>
        <v>-19.460999999999999</v>
      </c>
      <c r="C18" s="35">
        <f t="shared" si="14"/>
        <v>-25.826999999999998</v>
      </c>
      <c r="D18" s="35">
        <f t="shared" ref="D18:F18" si="15">D16+D17</f>
        <v>-23.880000000000003</v>
      </c>
      <c r="E18" s="35">
        <f>E16+E17</f>
        <v>-19.565000000000015</v>
      </c>
      <c r="F18" s="36">
        <f t="shared" si="15"/>
        <v>-26.088000000000001</v>
      </c>
      <c r="G18" s="35">
        <f t="shared" ref="G18" si="16">G16+G17</f>
        <v>-32.000000000000007</v>
      </c>
      <c r="H18" s="35">
        <f t="shared" ref="H18:M18" si="17">H16+H17</f>
        <v>-31.353000000000002</v>
      </c>
      <c r="I18" s="35">
        <f t="shared" si="17"/>
        <v>-26.157999999999987</v>
      </c>
      <c r="J18" s="36">
        <f t="shared" si="17"/>
        <v>-33.378</v>
      </c>
      <c r="K18" s="35">
        <f t="shared" si="17"/>
        <v>-41</v>
      </c>
      <c r="L18" s="35">
        <f t="shared" si="17"/>
        <v>-41</v>
      </c>
      <c r="M18" s="35">
        <f t="shared" si="17"/>
        <v>-49.578699999999998</v>
      </c>
    </row>
    <row r="19" spans="1:13" x14ac:dyDescent="0.15">
      <c r="A19" s="6" t="s">
        <v>10</v>
      </c>
      <c r="B19" s="30">
        <v>0.22900000000000001</v>
      </c>
      <c r="C19" s="31">
        <v>0.252</v>
      </c>
      <c r="D19" s="31">
        <v>3.3599999999999998E-2</v>
      </c>
      <c r="E19" s="31">
        <v>0.47</v>
      </c>
      <c r="F19" s="30">
        <v>-0.46700000000000003</v>
      </c>
      <c r="G19" s="31">
        <v>0.246</v>
      </c>
      <c r="H19" s="31">
        <v>-3.3000000000000002E-2</v>
      </c>
      <c r="I19" s="31">
        <v>-3.9980000000000002</v>
      </c>
      <c r="J19" s="30">
        <v>-0.13800000000000001</v>
      </c>
      <c r="K19" s="31">
        <v>-3</v>
      </c>
      <c r="L19" s="31">
        <v>1</v>
      </c>
      <c r="M19" s="31">
        <v>1</v>
      </c>
    </row>
    <row r="20" spans="1:13" s="14" customFormat="1" x14ac:dyDescent="0.15">
      <c r="A20" s="14" t="s">
        <v>66</v>
      </c>
      <c r="B20" s="54"/>
      <c r="C20" s="53"/>
      <c r="D20" s="53"/>
      <c r="E20" s="53"/>
      <c r="F20" s="54"/>
      <c r="G20" s="53"/>
      <c r="H20" s="53"/>
      <c r="I20" s="53"/>
      <c r="J20" s="54"/>
      <c r="K20" s="53"/>
      <c r="L20" s="53"/>
      <c r="M20" s="53"/>
    </row>
    <row r="21" spans="1:13" s="12" customFormat="1" x14ac:dyDescent="0.15">
      <c r="A21" s="12" t="s">
        <v>11</v>
      </c>
      <c r="B21" s="34">
        <f t="shared" ref="B21:G21" si="18">B18-B19</f>
        <v>-19.689999999999998</v>
      </c>
      <c r="C21" s="33">
        <f t="shared" si="18"/>
        <v>-26.078999999999997</v>
      </c>
      <c r="D21" s="33">
        <f t="shared" si="18"/>
        <v>-23.913600000000002</v>
      </c>
      <c r="E21" s="33">
        <f t="shared" si="18"/>
        <v>-20.035000000000014</v>
      </c>
      <c r="F21" s="34">
        <f t="shared" si="18"/>
        <v>-25.621000000000002</v>
      </c>
      <c r="G21" s="33">
        <f t="shared" si="18"/>
        <v>-32.246000000000009</v>
      </c>
      <c r="H21" s="33">
        <f t="shared" ref="H21:M21" si="19">H18-H19</f>
        <v>-31.32</v>
      </c>
      <c r="I21" s="33">
        <f t="shared" si="19"/>
        <v>-22.159999999999986</v>
      </c>
      <c r="J21" s="34">
        <f t="shared" si="19"/>
        <v>-33.24</v>
      </c>
      <c r="K21" s="33">
        <f t="shared" si="19"/>
        <v>-38</v>
      </c>
      <c r="L21" s="33">
        <f t="shared" si="19"/>
        <v>-42</v>
      </c>
      <c r="M21" s="33">
        <f t="shared" si="19"/>
        <v>-50.578699999999998</v>
      </c>
    </row>
    <row r="22" spans="1:13" x14ac:dyDescent="0.15">
      <c r="A22" s="6" t="s">
        <v>12</v>
      </c>
      <c r="B22" s="38">
        <f t="shared" ref="B22:D22" si="20">IFERROR(B21/B23,0)</f>
        <v>-1.4956824607645418</v>
      </c>
      <c r="C22" s="37">
        <f t="shared" si="20"/>
        <v>-1.9175121972201623</v>
      </c>
      <c r="D22" s="37">
        <f t="shared" si="20"/>
        <v>-1.3726375504674018</v>
      </c>
      <c r="E22" s="37">
        <f t="shared" ref="E22" si="21">IFERROR(E21/E23,0)</f>
        <v>-0.39841182526864438</v>
      </c>
      <c r="F22" s="38">
        <f t="shared" ref="F22:M22" si="22">IFERROR(F21/F23,0)</f>
        <v>-0.50885746850867208</v>
      </c>
      <c r="G22" s="37">
        <f t="shared" si="22"/>
        <v>-0.62998607919491212</v>
      </c>
      <c r="H22" s="37">
        <f t="shared" si="22"/>
        <v>-0.5942789155874616</v>
      </c>
      <c r="I22" s="37">
        <f t="shared" si="22"/>
        <v>-0.4117003072202069</v>
      </c>
      <c r="J22" s="38">
        <f t="shared" si="22"/>
        <v>-0.60755888797421997</v>
      </c>
      <c r="K22" s="37">
        <f t="shared" si="22"/>
        <v>-0.6785714285714286</v>
      </c>
      <c r="L22" s="37">
        <f t="shared" si="22"/>
        <v>-0.75</v>
      </c>
      <c r="M22" s="37">
        <f t="shared" si="22"/>
        <v>-0.90319107142857136</v>
      </c>
    </row>
    <row r="23" spans="1:13" s="8" customFormat="1" x14ac:dyDescent="0.15">
      <c r="A23" s="8" t="s">
        <v>13</v>
      </c>
      <c r="B23" s="30">
        <v>13.164559000000001</v>
      </c>
      <c r="C23" s="31">
        <v>13.600434999999999</v>
      </c>
      <c r="D23" s="31">
        <v>17.421641999999999</v>
      </c>
      <c r="E23" s="31">
        <v>50.287162000000002</v>
      </c>
      <c r="F23" s="30">
        <v>50.350051999999998</v>
      </c>
      <c r="G23" s="31">
        <v>51.185257999999997</v>
      </c>
      <c r="H23" s="31">
        <v>52.702525999999999</v>
      </c>
      <c r="I23" s="31">
        <v>53.825561</v>
      </c>
      <c r="J23" s="30">
        <v>54.710746</v>
      </c>
      <c r="K23" s="31">
        <v>56</v>
      </c>
      <c r="L23" s="31">
        <v>56</v>
      </c>
      <c r="M23" s="31">
        <v>56</v>
      </c>
    </row>
    <row r="24" spans="1:13" x14ac:dyDescent="0.15">
      <c r="B24" s="30"/>
      <c r="C24" s="31"/>
      <c r="D24" s="31"/>
      <c r="E24" s="31"/>
      <c r="I24" s="31"/>
    </row>
    <row r="25" spans="1:13" x14ac:dyDescent="0.15">
      <c r="A25" s="6" t="s">
        <v>15</v>
      </c>
      <c r="B25" s="44">
        <f t="shared" ref="B25:I25" si="23">IFERROR(B11/B9,0)</f>
        <v>0.71599259030564999</v>
      </c>
      <c r="C25" s="43">
        <f t="shared" si="23"/>
        <v>0.71382022471910112</v>
      </c>
      <c r="D25" s="43">
        <f t="shared" si="23"/>
        <v>0.73315175472425764</v>
      </c>
      <c r="E25" s="43">
        <f t="shared" si="23"/>
        <v>0.75223272262292451</v>
      </c>
      <c r="F25" s="44">
        <f t="shared" si="23"/>
        <v>0.72578232513612151</v>
      </c>
      <c r="G25" s="43">
        <f t="shared" si="23"/>
        <v>0.70801911842804033</v>
      </c>
      <c r="H25" s="43">
        <f t="shared" si="23"/>
        <v>0.72673693929368322</v>
      </c>
      <c r="I25" s="43">
        <f t="shared" si="23"/>
        <v>0.70091479107201349</v>
      </c>
      <c r="J25" s="44">
        <f t="shared" ref="J25:K25" si="24">IFERROR(J11/J9,0)</f>
        <v>0.68483465342104088</v>
      </c>
      <c r="K25" s="43">
        <f t="shared" si="24"/>
        <v>0.69696969696969702</v>
      </c>
      <c r="L25" s="43">
        <f t="shared" ref="L25:M25" si="25">IFERROR(L11/L9,0)</f>
        <v>0.70909090909090911</v>
      </c>
      <c r="M25" s="43">
        <f t="shared" si="25"/>
        <v>0.71078413650988759</v>
      </c>
    </row>
    <row r="26" spans="1:13" x14ac:dyDescent="0.15">
      <c r="A26" s="6" t="s">
        <v>16</v>
      </c>
      <c r="B26" s="46">
        <f t="shared" ref="B26:I26" si="26">IFERROR(B16/B9,0)</f>
        <v>-0.61136153133683235</v>
      </c>
      <c r="C26" s="45">
        <f t="shared" si="26"/>
        <v>-0.73488764044943811</v>
      </c>
      <c r="D26" s="45">
        <f t="shared" si="26"/>
        <v>-0.57968569224836108</v>
      </c>
      <c r="E26" s="45">
        <f t="shared" si="26"/>
        <v>-0.41785378913508259</v>
      </c>
      <c r="F26" s="46">
        <f t="shared" si="26"/>
        <v>-0.53210075988751271</v>
      </c>
      <c r="G26" s="45">
        <f t="shared" si="26"/>
        <v>-0.55882457072048153</v>
      </c>
      <c r="H26" s="45">
        <f t="shared" si="26"/>
        <v>-0.44708778948988231</v>
      </c>
      <c r="I26" s="45">
        <f t="shared" si="26"/>
        <v>-0.27764259978475486</v>
      </c>
      <c r="J26" s="46">
        <f t="shared" ref="J26:K26" si="27">IFERROR(J16/J9,0)</f>
        <v>-0.34207052400769672</v>
      </c>
      <c r="K26" s="45">
        <f t="shared" si="27"/>
        <v>-0.38383838383838381</v>
      </c>
      <c r="L26" s="45">
        <f t="shared" ref="L26:M26" si="28">IFERROR(L16/L9,0)</f>
        <v>-0.34545454545454546</v>
      </c>
      <c r="M26" s="45">
        <f t="shared" si="28"/>
        <v>-0.42097809189834057</v>
      </c>
    </row>
    <row r="27" spans="1:13" x14ac:dyDescent="0.15">
      <c r="A27" s="6" t="s">
        <v>17</v>
      </c>
      <c r="B27" s="46">
        <f t="shared" ref="B27:I27" si="29">IFERROR(B19/B18,0)</f>
        <v>-1.1767123991572891E-2</v>
      </c>
      <c r="C27" s="45">
        <f t="shared" si="29"/>
        <v>-9.757230804971543E-3</v>
      </c>
      <c r="D27" s="45">
        <f t="shared" si="29"/>
        <v>-1.4070351758793968E-3</v>
      </c>
      <c r="E27" s="45">
        <f t="shared" si="29"/>
        <v>-2.4022489138768189E-2</v>
      </c>
      <c r="F27" s="46">
        <f t="shared" si="29"/>
        <v>1.7900950628641523E-2</v>
      </c>
      <c r="G27" s="45">
        <f t="shared" si="29"/>
        <v>-7.6874999999999982E-3</v>
      </c>
      <c r="H27" s="45">
        <f t="shared" si="29"/>
        <v>1.0525308582910726E-3</v>
      </c>
      <c r="I27" s="45">
        <f t="shared" si="29"/>
        <v>0.15284043122562896</v>
      </c>
      <c r="J27" s="46">
        <f t="shared" ref="J27:K27" si="30">IFERROR(J19/J18,0)</f>
        <v>4.1344598238360602E-3</v>
      </c>
      <c r="K27" s="45">
        <f t="shared" si="30"/>
        <v>7.3170731707317069E-2</v>
      </c>
      <c r="L27" s="45">
        <f t="shared" ref="L27:M27" si="31">IFERROR(L19/L18,0)</f>
        <v>-2.4390243902439025E-2</v>
      </c>
      <c r="M27" s="45">
        <f t="shared" si="31"/>
        <v>-2.0169952015684157E-2</v>
      </c>
    </row>
    <row r="28" spans="1:13" x14ac:dyDescent="0.15">
      <c r="B28" s="30"/>
      <c r="C28" s="31"/>
      <c r="D28" s="31"/>
      <c r="E28" s="31"/>
      <c r="I28" s="31"/>
    </row>
    <row r="29" spans="1:13" s="12" customFormat="1" x14ac:dyDescent="0.15">
      <c r="A29" s="12" t="s">
        <v>14</v>
      </c>
      <c r="B29" s="30"/>
      <c r="C29" s="31"/>
      <c r="D29" s="31"/>
      <c r="E29" s="31"/>
      <c r="F29" s="40">
        <f t="shared" ref="F29:K29" si="32">IFERROR((F9/B9)-1,0)</f>
        <v>0.54797777091694977</v>
      </c>
      <c r="G29" s="39">
        <f t="shared" si="32"/>
        <v>0.58679775280898872</v>
      </c>
      <c r="H29" s="39">
        <f t="shared" si="32"/>
        <v>0.56635653682992682</v>
      </c>
      <c r="I29" s="39">
        <f t="shared" si="32"/>
        <v>0.70793790333859508</v>
      </c>
      <c r="J29" s="40">
        <f t="shared" si="32"/>
        <v>0.78280380542092987</v>
      </c>
      <c r="K29" s="39">
        <f t="shared" si="32"/>
        <v>0.75252257036643644</v>
      </c>
      <c r="L29" s="39">
        <f>IFERROR((L9/H9)-1,0)</f>
        <v>0.69269831499576817</v>
      </c>
      <c r="M29" s="39">
        <f>IFERROR((M9/I9)-1,0)</f>
        <v>0.29432408403911836</v>
      </c>
    </row>
    <row r="30" spans="1:13" s="12" customFormat="1" x14ac:dyDescent="0.15">
      <c r="A30" s="6" t="s">
        <v>30</v>
      </c>
      <c r="B30" s="30"/>
      <c r="C30" s="31"/>
      <c r="D30" s="31"/>
      <c r="E30" s="31"/>
      <c r="F30" s="42">
        <f t="shared" ref="F30:M32" si="33">F12/B12-1</f>
        <v>0.4257857306721724</v>
      </c>
      <c r="G30" s="41">
        <f t="shared" si="33"/>
        <v>0.36072131563908805</v>
      </c>
      <c r="H30" s="41">
        <f t="shared" si="33"/>
        <v>0.39733542319749193</v>
      </c>
      <c r="I30" s="41">
        <f t="shared" si="33"/>
        <v>0.58446509411484393</v>
      </c>
      <c r="J30" s="42">
        <f t="shared" si="33"/>
        <v>0.65556449450254761</v>
      </c>
      <c r="K30" s="41">
        <f t="shared" si="33"/>
        <v>0.72655156322911818</v>
      </c>
      <c r="L30" s="41">
        <f t="shared" si="33"/>
        <v>0.68255748738081889</v>
      </c>
      <c r="M30" s="41">
        <f t="shared" si="33"/>
        <v>0.60000000000000009</v>
      </c>
    </row>
    <row r="31" spans="1:13" s="12" customFormat="1" x14ac:dyDescent="0.15">
      <c r="A31" s="6" t="s">
        <v>31</v>
      </c>
      <c r="B31" s="30"/>
      <c r="C31" s="31"/>
      <c r="D31" s="31"/>
      <c r="E31" s="31"/>
      <c r="F31" s="42">
        <f t="shared" si="33"/>
        <v>0.49907428313389035</v>
      </c>
      <c r="G31" s="41">
        <f t="shared" si="33"/>
        <v>0.40859735237245287</v>
      </c>
      <c r="H31" s="41">
        <f t="shared" si="33"/>
        <v>0.35885918003565065</v>
      </c>
      <c r="I31" s="41">
        <f t="shared" si="33"/>
        <v>0.34718082070146505</v>
      </c>
      <c r="J31" s="42">
        <f t="shared" si="33"/>
        <v>0.38928216405096827</v>
      </c>
      <c r="K31" s="41">
        <f t="shared" si="33"/>
        <v>0.42555438225976761</v>
      </c>
      <c r="L31" s="41">
        <f t="shared" si="33"/>
        <v>0.49543498793157736</v>
      </c>
      <c r="M31" s="41">
        <f t="shared" si="33"/>
        <v>0.5</v>
      </c>
    </row>
    <row r="32" spans="1:13" s="12" customFormat="1" x14ac:dyDescent="0.15">
      <c r="A32" s="6" t="s">
        <v>32</v>
      </c>
      <c r="B32" s="30"/>
      <c r="C32" s="31"/>
      <c r="D32" s="31"/>
      <c r="E32" s="31"/>
      <c r="F32" s="42">
        <f t="shared" si="33"/>
        <v>0.44473040792690788</v>
      </c>
      <c r="G32" s="41">
        <f t="shared" si="33"/>
        <v>0.37176760326877867</v>
      </c>
      <c r="H32" s="41">
        <f t="shared" si="33"/>
        <v>0.52467188930715225</v>
      </c>
      <c r="I32" s="41">
        <f t="shared" si="33"/>
        <v>0.42247607889084149</v>
      </c>
      <c r="J32" s="42">
        <f t="shared" si="33"/>
        <v>0.31869600071256787</v>
      </c>
      <c r="K32" s="41">
        <f t="shared" si="33"/>
        <v>0.30569609923290364</v>
      </c>
      <c r="L32" s="41">
        <f t="shared" si="33"/>
        <v>0.33457894034432134</v>
      </c>
      <c r="M32" s="41">
        <f t="shared" si="33"/>
        <v>0.30000000000000004</v>
      </c>
    </row>
    <row r="33" spans="1:13" x14ac:dyDescent="0.15">
      <c r="B33" s="30"/>
      <c r="C33" s="31"/>
      <c r="D33" s="31"/>
      <c r="E33" s="31"/>
      <c r="F33" s="61">
        <f t="shared" ref="F33:M33" si="34">F15/B15-1</f>
        <v>0.46695973763170739</v>
      </c>
      <c r="G33" s="60">
        <f t="shared" si="34"/>
        <v>0.38759840229573062</v>
      </c>
      <c r="H33" s="60">
        <f t="shared" si="34"/>
        <v>0.40049938494868442</v>
      </c>
      <c r="I33" s="60">
        <f t="shared" si="34"/>
        <v>0.42836896386858792</v>
      </c>
      <c r="J33" s="61">
        <f t="shared" si="34"/>
        <v>0.45543769522269262</v>
      </c>
      <c r="K33" s="60">
        <f t="shared" si="34"/>
        <v>0.4951651668436643</v>
      </c>
      <c r="L33" s="60">
        <f t="shared" si="34"/>
        <v>0.52069322636043047</v>
      </c>
      <c r="M33" s="60">
        <f t="shared" si="34"/>
        <v>0.49696596573860452</v>
      </c>
    </row>
    <row r="34" spans="1:13" x14ac:dyDescent="0.15">
      <c r="B34" s="61"/>
      <c r="C34" s="60"/>
      <c r="D34" s="60"/>
      <c r="E34" s="60"/>
      <c r="F34" s="61"/>
      <c r="G34" s="60"/>
      <c r="H34" s="60"/>
      <c r="I34" s="60"/>
      <c r="J34" s="61"/>
      <c r="K34" s="60"/>
      <c r="L34" s="60"/>
      <c r="M34" s="60"/>
    </row>
    <row r="35" spans="1:13" s="12" customFormat="1" x14ac:dyDescent="0.15">
      <c r="A35" s="12" t="s">
        <v>18</v>
      </c>
      <c r="B35" s="61"/>
      <c r="C35" s="60"/>
      <c r="D35" s="60"/>
      <c r="E35" s="33">
        <f t="shared" ref="E35:H35" si="35">E36-E37</f>
        <v>278.97399999999999</v>
      </c>
      <c r="F35" s="34">
        <f t="shared" si="35"/>
        <v>270.988</v>
      </c>
      <c r="G35" s="33">
        <f t="shared" si="35"/>
        <v>312.12400000000002</v>
      </c>
      <c r="H35" s="33">
        <f t="shared" si="35"/>
        <v>308.47900000000004</v>
      </c>
      <c r="I35" s="33">
        <f t="shared" ref="I35:K35" si="36">I36-I37</f>
        <v>249.11200000000002</v>
      </c>
      <c r="J35" s="34">
        <f t="shared" si="36"/>
        <v>256.327</v>
      </c>
      <c r="K35" s="33">
        <f t="shared" si="36"/>
        <v>213</v>
      </c>
      <c r="L35" s="33">
        <f t="shared" ref="L35:M35" si="37">L36-L37</f>
        <v>199</v>
      </c>
      <c r="M35" s="33">
        <f t="shared" si="37"/>
        <v>199</v>
      </c>
    </row>
    <row r="36" spans="1:13" x14ac:dyDescent="0.15">
      <c r="A36" s="6" t="s">
        <v>19</v>
      </c>
      <c r="B36" s="30"/>
      <c r="C36" s="31"/>
      <c r="D36" s="31"/>
      <c r="E36" s="31">
        <f>61.902+217.072</f>
        <v>278.97399999999999</v>
      </c>
      <c r="F36" s="30">
        <f>111.617+159.371</f>
        <v>270.988</v>
      </c>
      <c r="G36" s="31">
        <f>122.771+399.906</f>
        <v>522.67700000000002</v>
      </c>
      <c r="H36" s="31">
        <f>139.49+382.681</f>
        <v>522.17100000000005</v>
      </c>
      <c r="I36" s="31">
        <f>147.831+318.139</f>
        <v>465.97</v>
      </c>
      <c r="J36" s="30">
        <f>158.06+318.346</f>
        <v>476.40600000000001</v>
      </c>
      <c r="K36" s="31">
        <f>187+249</f>
        <v>436</v>
      </c>
      <c r="L36" s="31">
        <f>151+275</f>
        <v>426</v>
      </c>
      <c r="M36" s="31">
        <f>151+275</f>
        <v>426</v>
      </c>
    </row>
    <row r="37" spans="1:13" x14ac:dyDescent="0.15">
      <c r="A37" s="6" t="s">
        <v>20</v>
      </c>
      <c r="B37" s="30"/>
      <c r="C37" s="31"/>
      <c r="D37" s="31"/>
      <c r="E37" s="31">
        <v>0</v>
      </c>
      <c r="F37" s="30">
        <v>0</v>
      </c>
      <c r="G37" s="31">
        <v>210.553</v>
      </c>
      <c r="H37" s="31">
        <v>213.69200000000001</v>
      </c>
      <c r="I37" s="31">
        <v>216.858</v>
      </c>
      <c r="J37" s="30">
        <v>220.07900000000001</v>
      </c>
      <c r="K37" s="31">
        <v>223</v>
      </c>
      <c r="L37" s="31">
        <v>227</v>
      </c>
      <c r="M37" s="31">
        <v>227</v>
      </c>
    </row>
    <row r="39" spans="1:13" x14ac:dyDescent="0.15">
      <c r="A39" s="26" t="s">
        <v>45</v>
      </c>
      <c r="B39" s="30"/>
      <c r="C39" s="31"/>
      <c r="D39" s="31"/>
      <c r="E39" s="47">
        <f>1.7+1.627</f>
        <v>3.327</v>
      </c>
      <c r="F39" s="30">
        <f>1.7+1.406</f>
        <v>3.1059999999999999</v>
      </c>
      <c r="G39" s="31">
        <f>1.7+1.185</f>
        <v>2.8849999999999998</v>
      </c>
      <c r="H39" s="31">
        <f>1.7+0.965</f>
        <v>2.665</v>
      </c>
      <c r="I39" s="31">
        <f>41.878+15.894</f>
        <v>57.771999999999998</v>
      </c>
      <c r="J39" s="30">
        <f>41.878+14.223</f>
        <v>56.100999999999999</v>
      </c>
      <c r="K39" s="31">
        <f>55+12</f>
        <v>67</v>
      </c>
      <c r="L39" s="31">
        <f>12+55</f>
        <v>67</v>
      </c>
      <c r="M39" s="31">
        <f>12+55</f>
        <v>67</v>
      </c>
    </row>
    <row r="40" spans="1:13" x14ac:dyDescent="0.15">
      <c r="A40" s="26" t="s">
        <v>46</v>
      </c>
      <c r="B40" s="30"/>
      <c r="C40" s="31"/>
      <c r="D40" s="31"/>
      <c r="E40" s="47">
        <v>415.19600000000003</v>
      </c>
      <c r="F40" s="30">
        <v>400.22699999999998</v>
      </c>
      <c r="G40" s="31">
        <v>663.93</v>
      </c>
      <c r="H40" s="31">
        <v>670.67</v>
      </c>
      <c r="I40" s="31">
        <v>733.476</v>
      </c>
      <c r="J40" s="30">
        <v>734.24099999999999</v>
      </c>
      <c r="K40" s="31">
        <v>742</v>
      </c>
      <c r="L40" s="31">
        <v>735</v>
      </c>
      <c r="M40" s="31">
        <v>735</v>
      </c>
    </row>
    <row r="41" spans="1:13" x14ac:dyDescent="0.15">
      <c r="A41" s="26" t="s">
        <v>47</v>
      </c>
      <c r="B41" s="30"/>
      <c r="C41" s="31"/>
      <c r="D41" s="31"/>
      <c r="E41" s="47">
        <v>221.703</v>
      </c>
      <c r="F41" s="30">
        <v>227.72</v>
      </c>
      <c r="G41" s="31">
        <v>455.30599999999998</v>
      </c>
      <c r="H41" s="31">
        <v>473.42500000000001</v>
      </c>
      <c r="I41" s="31">
        <v>468.91</v>
      </c>
      <c r="J41" s="30">
        <v>486.37299999999999</v>
      </c>
      <c r="K41" s="31">
        <v>502</v>
      </c>
      <c r="L41" s="31">
        <v>516</v>
      </c>
      <c r="M41" s="31">
        <v>516</v>
      </c>
    </row>
    <row r="42" spans="1:13" x14ac:dyDescent="0.15">
      <c r="E42" s="48"/>
    </row>
    <row r="43" spans="1:13" x14ac:dyDescent="0.15">
      <c r="A43" s="26" t="s">
        <v>48</v>
      </c>
      <c r="E43" s="35">
        <f t="shared" ref="E43:G43" si="38">E40-E36-E39</f>
        <v>132.89500000000004</v>
      </c>
      <c r="F43" s="36">
        <f t="shared" si="38"/>
        <v>126.13299999999998</v>
      </c>
      <c r="G43" s="35">
        <f t="shared" si="38"/>
        <v>138.36799999999994</v>
      </c>
      <c r="H43" s="35">
        <f t="shared" ref="H43:M43" si="39">H40-H36-H39</f>
        <v>145.83399999999992</v>
      </c>
      <c r="I43" s="35">
        <f t="shared" si="39"/>
        <v>209.73399999999998</v>
      </c>
      <c r="J43" s="36">
        <f t="shared" si="39"/>
        <v>201.73399999999998</v>
      </c>
      <c r="K43" s="35">
        <f t="shared" si="39"/>
        <v>239</v>
      </c>
      <c r="L43" s="35">
        <f t="shared" si="39"/>
        <v>242</v>
      </c>
      <c r="M43" s="35">
        <f t="shared" si="39"/>
        <v>242</v>
      </c>
    </row>
    <row r="44" spans="1:13" x14ac:dyDescent="0.15">
      <c r="A44" s="26" t="s">
        <v>49</v>
      </c>
      <c r="E44" s="35">
        <f t="shared" ref="E44:H44" si="40">E40-E41</f>
        <v>193.49300000000002</v>
      </c>
      <c r="F44" s="36">
        <f t="shared" si="40"/>
        <v>172.50699999999998</v>
      </c>
      <c r="G44" s="35">
        <f t="shared" si="40"/>
        <v>208.62399999999997</v>
      </c>
      <c r="H44" s="35">
        <f t="shared" si="40"/>
        <v>197.24499999999995</v>
      </c>
      <c r="I44" s="35">
        <f t="shared" ref="I44:K44" si="41">I40-I41</f>
        <v>264.56599999999997</v>
      </c>
      <c r="J44" s="36">
        <f t="shared" si="41"/>
        <v>247.86799999999999</v>
      </c>
      <c r="K44" s="35">
        <f t="shared" si="41"/>
        <v>240</v>
      </c>
      <c r="L44" s="35">
        <f t="shared" ref="L44:M44" si="42">L40-L41</f>
        <v>219</v>
      </c>
      <c r="M44" s="35">
        <f t="shared" si="42"/>
        <v>219</v>
      </c>
    </row>
    <row r="45" spans="1:13" x14ac:dyDescent="0.15">
      <c r="E45" s="48"/>
    </row>
    <row r="46" spans="1:13" s="12" customFormat="1" x14ac:dyDescent="0.15">
      <c r="A46" s="32" t="s">
        <v>50</v>
      </c>
      <c r="B46" s="29"/>
      <c r="C46" s="28"/>
      <c r="D46" s="28"/>
      <c r="E46" s="33">
        <f t="shared" ref="E46:M46" si="43">SUM(B21:E21)</f>
        <v>-89.717600000000004</v>
      </c>
      <c r="F46" s="34">
        <f t="shared" si="43"/>
        <v>-95.648600000000016</v>
      </c>
      <c r="G46" s="33">
        <f t="shared" si="43"/>
        <v>-101.81560000000002</v>
      </c>
      <c r="H46" s="33">
        <f t="shared" si="43"/>
        <v>-109.22200000000004</v>
      </c>
      <c r="I46" s="33">
        <f t="shared" si="43"/>
        <v>-111.34699999999999</v>
      </c>
      <c r="J46" s="34">
        <f>SUM(G21:J21)</f>
        <v>-118.96600000000001</v>
      </c>
      <c r="K46" s="33">
        <f t="shared" si="43"/>
        <v>-124.72</v>
      </c>
      <c r="L46" s="33">
        <f t="shared" si="43"/>
        <v>-135.39999999999998</v>
      </c>
      <c r="M46" s="33">
        <f t="shared" si="43"/>
        <v>-163.81870000000001</v>
      </c>
    </row>
    <row r="47" spans="1:13" x14ac:dyDescent="0.15">
      <c r="A47" s="26" t="s">
        <v>51</v>
      </c>
      <c r="E47" s="43">
        <f t="shared" ref="E47:G47" si="44">E46/E44</f>
        <v>-0.46367362126795281</v>
      </c>
      <c r="F47" s="44">
        <f t="shared" si="44"/>
        <v>-0.55446213776832265</v>
      </c>
      <c r="G47" s="43">
        <f t="shared" si="44"/>
        <v>-0.48803397499808282</v>
      </c>
      <c r="H47" s="43">
        <f t="shared" ref="H47:M47" si="45">H46/H44</f>
        <v>-0.55373773733174514</v>
      </c>
      <c r="I47" s="43">
        <f t="shared" si="45"/>
        <v>-0.42086662685303478</v>
      </c>
      <c r="J47" s="44">
        <f t="shared" si="45"/>
        <v>-0.47995707392644477</v>
      </c>
      <c r="K47" s="43">
        <f t="shared" si="45"/>
        <v>-0.51966666666666661</v>
      </c>
      <c r="L47" s="43">
        <f t="shared" si="45"/>
        <v>-0.61826484018264827</v>
      </c>
      <c r="M47" s="43">
        <f t="shared" si="45"/>
        <v>-0.74803059360730595</v>
      </c>
    </row>
    <row r="48" spans="1:13" x14ac:dyDescent="0.15">
      <c r="A48" s="26" t="s">
        <v>52</v>
      </c>
      <c r="E48" s="43">
        <f t="shared" ref="E48:G48" si="46">E46/E40</f>
        <v>-0.21608493338086107</v>
      </c>
      <c r="F48" s="44">
        <f t="shared" si="46"/>
        <v>-0.23898587551564493</v>
      </c>
      <c r="G48" s="43">
        <f t="shared" si="46"/>
        <v>-0.1533529137107828</v>
      </c>
      <c r="H48" s="43">
        <f t="shared" ref="H48:M48" si="47">H46/H40</f>
        <v>-0.16285505539236889</v>
      </c>
      <c r="I48" s="43">
        <f t="shared" si="47"/>
        <v>-0.15180728476460034</v>
      </c>
      <c r="J48" s="44">
        <f t="shared" si="47"/>
        <v>-0.16202581986023665</v>
      </c>
      <c r="K48" s="43">
        <f t="shared" si="47"/>
        <v>-0.16808625336927224</v>
      </c>
      <c r="L48" s="43">
        <f t="shared" si="47"/>
        <v>-0.18421768707482991</v>
      </c>
      <c r="M48" s="43">
        <f t="shared" si="47"/>
        <v>-0.22288258503401362</v>
      </c>
    </row>
    <row r="49" spans="1:13" x14ac:dyDescent="0.15">
      <c r="A49" s="26" t="s">
        <v>53</v>
      </c>
      <c r="E49" s="43">
        <f t="shared" ref="E49:G49" si="48">E46/(E44-E39)</f>
        <v>-0.47178570301736372</v>
      </c>
      <c r="F49" s="44">
        <f t="shared" si="48"/>
        <v>-0.56462830797929187</v>
      </c>
      <c r="G49" s="43">
        <f t="shared" si="48"/>
        <v>-0.49487749041261031</v>
      </c>
      <c r="H49" s="43">
        <f t="shared" ref="H49:M49" si="49">H46/(H44-H39)</f>
        <v>-0.56132182135882447</v>
      </c>
      <c r="I49" s="43">
        <f t="shared" si="49"/>
        <v>-0.53844405543681151</v>
      </c>
      <c r="J49" s="44">
        <f t="shared" si="49"/>
        <v>-0.62036742505227704</v>
      </c>
      <c r="K49" s="43">
        <f t="shared" si="49"/>
        <v>-0.72092485549132945</v>
      </c>
      <c r="L49" s="43">
        <f t="shared" si="49"/>
        <v>-0.89078947368421035</v>
      </c>
      <c r="M49" s="43">
        <f t="shared" si="49"/>
        <v>-1.0777546052631579</v>
      </c>
    </row>
    <row r="50" spans="1:13" x14ac:dyDescent="0.15">
      <c r="A50" s="26" t="s">
        <v>54</v>
      </c>
      <c r="E50" s="43">
        <f t="shared" ref="E50:G50" si="50">E46/E43</f>
        <v>-0.67510139583882001</v>
      </c>
      <c r="F50" s="44">
        <f t="shared" si="50"/>
        <v>-0.75831542895197945</v>
      </c>
      <c r="G50" s="43">
        <f t="shared" si="50"/>
        <v>-0.73583198427382102</v>
      </c>
      <c r="H50" s="43">
        <f t="shared" ref="H50:M50" si="51">H46/H43</f>
        <v>-0.74894743338316239</v>
      </c>
      <c r="I50" s="43">
        <f t="shared" si="51"/>
        <v>-0.53089627814279039</v>
      </c>
      <c r="J50" s="44">
        <f t="shared" si="51"/>
        <v>-0.58971715228964883</v>
      </c>
      <c r="K50" s="43">
        <f t="shared" si="51"/>
        <v>-0.5218410041841004</v>
      </c>
      <c r="L50" s="43">
        <f t="shared" si="51"/>
        <v>-0.55950413223140483</v>
      </c>
      <c r="M50" s="43">
        <f t="shared" si="51"/>
        <v>-0.67693677685950415</v>
      </c>
    </row>
    <row r="52" spans="1:13" x14ac:dyDescent="0.15">
      <c r="A52" s="6" t="s">
        <v>75</v>
      </c>
      <c r="F52" s="44">
        <f t="shared" ref="F52:M53" si="52">F3/B3-1</f>
        <v>0.57840819542947197</v>
      </c>
      <c r="G52" s="43">
        <f t="shared" si="52"/>
        <v>0.59641572653776409</v>
      </c>
      <c r="H52" s="43">
        <f t="shared" si="52"/>
        <v>0.58611587699617274</v>
      </c>
      <c r="I52" s="43">
        <f t="shared" si="52"/>
        <v>0.73409609015441535</v>
      </c>
      <c r="J52" s="44">
        <f t="shared" si="52"/>
        <v>0.82322168920532235</v>
      </c>
      <c r="K52" s="43">
        <f t="shared" si="52"/>
        <v>0.81002445458571626</v>
      </c>
      <c r="L52" s="43">
        <f t="shared" si="52"/>
        <v>0.73073722749209513</v>
      </c>
      <c r="M52" s="43">
        <f t="shared" si="52"/>
        <v>0.30000000000000004</v>
      </c>
    </row>
    <row r="53" spans="1:13" x14ac:dyDescent="0.15">
      <c r="A53" s="6" t="s">
        <v>76</v>
      </c>
      <c r="F53" s="44">
        <f t="shared" si="52"/>
        <v>0.27068373399937573</v>
      </c>
      <c r="G53" s="43">
        <f t="shared" si="52"/>
        <v>0.48484848484848508</v>
      </c>
      <c r="H53" s="43">
        <f t="shared" si="52"/>
        <v>0.35859006383569225</v>
      </c>
      <c r="I53" s="43">
        <f t="shared" si="52"/>
        <v>0.36560652969321716</v>
      </c>
      <c r="J53" s="44">
        <f t="shared" si="52"/>
        <v>0.32530712530712536</v>
      </c>
      <c r="K53" s="43">
        <f t="shared" si="52"/>
        <v>9.7213078779899043E-2</v>
      </c>
      <c r="L53" s="43">
        <f t="shared" si="52"/>
        <v>0.22574055158324824</v>
      </c>
      <c r="M53" s="43">
        <f t="shared" si="52"/>
        <v>0.19999999999999996</v>
      </c>
    </row>
    <row r="55" spans="1:13" s="23" customFormat="1" x14ac:dyDescent="0.15">
      <c r="A55" s="23" t="s">
        <v>59</v>
      </c>
      <c r="B55" s="44"/>
      <c r="C55" s="43"/>
      <c r="D55" s="43"/>
      <c r="E55" s="43"/>
      <c r="F55" s="44"/>
      <c r="G55" s="43"/>
      <c r="H55" s="43"/>
      <c r="I55" s="43"/>
      <c r="J55" s="44"/>
      <c r="K55" s="43"/>
      <c r="L55" s="43"/>
      <c r="M55" s="43"/>
    </row>
    <row r="56" spans="1:13" s="23" customFormat="1" x14ac:dyDescent="0.15">
      <c r="A56" s="23" t="s">
        <v>60</v>
      </c>
      <c r="B56" s="44"/>
      <c r="C56" s="43"/>
      <c r="D56" s="43"/>
      <c r="E56" s="43"/>
      <c r="F56" s="44"/>
      <c r="G56" s="43"/>
      <c r="H56" s="43"/>
      <c r="I56" s="43"/>
      <c r="J56" s="44"/>
      <c r="K56" s="43"/>
      <c r="L56" s="43"/>
      <c r="M56" s="43"/>
    </row>
    <row r="58" spans="1:13" s="8" customFormat="1" x14ac:dyDescent="0.15">
      <c r="A58" s="8" t="s">
        <v>77</v>
      </c>
      <c r="B58" s="30">
        <v>3700</v>
      </c>
      <c r="C58" s="31">
        <v>4300</v>
      </c>
      <c r="D58" s="31">
        <v>4900</v>
      </c>
      <c r="E58" s="31">
        <v>5700</v>
      </c>
      <c r="F58" s="30">
        <v>6600</v>
      </c>
      <c r="G58" s="31">
        <v>7400</v>
      </c>
      <c r="H58" s="31">
        <v>8300</v>
      </c>
      <c r="I58" s="31">
        <v>13400</v>
      </c>
      <c r="J58" s="30">
        <v>14200</v>
      </c>
      <c r="K58" s="31">
        <v>15000</v>
      </c>
      <c r="L58" s="31">
        <v>15900</v>
      </c>
      <c r="M58" s="31">
        <v>15900</v>
      </c>
    </row>
    <row r="59" spans="1:13" s="23" customFormat="1" x14ac:dyDescent="0.15">
      <c r="A59" s="23" t="s">
        <v>85</v>
      </c>
      <c r="B59" s="44"/>
      <c r="C59" s="43"/>
      <c r="D59" s="43"/>
      <c r="E59" s="43"/>
      <c r="F59" s="44">
        <f t="shared" ref="F59:M59" si="53">F58/B58-1</f>
        <v>0.78378378378378377</v>
      </c>
      <c r="G59" s="43">
        <f t="shared" si="53"/>
        <v>0.72093023255813948</v>
      </c>
      <c r="H59" s="43">
        <f t="shared" si="53"/>
        <v>0.69387755102040827</v>
      </c>
      <c r="I59" s="43">
        <f t="shared" si="53"/>
        <v>1.3508771929824563</v>
      </c>
      <c r="J59" s="44">
        <f t="shared" si="53"/>
        <v>1.1515151515151514</v>
      </c>
      <c r="K59" s="43">
        <f t="shared" si="53"/>
        <v>1.0270270270270272</v>
      </c>
      <c r="L59" s="43">
        <f t="shared" si="53"/>
        <v>0.9156626506024097</v>
      </c>
      <c r="M59" s="43">
        <f t="shared" si="53"/>
        <v>0.18656716417910446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2019-12-31T15:25:25Z</dcterms:modified>
</cp:coreProperties>
</file>