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michaelsjoberg/Dropbox/- PROJECTS/- Investing/stocks/"/>
    </mc:Choice>
  </mc:AlternateContent>
  <bookViews>
    <workbookView xWindow="0" yWindow="460" windowWidth="15720" windowHeight="16540" tabRatio="500"/>
  </bookViews>
  <sheets>
    <sheet name="Main" sheetId="2" r:id="rId1"/>
    <sheet name="Reports" sheetId="1" r:id="rId2"/>
    <sheet name="Products"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8" i="1" l="1"/>
  <c r="H39" i="2"/>
  <c r="E50" i="2"/>
  <c r="E47" i="2"/>
  <c r="D39" i="2"/>
  <c r="E39" i="2"/>
  <c r="E40" i="2"/>
  <c r="G13" i="2"/>
  <c r="H13" i="2"/>
  <c r="I13" i="2"/>
  <c r="J13" i="2"/>
  <c r="F13" i="2"/>
  <c r="I6" i="2"/>
  <c r="I5" i="2"/>
  <c r="I4" i="2"/>
  <c r="I3" i="2"/>
  <c r="I2" i="2"/>
  <c r="F15" i="2"/>
  <c r="F17" i="2"/>
  <c r="F22" i="2"/>
  <c r="F23" i="2"/>
  <c r="F24" i="2"/>
  <c r="F25" i="2"/>
  <c r="F26" i="2"/>
  <c r="G15" i="2"/>
  <c r="F30" i="2"/>
  <c r="G17" i="2"/>
  <c r="G22" i="2"/>
  <c r="F39" i="2"/>
  <c r="G23" i="2"/>
  <c r="G24" i="2"/>
  <c r="G25" i="2"/>
  <c r="G26" i="2"/>
  <c r="H15" i="2"/>
  <c r="G30" i="2"/>
  <c r="H17" i="2"/>
  <c r="H22" i="2"/>
  <c r="G39" i="2"/>
  <c r="H23" i="2"/>
  <c r="H24" i="2"/>
  <c r="H25" i="2"/>
  <c r="H26" i="2"/>
  <c r="I15" i="2"/>
  <c r="H30" i="2"/>
  <c r="I17" i="2"/>
  <c r="I22" i="2"/>
  <c r="I23" i="2"/>
  <c r="I24" i="2"/>
  <c r="I25" i="2"/>
  <c r="I26" i="2"/>
  <c r="J15" i="2"/>
  <c r="I30" i="2"/>
  <c r="J17" i="2"/>
  <c r="J22" i="2"/>
  <c r="I39" i="2"/>
  <c r="J23" i="2"/>
  <c r="J24" i="2"/>
  <c r="J25" i="2"/>
  <c r="J26" i="2"/>
  <c r="K15" i="2"/>
  <c r="J30" i="2"/>
  <c r="K17" i="2"/>
  <c r="K22" i="2"/>
  <c r="J39" i="2"/>
  <c r="K23" i="2"/>
  <c r="K24" i="2"/>
  <c r="K25" i="2"/>
  <c r="K26" i="2"/>
  <c r="L15" i="2"/>
  <c r="K30" i="2"/>
  <c r="L17" i="2"/>
  <c r="L22" i="2"/>
  <c r="K39" i="2"/>
  <c r="L23" i="2"/>
  <c r="L24" i="2"/>
  <c r="L25" i="2"/>
  <c r="L26" i="2"/>
  <c r="M15" i="2"/>
  <c r="L30" i="2"/>
  <c r="M17" i="2"/>
  <c r="M22" i="2"/>
  <c r="L39" i="2"/>
  <c r="M23" i="2"/>
  <c r="M24" i="2"/>
  <c r="M25" i="2"/>
  <c r="M26" i="2"/>
  <c r="N15" i="2"/>
  <c r="M30" i="2"/>
  <c r="N17" i="2"/>
  <c r="N22" i="2"/>
  <c r="M39" i="2"/>
  <c r="N23" i="2"/>
  <c r="N24" i="2"/>
  <c r="N25" i="2"/>
  <c r="N26" i="2"/>
  <c r="O15" i="2"/>
  <c r="N30" i="2"/>
  <c r="O17" i="2"/>
  <c r="O22" i="2"/>
  <c r="N39" i="2"/>
  <c r="O23" i="2"/>
  <c r="O24" i="2"/>
  <c r="O25" i="2"/>
  <c r="O26" i="2"/>
  <c r="P15" i="2"/>
  <c r="O30" i="2"/>
  <c r="P17" i="2"/>
  <c r="P22" i="2"/>
  <c r="O39" i="2"/>
  <c r="P23" i="2"/>
  <c r="P24" i="2"/>
  <c r="P25" i="2"/>
  <c r="P26" i="2"/>
  <c r="Q15" i="2"/>
  <c r="P30" i="2"/>
  <c r="Q17" i="2"/>
  <c r="Q22" i="2"/>
  <c r="P39" i="2"/>
  <c r="Q23" i="2"/>
  <c r="Q24" i="2"/>
  <c r="Q25"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A26" i="2"/>
  <c r="CB26" i="2"/>
  <c r="CC26" i="2"/>
  <c r="CD26" i="2"/>
  <c r="CE26" i="2"/>
  <c r="CF26" i="2"/>
  <c r="CG26" i="2"/>
  <c r="CH26" i="2"/>
  <c r="CI26" i="2"/>
  <c r="CJ26" i="2"/>
  <c r="CK26" i="2"/>
  <c r="CL26" i="2"/>
  <c r="CM26" i="2"/>
  <c r="CN26" i="2"/>
  <c r="CO26" i="2"/>
  <c r="CP26" i="2"/>
  <c r="CQ26" i="2"/>
  <c r="CR26" i="2"/>
  <c r="CS26" i="2"/>
  <c r="CT26" i="2"/>
  <c r="CU26" i="2"/>
  <c r="CV26" i="2"/>
  <c r="CW26" i="2"/>
  <c r="CX26" i="2"/>
  <c r="CY26" i="2"/>
  <c r="CZ26" i="2"/>
  <c r="DA26" i="2"/>
  <c r="DB26" i="2"/>
  <c r="DC26" i="2"/>
  <c r="DD26" i="2"/>
  <c r="DE26" i="2"/>
  <c r="DF26" i="2"/>
  <c r="DG26" i="2"/>
  <c r="DH26" i="2"/>
  <c r="DI26" i="2"/>
  <c r="DJ26" i="2"/>
  <c r="DK26" i="2"/>
  <c r="DL26" i="2"/>
  <c r="DM26" i="2"/>
  <c r="DN26" i="2"/>
  <c r="DO26" i="2"/>
  <c r="DP26" i="2"/>
  <c r="DQ26" i="2"/>
  <c r="DR26" i="2"/>
  <c r="F5" i="2"/>
  <c r="F6" i="2"/>
  <c r="C5" i="2"/>
  <c r="C3" i="2"/>
  <c r="G12" i="2"/>
  <c r="H12" i="2"/>
  <c r="I12" i="2"/>
  <c r="J12" i="2"/>
  <c r="F12" i="2"/>
  <c r="G18" i="2"/>
  <c r="H18" i="2"/>
  <c r="I18" i="2"/>
  <c r="J18" i="2"/>
  <c r="F18" i="2"/>
  <c r="F28" i="2"/>
  <c r="F21" i="2"/>
  <c r="G21" i="2"/>
  <c r="H21" i="2"/>
  <c r="I21" i="2"/>
  <c r="J21" i="2"/>
  <c r="K18" i="2"/>
  <c r="K21" i="2"/>
  <c r="L18" i="2"/>
  <c r="L21" i="2"/>
  <c r="M18" i="2"/>
  <c r="M21" i="2"/>
  <c r="N18" i="2"/>
  <c r="N21" i="2"/>
  <c r="O18" i="2"/>
  <c r="O21" i="2"/>
  <c r="P18" i="2"/>
  <c r="P21" i="2"/>
  <c r="F4" i="2"/>
  <c r="G20" i="2"/>
  <c r="H20" i="2"/>
  <c r="I20" i="2"/>
  <c r="J20" i="2"/>
  <c r="F20" i="2"/>
  <c r="L19" i="2"/>
  <c r="M19" i="2"/>
  <c r="N19" i="2"/>
  <c r="O19" i="2"/>
  <c r="P19" i="2"/>
  <c r="Q19" i="2"/>
  <c r="K19" i="2"/>
  <c r="G19" i="2"/>
  <c r="H19" i="2"/>
  <c r="I19" i="2"/>
  <c r="J19" i="2"/>
  <c r="F19" i="2"/>
  <c r="C58" i="2"/>
  <c r="C57" i="2"/>
  <c r="C55" i="2"/>
  <c r="D58" i="2"/>
  <c r="D57" i="2"/>
  <c r="D55" i="2"/>
  <c r="D34" i="2"/>
  <c r="D37" i="2"/>
  <c r="C37" i="2"/>
  <c r="D36" i="2"/>
  <c r="C36" i="2"/>
  <c r="D35" i="2"/>
  <c r="C35" i="2"/>
  <c r="C34" i="2"/>
  <c r="C32" i="2"/>
  <c r="C31" i="2"/>
  <c r="C30" i="2"/>
  <c r="C26" i="2"/>
  <c r="C27" i="2"/>
  <c r="C24" i="2"/>
  <c r="C21" i="2"/>
  <c r="C22" i="2"/>
  <c r="C17" i="2"/>
  <c r="C15" i="2"/>
  <c r="C12" i="2"/>
  <c r="C13" i="2"/>
  <c r="C28" i="2"/>
  <c r="C25" i="2"/>
  <c r="C23" i="2"/>
  <c r="C20" i="2"/>
  <c r="C19" i="2"/>
  <c r="C18" i="2"/>
  <c r="C16" i="2"/>
  <c r="C10" i="2"/>
  <c r="B32" i="2"/>
  <c r="B31" i="2"/>
  <c r="B30" i="2"/>
  <c r="B26" i="2"/>
  <c r="B27" i="2"/>
  <c r="B24" i="2"/>
  <c r="B21" i="2"/>
  <c r="B22" i="2"/>
  <c r="B17" i="2"/>
  <c r="B15" i="2"/>
  <c r="B13" i="2"/>
  <c r="B12" i="2"/>
  <c r="B28" i="2"/>
  <c r="B25" i="2"/>
  <c r="B23" i="2"/>
  <c r="B20" i="2"/>
  <c r="B19" i="2"/>
  <c r="B18" i="2"/>
  <c r="B16" i="2"/>
  <c r="B10" i="2"/>
  <c r="P56" i="1"/>
  <c r="O56" i="1"/>
  <c r="M56" i="1"/>
  <c r="L56" i="1"/>
  <c r="K56" i="1"/>
  <c r="K53" i="1"/>
  <c r="M53" i="1"/>
  <c r="L53" i="1"/>
  <c r="J53" i="1"/>
  <c r="M52" i="1"/>
  <c r="L52" i="1"/>
  <c r="K52" i="1"/>
  <c r="J52" i="1"/>
  <c r="M50" i="1"/>
  <c r="L50" i="1"/>
  <c r="K50" i="1"/>
  <c r="J50" i="1"/>
  <c r="J28" i="1"/>
  <c r="M31" i="1"/>
  <c r="L31" i="1"/>
  <c r="K31" i="1"/>
  <c r="J31" i="1"/>
  <c r="M30" i="1"/>
  <c r="L30" i="1"/>
  <c r="K30" i="1"/>
  <c r="J30" i="1"/>
  <c r="M29" i="1"/>
  <c r="L29" i="1"/>
  <c r="K29" i="1"/>
  <c r="J29" i="1"/>
  <c r="M28" i="1"/>
  <c r="L28" i="1"/>
  <c r="K28" i="1"/>
  <c r="E21" i="1"/>
  <c r="E16" i="1"/>
  <c r="E13" i="1"/>
  <c r="I16" i="1"/>
  <c r="I13" i="1"/>
  <c r="J56" i="1"/>
  <c r="I56" i="1"/>
  <c r="I6" i="1"/>
  <c r="E6" i="1"/>
  <c r="I53" i="1"/>
  <c r="I52" i="1"/>
  <c r="I50" i="1"/>
  <c r="I31" i="1"/>
  <c r="I30" i="1"/>
  <c r="I29" i="1"/>
  <c r="I8" i="1"/>
  <c r="E8" i="1"/>
  <c r="I28" i="1"/>
  <c r="I10" i="1"/>
  <c r="I14" i="1"/>
  <c r="I15" i="1"/>
  <c r="I17" i="1"/>
  <c r="I26" i="1"/>
  <c r="I25" i="1"/>
  <c r="I24" i="1"/>
  <c r="I20" i="1"/>
  <c r="I21" i="1"/>
  <c r="E10" i="1"/>
  <c r="E14" i="1"/>
  <c r="E15" i="1"/>
  <c r="E17" i="1"/>
  <c r="E26" i="1"/>
  <c r="E25" i="1"/>
  <c r="E24" i="1"/>
  <c r="E20" i="1"/>
  <c r="D16" i="1"/>
  <c r="D13" i="1"/>
  <c r="H16" i="1"/>
  <c r="H13" i="1"/>
  <c r="D8" i="1"/>
  <c r="D10" i="1"/>
  <c r="D14" i="1"/>
  <c r="D15" i="1"/>
  <c r="D17" i="1"/>
  <c r="D26" i="1"/>
  <c r="D25" i="1"/>
  <c r="D24" i="1"/>
  <c r="D20" i="1"/>
  <c r="D21" i="1"/>
  <c r="D6" i="1"/>
  <c r="H6" i="1"/>
  <c r="H53" i="1"/>
  <c r="H52" i="1"/>
  <c r="H50" i="1"/>
  <c r="H31" i="1"/>
  <c r="H30" i="1"/>
  <c r="H29" i="1"/>
  <c r="H8" i="1"/>
  <c r="H28" i="1"/>
  <c r="H10" i="1"/>
  <c r="H14" i="1"/>
  <c r="H15" i="1"/>
  <c r="H17" i="1"/>
  <c r="H26" i="1"/>
  <c r="H25" i="1"/>
  <c r="H24" i="1"/>
  <c r="H20" i="1"/>
  <c r="H21" i="1"/>
  <c r="C16" i="1"/>
  <c r="C13" i="1"/>
  <c r="C8" i="1"/>
  <c r="G28" i="1"/>
  <c r="G21" i="1"/>
  <c r="G16" i="1"/>
  <c r="G13" i="1"/>
  <c r="C6" i="1"/>
  <c r="C10" i="1"/>
  <c r="C14" i="1"/>
  <c r="C15" i="1"/>
  <c r="C17" i="1"/>
  <c r="C26" i="1"/>
  <c r="C25" i="1"/>
  <c r="C24" i="1"/>
  <c r="C20" i="1"/>
  <c r="C21" i="1"/>
  <c r="G6" i="1"/>
  <c r="G53" i="1"/>
  <c r="G52" i="1"/>
  <c r="G50" i="1"/>
  <c r="G31" i="1"/>
  <c r="G30" i="1"/>
  <c r="G29" i="1"/>
  <c r="G8" i="1"/>
  <c r="G10" i="1"/>
  <c r="G14" i="1"/>
  <c r="G15" i="1"/>
  <c r="G17" i="1"/>
  <c r="G26" i="1"/>
  <c r="G25" i="1"/>
  <c r="G24" i="1"/>
  <c r="G20" i="1"/>
  <c r="B16" i="1"/>
  <c r="B13" i="1"/>
  <c r="F16" i="1"/>
  <c r="F13" i="1"/>
  <c r="B6" i="1"/>
  <c r="B8" i="1"/>
  <c r="B10" i="1"/>
  <c r="B14" i="1"/>
  <c r="B15" i="1"/>
  <c r="B17" i="1"/>
  <c r="B26" i="1"/>
  <c r="B25" i="1"/>
  <c r="B24" i="1"/>
  <c r="B20" i="1"/>
  <c r="B21" i="1"/>
  <c r="F6" i="1"/>
  <c r="F53" i="1"/>
  <c r="F52" i="1"/>
  <c r="F50" i="1"/>
  <c r="F8" i="1"/>
  <c r="F10" i="1"/>
  <c r="F14" i="1"/>
  <c r="F15" i="1"/>
  <c r="F17" i="1"/>
  <c r="F20" i="1"/>
  <c r="F31" i="1"/>
  <c r="F30" i="1"/>
  <c r="F29" i="1"/>
  <c r="F28" i="1"/>
  <c r="F26" i="1"/>
  <c r="F25" i="1"/>
  <c r="F24" i="1"/>
  <c r="F21" i="1"/>
  <c r="E45" i="2"/>
  <c r="E44" i="2"/>
  <c r="E43" i="2"/>
  <c r="E41" i="2"/>
  <c r="E15" i="2"/>
  <c r="E28" i="2"/>
  <c r="E25" i="2"/>
  <c r="E23" i="2"/>
  <c r="E20" i="2"/>
  <c r="E19" i="2"/>
  <c r="E18" i="2"/>
  <c r="E16" i="2"/>
  <c r="J58" i="2"/>
  <c r="I58" i="2"/>
  <c r="H58" i="2"/>
  <c r="G58" i="2"/>
  <c r="F58" i="2"/>
  <c r="J57" i="2"/>
  <c r="I57" i="2"/>
  <c r="H57" i="2"/>
  <c r="G57" i="2"/>
  <c r="F57" i="2"/>
  <c r="E58" i="2"/>
  <c r="E57" i="2"/>
  <c r="D40" i="2"/>
  <c r="D41" i="2"/>
  <c r="D45" i="2"/>
  <c r="D44" i="2"/>
  <c r="D43" i="2"/>
  <c r="D28" i="2"/>
  <c r="D25" i="2"/>
  <c r="D23" i="2"/>
  <c r="D20" i="2"/>
  <c r="D19" i="2"/>
  <c r="D18" i="2"/>
  <c r="D16" i="2"/>
  <c r="E12" i="2"/>
  <c r="E10" i="2"/>
  <c r="E13" i="2"/>
  <c r="D12" i="2"/>
  <c r="D10" i="2"/>
  <c r="D13" i="2"/>
  <c r="D15" i="2"/>
  <c r="N56" i="1"/>
  <c r="N52" i="1"/>
  <c r="N50" i="1"/>
  <c r="N39" i="1"/>
  <c r="N37" i="1"/>
  <c r="N34" i="1"/>
  <c r="M34" i="1"/>
  <c r="J16" i="1"/>
  <c r="J13" i="1"/>
  <c r="N16" i="1"/>
  <c r="N13" i="1"/>
  <c r="J6" i="1"/>
  <c r="N6" i="1"/>
  <c r="Q53" i="1"/>
  <c r="P53" i="1"/>
  <c r="O53" i="1"/>
  <c r="N53" i="1"/>
  <c r="Q52" i="1"/>
  <c r="P52" i="1"/>
  <c r="O52" i="1"/>
  <c r="O39" i="1"/>
  <c r="O37" i="1"/>
  <c r="O34" i="1"/>
  <c r="K16" i="1"/>
  <c r="K13" i="1"/>
  <c r="O16" i="1"/>
  <c r="O13" i="1"/>
  <c r="K6" i="1"/>
  <c r="O6" i="1"/>
  <c r="O8" i="1"/>
  <c r="O10" i="1"/>
  <c r="O14" i="1"/>
  <c r="O15" i="1"/>
  <c r="O17" i="1"/>
  <c r="O20" i="1"/>
  <c r="M6" i="1"/>
  <c r="M8" i="1"/>
  <c r="M10" i="1"/>
  <c r="M13" i="1"/>
  <c r="M14" i="1"/>
  <c r="M15" i="1"/>
  <c r="M16" i="1"/>
  <c r="M17" i="1"/>
  <c r="M20" i="1"/>
  <c r="N8" i="1"/>
  <c r="N10" i="1"/>
  <c r="N14" i="1"/>
  <c r="N15" i="1"/>
  <c r="N17" i="1"/>
  <c r="N20" i="1"/>
  <c r="P8" i="1"/>
  <c r="P10" i="1"/>
  <c r="P13" i="1"/>
  <c r="P14" i="1"/>
  <c r="P15" i="1"/>
  <c r="P16" i="1"/>
  <c r="P17" i="1"/>
  <c r="P20" i="1"/>
  <c r="P44" i="1"/>
  <c r="P39" i="1"/>
  <c r="P37" i="1"/>
  <c r="P34" i="1"/>
  <c r="L16" i="1"/>
  <c r="L13" i="1"/>
  <c r="L6" i="1"/>
  <c r="P6" i="1"/>
  <c r="M39" i="1"/>
  <c r="M37" i="1"/>
  <c r="Q39" i="1"/>
  <c r="Q37" i="1"/>
  <c r="Q34" i="1"/>
  <c r="Q16" i="1"/>
  <c r="Q13" i="1"/>
  <c r="Q6" i="1"/>
  <c r="Q8" i="1"/>
  <c r="Q56" i="1"/>
  <c r="E17" i="2"/>
  <c r="E30" i="2"/>
  <c r="E21" i="2"/>
  <c r="E22" i="2"/>
  <c r="E31" i="2"/>
  <c r="E24" i="2"/>
  <c r="E32" i="2"/>
  <c r="Q10" i="1"/>
  <c r="Q14" i="1"/>
  <c r="Q15" i="1"/>
  <c r="Q17" i="1"/>
  <c r="Q20" i="1"/>
  <c r="Q44" i="1"/>
  <c r="Q41" i="1"/>
  <c r="Q48" i="1"/>
  <c r="Q42" i="1"/>
  <c r="Q47" i="1"/>
  <c r="K20" i="2"/>
  <c r="L20" i="2"/>
  <c r="M20" i="2"/>
  <c r="N20" i="2"/>
  <c r="O20" i="2"/>
  <c r="P20" i="2"/>
  <c r="Q18" i="2"/>
  <c r="Q20" i="2"/>
  <c r="Q21" i="2"/>
  <c r="F32" i="2"/>
  <c r="G32" i="2"/>
  <c r="H32" i="2"/>
  <c r="I32" i="2"/>
  <c r="J32" i="2"/>
  <c r="K32" i="2"/>
  <c r="L32" i="2"/>
  <c r="M32" i="2"/>
  <c r="N32" i="2"/>
  <c r="O32" i="2"/>
  <c r="P32" i="2"/>
  <c r="E26" i="2"/>
  <c r="E53" i="2"/>
  <c r="E48" i="2"/>
  <c r="E52" i="2"/>
  <c r="E51" i="2"/>
  <c r="E27" i="2"/>
  <c r="Q46" i="1"/>
  <c r="Q45" i="1"/>
  <c r="Q33" i="1"/>
  <c r="Q21" i="1"/>
  <c r="P24" i="1"/>
  <c r="P26" i="1"/>
  <c r="P33" i="1"/>
  <c r="Q50" i="1"/>
  <c r="P50" i="1"/>
  <c r="O50" i="1"/>
  <c r="E55" i="2"/>
  <c r="P42" i="1"/>
  <c r="P45" i="1"/>
  <c r="Q39" i="2"/>
  <c r="D47" i="2"/>
  <c r="D17" i="2"/>
  <c r="D21" i="2"/>
  <c r="D22" i="2"/>
  <c r="D24" i="2"/>
  <c r="D26" i="2"/>
  <c r="D53" i="2"/>
  <c r="D48" i="2"/>
  <c r="D52" i="2"/>
  <c r="D51" i="2"/>
  <c r="D50" i="2"/>
  <c r="J8" i="1"/>
  <c r="J10" i="1"/>
  <c r="J14" i="1"/>
  <c r="J15" i="1"/>
  <c r="J17" i="1"/>
  <c r="J20" i="1"/>
  <c r="K8" i="1"/>
  <c r="K10" i="1"/>
  <c r="K14" i="1"/>
  <c r="K15" i="1"/>
  <c r="K17" i="1"/>
  <c r="K20" i="1"/>
  <c r="L8" i="1"/>
  <c r="L10" i="1"/>
  <c r="L14" i="1"/>
  <c r="L15" i="1"/>
  <c r="L17" i="1"/>
  <c r="L20" i="1"/>
  <c r="C4" i="2"/>
  <c r="C6" i="2"/>
  <c r="P41" i="1"/>
  <c r="P48" i="1"/>
  <c r="P47" i="1"/>
  <c r="P46" i="1"/>
  <c r="M44" i="1"/>
  <c r="M41" i="1"/>
  <c r="M48" i="1"/>
  <c r="M42" i="1"/>
  <c r="M47" i="1"/>
  <c r="M46" i="1"/>
  <c r="M45" i="1"/>
  <c r="Q24" i="1"/>
  <c r="O44" i="1"/>
  <c r="O41" i="1"/>
  <c r="O48" i="1"/>
  <c r="O42" i="1"/>
  <c r="O47" i="1"/>
  <c r="O46" i="1"/>
  <c r="O45" i="1"/>
  <c r="N44" i="1"/>
  <c r="N41" i="1"/>
  <c r="N48" i="1"/>
  <c r="N42" i="1"/>
  <c r="N47" i="1"/>
  <c r="N46" i="1"/>
  <c r="N45" i="1"/>
  <c r="M33" i="1"/>
  <c r="M26" i="1"/>
  <c r="Q31" i="1"/>
  <c r="Q28" i="1"/>
  <c r="Q26" i="1"/>
  <c r="Q25" i="1"/>
  <c r="Q30" i="1"/>
  <c r="Q29" i="1"/>
  <c r="N33" i="1"/>
  <c r="N26" i="1"/>
  <c r="N25" i="1"/>
  <c r="N24" i="1"/>
  <c r="N31" i="1"/>
  <c r="N30" i="1"/>
  <c r="N29" i="1"/>
  <c r="N28" i="1"/>
  <c r="N21" i="1"/>
  <c r="O33" i="1"/>
  <c r="O26" i="1"/>
  <c r="O25" i="1"/>
  <c r="O24" i="1"/>
  <c r="O31" i="1"/>
  <c r="O30" i="1"/>
  <c r="O29" i="1"/>
  <c r="O28" i="1"/>
  <c r="O21" i="1"/>
  <c r="P21" i="1"/>
  <c r="P25" i="1"/>
  <c r="P31" i="1"/>
  <c r="P30" i="1"/>
  <c r="P29" i="1"/>
  <c r="P28" i="1"/>
  <c r="D30" i="2"/>
  <c r="Q30" i="2"/>
  <c r="C7" i="2"/>
  <c r="G28" i="2"/>
  <c r="H28" i="2"/>
  <c r="I28" i="2"/>
  <c r="J28" i="2"/>
  <c r="K28" i="2"/>
  <c r="L28" i="2"/>
  <c r="M28" i="2"/>
  <c r="N28" i="2"/>
  <c r="O28" i="2"/>
  <c r="P28" i="2"/>
  <c r="Q28" i="2"/>
  <c r="Q16" i="2"/>
  <c r="P16" i="2"/>
  <c r="O16" i="2"/>
  <c r="N16" i="2"/>
  <c r="M16" i="2"/>
  <c r="L16" i="2"/>
  <c r="K16" i="2"/>
  <c r="J16" i="2"/>
  <c r="I16" i="2"/>
  <c r="F27" i="2"/>
  <c r="H16" i="2"/>
  <c r="G16" i="2"/>
  <c r="F16" i="2"/>
  <c r="Q37" i="2"/>
  <c r="P37" i="2"/>
  <c r="O37" i="2"/>
  <c r="N37" i="2"/>
  <c r="M37" i="2"/>
  <c r="L37" i="2"/>
  <c r="K37" i="2"/>
  <c r="J37" i="2"/>
  <c r="I37" i="2"/>
  <c r="H37" i="2"/>
  <c r="G37" i="2"/>
  <c r="F37" i="2"/>
  <c r="E37" i="2"/>
  <c r="Q36" i="2"/>
  <c r="P36" i="2"/>
  <c r="O36" i="2"/>
  <c r="N36" i="2"/>
  <c r="M36" i="2"/>
  <c r="L36" i="2"/>
  <c r="K36" i="2"/>
  <c r="J36" i="2"/>
  <c r="I36" i="2"/>
  <c r="H36" i="2"/>
  <c r="G36" i="2"/>
  <c r="F36" i="2"/>
  <c r="E36" i="2"/>
  <c r="Q35" i="2"/>
  <c r="P35" i="2"/>
  <c r="O35" i="2"/>
  <c r="N35" i="2"/>
  <c r="M35" i="2"/>
  <c r="L35" i="2"/>
  <c r="K35" i="2"/>
  <c r="J35" i="2"/>
  <c r="I35" i="2"/>
  <c r="H35" i="2"/>
  <c r="G35" i="2"/>
  <c r="F35" i="2"/>
  <c r="E35" i="2"/>
  <c r="D27" i="2"/>
  <c r="M21" i="1"/>
  <c r="M24" i="1"/>
  <c r="M25" i="1"/>
  <c r="D32" i="2"/>
  <c r="Q31" i="2"/>
  <c r="P31" i="2"/>
  <c r="O31" i="2"/>
  <c r="N31" i="2"/>
  <c r="M31" i="2"/>
  <c r="L31" i="2"/>
  <c r="K31" i="2"/>
  <c r="J31" i="2"/>
  <c r="I31" i="2"/>
  <c r="H31" i="2"/>
  <c r="G31" i="2"/>
  <c r="F31" i="2"/>
  <c r="Q34" i="2"/>
  <c r="P34" i="2"/>
  <c r="O34" i="2"/>
  <c r="N34" i="2"/>
  <c r="M34" i="2"/>
  <c r="L34" i="2"/>
  <c r="K34" i="2"/>
  <c r="J34" i="2"/>
  <c r="I34" i="2"/>
  <c r="H34" i="2"/>
  <c r="G34" i="2"/>
  <c r="F34" i="2"/>
  <c r="E34" i="2"/>
  <c r="D31" i="2"/>
  <c r="E9" i="2"/>
  <c r="F9" i="2"/>
  <c r="G9" i="2"/>
  <c r="H9" i="2"/>
  <c r="I9" i="2"/>
  <c r="J9" i="2"/>
  <c r="K9" i="2"/>
  <c r="L9" i="2"/>
  <c r="M9" i="2"/>
  <c r="N9" i="2"/>
  <c r="O9" i="2"/>
  <c r="P9" i="2"/>
  <c r="Q9" i="2"/>
  <c r="J26" i="1"/>
  <c r="J25" i="1"/>
  <c r="J24" i="1"/>
  <c r="J21" i="1"/>
  <c r="K26" i="1"/>
  <c r="K25" i="1"/>
  <c r="K24" i="1"/>
  <c r="K21" i="1"/>
  <c r="L26" i="1"/>
  <c r="L25" i="1"/>
  <c r="L24" i="1"/>
  <c r="L21" i="1"/>
  <c r="F7" i="2"/>
  <c r="Q32" i="2"/>
  <c r="G27" i="2"/>
  <c r="H27" i="2"/>
  <c r="I27" i="2"/>
  <c r="J27" i="2"/>
  <c r="K27" i="2"/>
  <c r="L27" i="2"/>
  <c r="M27" i="2"/>
  <c r="N27" i="2"/>
  <c r="O27" i="2"/>
  <c r="P27" i="2"/>
  <c r="Q27" i="2"/>
  <c r="G7" i="2"/>
</calcChain>
</file>

<file path=xl/sharedStrings.xml><?xml version="1.0" encoding="utf-8"?>
<sst xmlns="http://schemas.openxmlformats.org/spreadsheetml/2006/main" count="159" uniqueCount="113">
  <si>
    <t>Q117</t>
  </si>
  <si>
    <t>Q217</t>
  </si>
  <si>
    <t>Q317</t>
  </si>
  <si>
    <t>Q417</t>
  </si>
  <si>
    <t>Revenue</t>
  </si>
  <si>
    <t>COGS</t>
  </si>
  <si>
    <t>Gross Profit</t>
  </si>
  <si>
    <t>R&amp;D</t>
  </si>
  <si>
    <t>S&amp;M</t>
  </si>
  <si>
    <t>G&amp;A</t>
  </si>
  <si>
    <t>Operating Expenses</t>
  </si>
  <si>
    <t>Operating Income</t>
  </si>
  <si>
    <t>Interest Income</t>
  </si>
  <si>
    <t>Pretax Income</t>
  </si>
  <si>
    <t>Taxes</t>
  </si>
  <si>
    <t>Net Income</t>
  </si>
  <si>
    <t>EPS</t>
  </si>
  <si>
    <t>Shares</t>
  </si>
  <si>
    <t>Revenue y/y</t>
  </si>
  <si>
    <t>Gross Margin</t>
  </si>
  <si>
    <t>Operating Margin</t>
  </si>
  <si>
    <t>Tax Rate</t>
  </si>
  <si>
    <t>Q116</t>
  </si>
  <si>
    <t>Q216</t>
  </si>
  <si>
    <t>Q316</t>
  </si>
  <si>
    <t>Q416</t>
  </si>
  <si>
    <t>30/9/2017</t>
  </si>
  <si>
    <t>30/9/2016</t>
  </si>
  <si>
    <t>30/6/2016</t>
  </si>
  <si>
    <t>31/3/2016</t>
  </si>
  <si>
    <t>30/6/2017</t>
  </si>
  <si>
    <t>31/3/2017</t>
  </si>
  <si>
    <t>31/12/2016</t>
  </si>
  <si>
    <t>Net Cash</t>
  </si>
  <si>
    <t>Cash</t>
  </si>
  <si>
    <t>Debt</t>
  </si>
  <si>
    <t>31/12/2017</t>
  </si>
  <si>
    <t>Maturity</t>
  </si>
  <si>
    <t>ROIC</t>
  </si>
  <si>
    <t>Discount</t>
  </si>
  <si>
    <t>NPV</t>
  </si>
  <si>
    <t>Value</t>
  </si>
  <si>
    <t>Q118</t>
  </si>
  <si>
    <t>Q218</t>
  </si>
  <si>
    <t>Q318</t>
  </si>
  <si>
    <t>Q418</t>
  </si>
  <si>
    <t>31/3/2018</t>
  </si>
  <si>
    <t>30/6/2018</t>
  </si>
  <si>
    <t>30/9/2018</t>
  </si>
  <si>
    <t>31/12/2018</t>
  </si>
  <si>
    <t>Q115</t>
  </si>
  <si>
    <t>Q215</t>
  </si>
  <si>
    <t>Q315</t>
  </si>
  <si>
    <t>Q415</t>
  </si>
  <si>
    <t>31/3/2015</t>
  </si>
  <si>
    <t>30/6/2015</t>
  </si>
  <si>
    <t>30/9/2015</t>
  </si>
  <si>
    <t>31/12/2015</t>
  </si>
  <si>
    <t>R&amp;D y/y</t>
  </si>
  <si>
    <t>S&amp;M y/y</t>
  </si>
  <si>
    <t>G&amp;A y/y</t>
  </si>
  <si>
    <t>EDGAR</t>
  </si>
  <si>
    <t>CEO</t>
  </si>
  <si>
    <t>Founder</t>
  </si>
  <si>
    <t>Price</t>
  </si>
  <si>
    <t>Market Cap</t>
  </si>
  <si>
    <t>EV</t>
  </si>
  <si>
    <t>per share</t>
  </si>
  <si>
    <t>Inflation + risk premium (opportunity cost)</t>
  </si>
  <si>
    <t>Q119</t>
  </si>
  <si>
    <t>Q219</t>
  </si>
  <si>
    <t>Q319</t>
  </si>
  <si>
    <t>Q419</t>
  </si>
  <si>
    <t>Intangibles</t>
  </si>
  <si>
    <t>Total assets</t>
  </si>
  <si>
    <t>Total liabilities</t>
  </si>
  <si>
    <t>TWC</t>
  </si>
  <si>
    <t>Equity</t>
  </si>
  <si>
    <t>NI 12M</t>
  </si>
  <si>
    <t>ROE</t>
  </si>
  <si>
    <t>ROA</t>
  </si>
  <si>
    <t>ROTB</t>
  </si>
  <si>
    <t>ROTWC</t>
  </si>
  <si>
    <t>Investor Relations</t>
  </si>
  <si>
    <t>Expected return on invested capital (innovation grade)</t>
  </si>
  <si>
    <t>Tax anomaly</t>
  </si>
  <si>
    <t>ARPU</t>
  </si>
  <si>
    <t>ARPU y/y</t>
  </si>
  <si>
    <t>Future net income (terminal value)</t>
  </si>
  <si>
    <t>Earnings</t>
  </si>
  <si>
    <t>Growth</t>
  </si>
  <si>
    <t>GM</t>
  </si>
  <si>
    <t>OM</t>
  </si>
  <si>
    <t>Match Group Inc (MTCH)</t>
  </si>
  <si>
    <t>23/3/2019</t>
  </si>
  <si>
    <t>Amanda Ginsberg</t>
  </si>
  <si>
    <t>OkCupid</t>
  </si>
  <si>
    <t>PlentyOfFish</t>
  </si>
  <si>
    <t>Tinder</t>
  </si>
  <si>
    <t>Gary Kremen</t>
  </si>
  <si>
    <t>Subscribers</t>
  </si>
  <si>
    <t>Subscribers y/y</t>
  </si>
  <si>
    <t>Tinder y/y</t>
  </si>
  <si>
    <t>Subscriptions</t>
  </si>
  <si>
    <t>Subscriptions y/y</t>
  </si>
  <si>
    <t>Tinder was launched in 2012 and has since risen to scale and popularity faster than any other product in the online dating category with limited marketing spend, growing to over 4.3 million Subscribers today. Tinder’s distinctive “right swipe” feature has led to significant adoption among the millennial generation, previously underserved by the online dating category. Tinder employs a freemium model, through which users are allowed to enjoy many of the core features of Tinder for free, including limited use of the “swipe right” feature with unlimited communication with other users. However, to enjoy premium features, such as unlimited use of the “swipe right” feature, a Tinder user must subscribe to either Tinder Plus, launched in early 2015, or Tinder Gold, which was launched in late summer 2017. Tinder users and Subscribers may also pay for certain premium features, such as Super Likes and Boosts, on a pay-per-use basis.</t>
  </si>
  <si>
    <t>Match</t>
  </si>
  <si>
    <t>Match was launched in 1995 and helped create the online dating category. Among its distinguishing features are the ability to search profiles, receive algorithmic matches and attend live events, promoted by Match, with other Subscribers. Additionally, new features, such as Missed Connections, which uses location-based technology to enable users to connect with other users with whom they have crossed paths in the past, engage users into more meaningful connections. Match is a brand that focuses on users with a higher level of intent to enter into a relationship and its product and marketing are designed to reinforce that approach. Match relies heavily on word-of-mouth traffic, repeat usage and paid marketing.</t>
  </si>
  <si>
    <t>PlentyOfFish was launched in 2003 and acquired in October 2015. Similar to Match, among its distinguishing features is the ability to both search profiles and receive algorithmic matches. Similar to Tinder, PlentyOfFish has grown to popularity over the years with very limited marketing spend and also relies on a freemium model. PlentyOfFish has broad appeal in the central United States, Canada, the United Kingdom and a number of other international markets.</t>
  </si>
  <si>
    <t>Meetic</t>
  </si>
  <si>
    <t>Meetic, a leading European online dating brand based in France, was launched in 2001. Similar to Match, among its distinguishing features are the ability to search profiles, receive algorithmic matches, and attend live events, promoted by Meetic, with other Subscribers and non-Subscribers from time to time. Also, similar to Match, Meetic is a brand that focuses on users with a higher level of intent to enter into a relationship and its product and marketing are designed to reinforce that approach. Meetic relies heavily on word-of-mouth traffic, repeat usage and paid marketing.</t>
  </si>
  <si>
    <t>OkCupid was launched in 2004 and has attracted users through a mathematical and Q&amp;A approach to the online dating category. Similar to Tinder and PlentyOfFish, OkCupid has grown in popularity over the years without significant marketing spend and also relies on a freemium model. OkCupid has a loyal highly educated user base predominately located in major cities in the United States and United Kingdom.</t>
  </si>
  <si>
    <t>455-465 (guidance)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</si>
</sst>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_ ;[Red]\-#,##0\ "/>
    <numFmt numFmtId="165" formatCode="0.0%"/>
    <numFmt numFmtId="166" formatCode="#,##0.0"/>
  </numFmts>
  <fonts count="8"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theme="10"/>
      <name val="Arial"/>
    </font>
    <font>
      <b/>
      <sz val="10"/>
      <color theme="1"/>
      <name val="Arial"/>
    </font>
    <font>
      <sz val="10"/>
      <color theme="1"/>
      <name val="Arial"/>
    </font>
    <font>
      <i/>
      <sz val="10"/>
      <color theme="1"/>
      <name val="Arial"/>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top/>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72">
    <xf numFmtId="0" fontId="0" fillId="0" borderId="0" xfId="0"/>
    <xf numFmtId="0" fontId="4" fillId="0" borderId="0" xfId="4" applyFont="1" applyBorder="1"/>
    <xf numFmtId="0" fontId="5" fillId="0" borderId="0" xfId="0" applyFont="1"/>
    <xf numFmtId="0" fontId="6" fillId="0" borderId="0" xfId="0" applyFont="1"/>
    <xf numFmtId="4" fontId="6" fillId="0" borderId="0" xfId="0" applyNumberFormat="1" applyFont="1" applyBorder="1"/>
    <xf numFmtId="0" fontId="7" fillId="0" borderId="0" xfId="0" applyFont="1"/>
    <xf numFmtId="0" fontId="6" fillId="0" borderId="0" xfId="0" applyFont="1" applyBorder="1"/>
    <xf numFmtId="10" fontId="6" fillId="0" borderId="0" xfId="0" applyNumberFormat="1" applyFont="1"/>
    <xf numFmtId="3" fontId="6" fillId="0" borderId="0" xfId="0" applyNumberFormat="1" applyFont="1" applyBorder="1"/>
    <xf numFmtId="0" fontId="4" fillId="0" borderId="0" xfId="4" applyFont="1"/>
    <xf numFmtId="3" fontId="6" fillId="2" borderId="0" xfId="0" applyNumberFormat="1" applyFont="1" applyFill="1" applyBorder="1"/>
    <xf numFmtId="164" fontId="6" fillId="2" borderId="0" xfId="0" applyNumberFormat="1" applyFont="1" applyFill="1"/>
    <xf numFmtId="0" fontId="5" fillId="0" borderId="0" xfId="0" applyFont="1" applyBorder="1"/>
    <xf numFmtId="164" fontId="5" fillId="2" borderId="0" xfId="0" applyNumberFormat="1" applyFont="1" applyFill="1"/>
    <xf numFmtId="0" fontId="7" fillId="0" borderId="0" xfId="0" applyFont="1" applyBorder="1"/>
    <xf numFmtId="164" fontId="6" fillId="0" borderId="0" xfId="0" applyNumberFormat="1" applyFont="1"/>
    <xf numFmtId="3" fontId="6" fillId="0" borderId="0" xfId="0" applyNumberFormat="1" applyFont="1"/>
    <xf numFmtId="3" fontId="5" fillId="2" borderId="0" xfId="0" applyNumberFormat="1" applyFont="1" applyFill="1" applyBorder="1"/>
    <xf numFmtId="3" fontId="5" fillId="0" borderId="0" xfId="0" applyNumberFormat="1" applyFont="1" applyBorder="1"/>
    <xf numFmtId="2" fontId="6" fillId="2" borderId="0" xfId="0" applyNumberFormat="1" applyFont="1" applyFill="1" applyBorder="1"/>
    <xf numFmtId="2" fontId="6" fillId="0" borderId="0" xfId="0" applyNumberFormat="1" applyFont="1" applyBorder="1"/>
    <xf numFmtId="9" fontId="5" fillId="0" borderId="0" xfId="1" applyFont="1" applyBorder="1"/>
    <xf numFmtId="9" fontId="6" fillId="0" borderId="0" xfId="1" applyFont="1" applyBorder="1"/>
    <xf numFmtId="9" fontId="6" fillId="0" borderId="0" xfId="0" applyNumberFormat="1" applyFont="1" applyBorder="1"/>
    <xf numFmtId="165" fontId="6" fillId="0" borderId="0" xfId="0" applyNumberFormat="1" applyFont="1" applyFill="1"/>
    <xf numFmtId="165" fontId="6" fillId="0" borderId="0" xfId="0" applyNumberFormat="1" applyFont="1"/>
    <xf numFmtId="0" fontId="6" fillId="0" borderId="0" xfId="0" applyFont="1" applyFill="1" applyBorder="1"/>
    <xf numFmtId="9" fontId="6" fillId="0" borderId="0" xfId="0" applyNumberFormat="1" applyFont="1"/>
    <xf numFmtId="0" fontId="6" fillId="0" borderId="0" xfId="0" applyFont="1" applyBorder="1" applyAlignment="1">
      <alignment horizontal="right"/>
    </xf>
    <xf numFmtId="0" fontId="6" fillId="0" borderId="1" xfId="0" applyFont="1" applyBorder="1" applyAlignment="1">
      <alignment horizontal="right"/>
    </xf>
    <xf numFmtId="3" fontId="6" fillId="0" borderId="1" xfId="0" applyNumberFormat="1" applyFont="1" applyBorder="1" applyAlignment="1">
      <alignment horizontal="right"/>
    </xf>
    <xf numFmtId="3" fontId="6" fillId="0" borderId="0" xfId="0" applyNumberFormat="1" applyFont="1" applyBorder="1" applyAlignment="1">
      <alignment horizontal="right"/>
    </xf>
    <xf numFmtId="0" fontId="5" fillId="0" borderId="0" xfId="0" applyFont="1" applyFill="1" applyBorder="1"/>
    <xf numFmtId="3" fontId="5" fillId="2" borderId="0" xfId="0" applyNumberFormat="1" applyFont="1" applyFill="1" applyBorder="1" applyAlignment="1">
      <alignment horizontal="right"/>
    </xf>
    <xf numFmtId="3" fontId="5" fillId="2" borderId="1" xfId="0" applyNumberFormat="1" applyFont="1" applyFill="1" applyBorder="1" applyAlignment="1">
      <alignment horizontal="right"/>
    </xf>
    <xf numFmtId="0" fontId="5" fillId="0" borderId="1" xfId="0" applyFont="1" applyBorder="1" applyAlignment="1">
      <alignment horizontal="right"/>
    </xf>
    <xf numFmtId="0" fontId="5" fillId="0" borderId="0" xfId="0" applyFont="1" applyBorder="1" applyAlignment="1">
      <alignment horizontal="right"/>
    </xf>
    <xf numFmtId="3" fontId="6" fillId="2" borderId="0" xfId="0" applyNumberFormat="1" applyFont="1" applyFill="1" applyBorder="1" applyAlignment="1">
      <alignment horizontal="right"/>
    </xf>
    <xf numFmtId="3" fontId="6" fillId="2" borderId="1" xfId="0" applyNumberFormat="1" applyFont="1" applyFill="1" applyBorder="1" applyAlignment="1">
      <alignment horizontal="right"/>
    </xf>
    <xf numFmtId="2" fontId="6" fillId="2" borderId="0" xfId="0" applyNumberFormat="1" applyFont="1" applyFill="1" applyBorder="1" applyAlignment="1">
      <alignment horizontal="right"/>
    </xf>
    <xf numFmtId="2" fontId="6" fillId="2" borderId="1" xfId="0" applyNumberFormat="1" applyFont="1" applyFill="1" applyBorder="1" applyAlignment="1">
      <alignment horizontal="right"/>
    </xf>
    <xf numFmtId="9" fontId="5" fillId="0" borderId="0" xfId="1" applyNumberFormat="1" applyFont="1" applyBorder="1" applyAlignment="1">
      <alignment horizontal="right"/>
    </xf>
    <xf numFmtId="9" fontId="5" fillId="0" borderId="1" xfId="1" applyNumberFormat="1" applyFont="1" applyBorder="1" applyAlignment="1">
      <alignment horizontal="right"/>
    </xf>
    <xf numFmtId="9" fontId="6" fillId="0" borderId="0" xfId="1" applyNumberFormat="1" applyFont="1" applyBorder="1" applyAlignment="1">
      <alignment horizontal="right"/>
    </xf>
    <xf numFmtId="9" fontId="6" fillId="0" borderId="1" xfId="1" applyNumberFormat="1" applyFont="1" applyBorder="1" applyAlignment="1">
      <alignment horizontal="right"/>
    </xf>
    <xf numFmtId="9" fontId="6" fillId="0" borderId="0" xfId="0" applyNumberFormat="1" applyFont="1" applyBorder="1" applyAlignment="1">
      <alignment horizontal="right"/>
    </xf>
    <xf numFmtId="9" fontId="6" fillId="0" borderId="1" xfId="0" applyNumberFormat="1" applyFont="1" applyBorder="1" applyAlignment="1">
      <alignment horizontal="right"/>
    </xf>
    <xf numFmtId="9" fontId="6" fillId="0" borderId="0" xfId="1" applyFont="1" applyBorder="1" applyAlignment="1">
      <alignment horizontal="right"/>
    </xf>
    <xf numFmtId="9" fontId="6" fillId="0" borderId="1" xfId="1" applyFont="1" applyBorder="1" applyAlignment="1">
      <alignment horizontal="right"/>
    </xf>
    <xf numFmtId="3" fontId="6" fillId="0" borderId="0" xfId="0" applyNumberFormat="1" applyFont="1" applyAlignment="1">
      <alignment horizontal="right"/>
    </xf>
    <xf numFmtId="0" fontId="6" fillId="0" borderId="0" xfId="0" applyFont="1" applyAlignment="1">
      <alignment horizontal="right"/>
    </xf>
    <xf numFmtId="3" fontId="5" fillId="0" borderId="0" xfId="0" applyNumberFormat="1" applyFont="1" applyFill="1" applyBorder="1"/>
    <xf numFmtId="3" fontId="6" fillId="0" borderId="0" xfId="0" applyNumberFormat="1" applyFont="1" applyFill="1"/>
    <xf numFmtId="3" fontId="6" fillId="0" borderId="0" xfId="0" applyNumberFormat="1" applyFont="1" applyFill="1" applyBorder="1"/>
    <xf numFmtId="3" fontId="6" fillId="2" borderId="0" xfId="0" applyNumberFormat="1" applyFont="1" applyFill="1"/>
    <xf numFmtId="3" fontId="5" fillId="0" borderId="1" xfId="0" applyNumberFormat="1" applyFont="1" applyBorder="1" applyAlignment="1">
      <alignment horizontal="right"/>
    </xf>
    <xf numFmtId="3" fontId="7" fillId="0" borderId="0" xfId="0" applyNumberFormat="1" applyFont="1" applyBorder="1" applyAlignment="1">
      <alignment horizontal="right"/>
    </xf>
    <xf numFmtId="3" fontId="7" fillId="0" borderId="1" xfId="0" applyNumberFormat="1" applyFont="1" applyBorder="1" applyAlignment="1">
      <alignment horizontal="right"/>
    </xf>
    <xf numFmtId="0" fontId="7" fillId="0" borderId="1" xfId="0" applyFont="1" applyBorder="1" applyAlignment="1">
      <alignment horizontal="right"/>
    </xf>
    <xf numFmtId="0" fontId="7" fillId="0" borderId="0" xfId="0" applyFont="1" applyBorder="1" applyAlignment="1">
      <alignment horizontal="right"/>
    </xf>
    <xf numFmtId="4" fontId="6" fillId="2" borderId="0" xfId="0" applyNumberFormat="1" applyFont="1" applyFill="1"/>
    <xf numFmtId="4" fontId="6" fillId="0" borderId="0" xfId="0" applyNumberFormat="1" applyFont="1"/>
    <xf numFmtId="0" fontId="6" fillId="0" borderId="1" xfId="0" applyFont="1" applyBorder="1"/>
    <xf numFmtId="4" fontId="6" fillId="0" borderId="0" xfId="0" applyNumberFormat="1" applyFont="1" applyBorder="1" applyAlignment="1">
      <alignment horizontal="right"/>
    </xf>
    <xf numFmtId="4" fontId="6" fillId="0" borderId="1" xfId="0" applyNumberFormat="1" applyFont="1" applyBorder="1" applyAlignment="1">
      <alignment horizontal="right"/>
    </xf>
    <xf numFmtId="4" fontId="6" fillId="2" borderId="0" xfId="0" applyNumberFormat="1" applyFont="1" applyFill="1" applyBorder="1"/>
    <xf numFmtId="166" fontId="6" fillId="0" borderId="0" xfId="0" applyNumberFormat="1" applyFont="1" applyBorder="1"/>
    <xf numFmtId="166" fontId="6" fillId="0" borderId="0" xfId="0" applyNumberFormat="1" applyFont="1" applyBorder="1" applyAlignment="1">
      <alignment horizontal="right"/>
    </xf>
    <xf numFmtId="166" fontId="6" fillId="0" borderId="1" xfId="0" applyNumberFormat="1" applyFont="1" applyBorder="1" applyAlignment="1">
      <alignment horizontal="right"/>
    </xf>
    <xf numFmtId="4" fontId="6" fillId="2" borderId="0" xfId="0" applyNumberFormat="1" applyFont="1" applyFill="1" applyBorder="1" applyAlignment="1">
      <alignment horizontal="right"/>
    </xf>
    <xf numFmtId="4" fontId="6" fillId="2" borderId="1" xfId="0" applyNumberFormat="1" applyFont="1" applyFill="1" applyBorder="1" applyAlignment="1">
      <alignment horizontal="right"/>
    </xf>
    <xf numFmtId="166" fontId="6" fillId="0" borderId="0" xfId="0" applyNumberFormat="1" applyFont="1"/>
  </cellXfs>
  <cellStyles count="5">
    <cellStyle name="Followed Hyperlink" xfId="3" builtinId="9" hidden="1"/>
    <cellStyle name="Hyperlink" xfId="2" builtinId="8" hidden="1"/>
    <cellStyle name="Hyperlink" xfId="4" builtinId="8"/>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5</xdr:col>
      <xdr:colOff>139700</xdr:colOff>
      <xdr:row>8</xdr:row>
      <xdr:rowOff>25400</xdr:rowOff>
    </xdr:from>
    <xdr:to>
      <xdr:col>5</xdr:col>
      <xdr:colOff>139700</xdr:colOff>
      <xdr:row>59</xdr:row>
      <xdr:rowOff>50800</xdr:rowOff>
    </xdr:to>
    <xdr:cxnSp macro="">
      <xdr:nvCxnSpPr>
        <xdr:cNvPr id="4" name="Straight Connector 3"/>
        <xdr:cNvCxnSpPr/>
      </xdr:nvCxnSpPr>
      <xdr:spPr>
        <a:xfrm>
          <a:off x="4775200" y="1346200"/>
          <a:ext cx="0" cy="8445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101600</xdr:colOff>
      <xdr:row>0</xdr:row>
      <xdr:rowOff>152400</xdr:rowOff>
    </xdr:from>
    <xdr:to>
      <xdr:col>17</xdr:col>
      <xdr:colOff>101600</xdr:colOff>
      <xdr:row>57</xdr:row>
      <xdr:rowOff>12700</xdr:rowOff>
    </xdr:to>
    <xdr:cxnSp macro="">
      <xdr:nvCxnSpPr>
        <xdr:cNvPr id="4" name="Straight Connector 3"/>
        <xdr:cNvCxnSpPr/>
      </xdr:nvCxnSpPr>
      <xdr:spPr>
        <a:xfrm>
          <a:off x="14643100" y="152400"/>
          <a:ext cx="0" cy="927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Gary_Kremen" TargetMode="External"/><Relationship Id="rId4" Type="http://schemas.openxmlformats.org/officeDocument/2006/relationships/drawing" Target="../drawings/drawing1.xml"/><Relationship Id="rId1" Type="http://schemas.openxmlformats.org/officeDocument/2006/relationships/hyperlink" Target="https://ir.mtch.com/overview/default.aspx" TargetMode="External"/><Relationship Id="rId2" Type="http://schemas.openxmlformats.org/officeDocument/2006/relationships/hyperlink" Target="https://en.wikipedia.org/wiki/Mandy_Ginsbe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ec.gov/cgi-bin/browse-edgar?action=getcompany&amp;CIK=0001575189&amp;owner=include&amp;count=40"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58"/>
  <sheetViews>
    <sheetView tabSelected="1" workbookViewId="0">
      <pane xSplit="1" ySplit="9" topLeftCell="B10" activePane="bottomRight" state="frozen"/>
      <selection pane="topRight" activeCell="B1" sqref="B1"/>
      <selection pane="bottomLeft" activeCell="A11" sqref="A11"/>
      <selection pane="bottomRight" activeCell="B38" sqref="B38"/>
    </sheetView>
  </sheetViews>
  <sheetFormatPr baseColWidth="10" defaultRowHeight="13" x14ac:dyDescent="0.15"/>
  <cols>
    <col min="1" max="1" width="17.5" style="3" bestFit="1" customWidth="1"/>
    <col min="2" max="16384" width="10.83203125" style="3"/>
  </cols>
  <sheetData>
    <row r="1" spans="1:122" x14ac:dyDescent="0.15">
      <c r="A1" s="1" t="s">
        <v>83</v>
      </c>
      <c r="B1" s="2" t="s">
        <v>93</v>
      </c>
    </row>
    <row r="2" spans="1:122" x14ac:dyDescent="0.15">
      <c r="B2" s="3" t="s">
        <v>64</v>
      </c>
      <c r="C2" s="4">
        <v>57.59</v>
      </c>
      <c r="D2" s="3" t="s">
        <v>94</v>
      </c>
      <c r="E2" s="6" t="s">
        <v>37</v>
      </c>
      <c r="F2" s="7">
        <v>-0.02</v>
      </c>
      <c r="H2" s="3" t="s">
        <v>4</v>
      </c>
      <c r="I2" s="16">
        <f>E15</f>
        <v>1729.8500000000001</v>
      </c>
      <c r="L2" s="2"/>
    </row>
    <row r="3" spans="1:122" x14ac:dyDescent="0.15">
      <c r="A3" s="2" t="s">
        <v>62</v>
      </c>
      <c r="B3" s="3" t="s">
        <v>17</v>
      </c>
      <c r="C3" s="8">
        <f>Reports!Q22</f>
        <v>295.13900000000001</v>
      </c>
      <c r="D3" s="3" t="s">
        <v>45</v>
      </c>
      <c r="E3" s="6" t="s">
        <v>38</v>
      </c>
      <c r="F3" s="7">
        <v>0.02</v>
      </c>
      <c r="G3" s="5" t="s">
        <v>84</v>
      </c>
      <c r="H3" s="3" t="s">
        <v>89</v>
      </c>
      <c r="I3" s="16">
        <f>E26</f>
        <v>472.96900000000011</v>
      </c>
    </row>
    <row r="4" spans="1:122" x14ac:dyDescent="0.15">
      <c r="A4" s="9" t="s">
        <v>95</v>
      </c>
      <c r="B4" s="3" t="s">
        <v>65</v>
      </c>
      <c r="C4" s="10">
        <f>C2*C3</f>
        <v>16997.05501</v>
      </c>
      <c r="E4" s="6" t="s">
        <v>39</v>
      </c>
      <c r="F4" s="7">
        <f>2%+5%</f>
        <v>7.0000000000000007E-2</v>
      </c>
      <c r="G4" s="5" t="s">
        <v>68</v>
      </c>
      <c r="H4" s="3" t="s">
        <v>90</v>
      </c>
      <c r="I4" s="27">
        <f>E34</f>
        <v>0.29999301099228126</v>
      </c>
    </row>
    <row r="5" spans="1:122" x14ac:dyDescent="0.15">
      <c r="B5" s="3" t="s">
        <v>33</v>
      </c>
      <c r="C5" s="8">
        <f>Reports!Q33</f>
        <v>-1319.8880000000001</v>
      </c>
      <c r="D5" s="3" t="s">
        <v>45</v>
      </c>
      <c r="E5" s="6" t="s">
        <v>40</v>
      </c>
      <c r="F5" s="11">
        <f>NPV(F4,F26:DR26)</f>
        <v>25792.275878150507</v>
      </c>
      <c r="G5" s="5" t="s">
        <v>88</v>
      </c>
      <c r="H5" s="3" t="s">
        <v>91</v>
      </c>
      <c r="I5" s="27">
        <f>E30</f>
        <v>0.76298522993323126</v>
      </c>
    </row>
    <row r="6" spans="1:122" x14ac:dyDescent="0.15">
      <c r="A6" s="2" t="s">
        <v>63</v>
      </c>
      <c r="B6" s="3" t="s">
        <v>66</v>
      </c>
      <c r="C6" s="10">
        <f>C4-C5</f>
        <v>18316.943009999999</v>
      </c>
      <c r="E6" s="12" t="s">
        <v>41</v>
      </c>
      <c r="F6" s="13">
        <f>F5+C5</f>
        <v>24472.387878150508</v>
      </c>
      <c r="H6" s="3" t="s">
        <v>92</v>
      </c>
      <c r="I6" s="27">
        <f>E31</f>
        <v>0.31985085412029945</v>
      </c>
    </row>
    <row r="7" spans="1:122" x14ac:dyDescent="0.15">
      <c r="A7" s="9" t="s">
        <v>99</v>
      </c>
      <c r="B7" s="5" t="s">
        <v>67</v>
      </c>
      <c r="C7" s="65">
        <f>C6/C3</f>
        <v>62.062089422272216</v>
      </c>
      <c r="E7" s="14" t="s">
        <v>67</v>
      </c>
      <c r="F7" s="60">
        <f>F6/C3</f>
        <v>82.918177123831512</v>
      </c>
      <c r="G7" s="27">
        <f>F7/C2-1</f>
        <v>0.43980165174216901</v>
      </c>
    </row>
    <row r="8" spans="1:122" x14ac:dyDescent="0.15">
      <c r="E8" s="6"/>
      <c r="F8" s="15"/>
    </row>
    <row r="9" spans="1:122" x14ac:dyDescent="0.15">
      <c r="B9" s="3">
        <v>2015</v>
      </c>
      <c r="C9" s="3">
        <v>2016</v>
      </c>
      <c r="D9" s="3">
        <v>2017</v>
      </c>
      <c r="E9" s="3">
        <f>D9+1</f>
        <v>2018</v>
      </c>
      <c r="F9" s="3">
        <f t="shared" ref="F9:Q9" si="0">E9+1</f>
        <v>2019</v>
      </c>
      <c r="G9" s="3">
        <f t="shared" si="0"/>
        <v>2020</v>
      </c>
      <c r="H9" s="3">
        <f t="shared" si="0"/>
        <v>2021</v>
      </c>
      <c r="I9" s="3">
        <f t="shared" si="0"/>
        <v>2022</v>
      </c>
      <c r="J9" s="3">
        <f t="shared" si="0"/>
        <v>2023</v>
      </c>
      <c r="K9" s="3">
        <f t="shared" si="0"/>
        <v>2024</v>
      </c>
      <c r="L9" s="3">
        <f t="shared" si="0"/>
        <v>2025</v>
      </c>
      <c r="M9" s="3">
        <f t="shared" si="0"/>
        <v>2026</v>
      </c>
      <c r="N9" s="3">
        <f t="shared" si="0"/>
        <v>2027</v>
      </c>
      <c r="O9" s="3">
        <f t="shared" si="0"/>
        <v>2028</v>
      </c>
      <c r="P9" s="3">
        <f t="shared" si="0"/>
        <v>2029</v>
      </c>
      <c r="Q9" s="3">
        <f t="shared" si="0"/>
        <v>2030</v>
      </c>
    </row>
    <row r="10" spans="1:122" x14ac:dyDescent="0.15">
      <c r="A10" s="6" t="s">
        <v>103</v>
      </c>
      <c r="B10" s="8">
        <f>SUM(Reports!B3:E3)</f>
        <v>1020.431</v>
      </c>
      <c r="C10" s="8">
        <f>SUM(Reports!F3:I3)</f>
        <v>1222.5260000000001</v>
      </c>
      <c r="D10" s="16">
        <f>SUM(Reports!J3:M3)</f>
        <v>1330.6610000000001</v>
      </c>
      <c r="E10" s="16">
        <f>SUM(Reports!N3:Q3)</f>
        <v>1729.8500000000001</v>
      </c>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row>
    <row r="11" spans="1:122" x14ac:dyDescent="0.15">
      <c r="B11" s="8"/>
      <c r="C11" s="8"/>
      <c r="D11" s="16"/>
      <c r="E11" s="16"/>
      <c r="F11" s="16"/>
      <c r="G11" s="16"/>
      <c r="H11" s="16"/>
      <c r="I11" s="16"/>
    </row>
    <row r="12" spans="1:122" s="71" customFormat="1" x14ac:dyDescent="0.15">
      <c r="A12" s="71" t="s">
        <v>100</v>
      </c>
      <c r="B12" s="66">
        <f>Reports!E5</f>
        <v>4.5999999999999996</v>
      </c>
      <c r="C12" s="66">
        <f>Reports!I5</f>
        <v>5.7</v>
      </c>
      <c r="D12" s="71">
        <f>Reports!M5</f>
        <v>7</v>
      </c>
      <c r="E12" s="71">
        <f>Reports!Q5</f>
        <v>8.1999999999999993</v>
      </c>
      <c r="F12" s="71">
        <f>E12*1.15</f>
        <v>9.4299999999999979</v>
      </c>
      <c r="G12" s="71">
        <f t="shared" ref="G12:J12" si="1">F12*1.15</f>
        <v>10.844499999999996</v>
      </c>
      <c r="H12" s="71">
        <f t="shared" si="1"/>
        <v>12.471174999999995</v>
      </c>
      <c r="I12" s="71">
        <f t="shared" si="1"/>
        <v>14.341851249999994</v>
      </c>
      <c r="J12" s="71">
        <f t="shared" si="1"/>
        <v>16.493128937499993</v>
      </c>
    </row>
    <row r="13" spans="1:122" s="61" customFormat="1" x14ac:dyDescent="0.15">
      <c r="A13" s="61" t="s">
        <v>86</v>
      </c>
      <c r="B13" s="60">
        <f>SUM(B10)/B12</f>
        <v>221.83282608695654</v>
      </c>
      <c r="C13" s="60">
        <f>SUM(C10)/C12</f>
        <v>214.4782456140351</v>
      </c>
      <c r="D13" s="60">
        <f>SUM(D10)/D12</f>
        <v>190.09442857142858</v>
      </c>
      <c r="E13" s="60">
        <f>SUM(E10)/E12</f>
        <v>210.95731707317077</v>
      </c>
      <c r="F13" s="61">
        <f>E13*1.02</f>
        <v>215.17646341463418</v>
      </c>
      <c r="G13" s="61">
        <f t="shared" ref="G13:J13" si="2">F13*1.02</f>
        <v>219.47999268292688</v>
      </c>
      <c r="H13" s="61">
        <f t="shared" si="2"/>
        <v>223.86959253658543</v>
      </c>
      <c r="I13" s="61">
        <f t="shared" si="2"/>
        <v>228.34698438731715</v>
      </c>
      <c r="J13" s="61">
        <f t="shared" si="2"/>
        <v>232.91392407506351</v>
      </c>
    </row>
    <row r="14" spans="1:122" x14ac:dyDescent="0.15">
      <c r="F14" s="16"/>
      <c r="G14" s="16"/>
      <c r="H14" s="16"/>
      <c r="I14" s="16"/>
    </row>
    <row r="15" spans="1:122" x14ac:dyDescent="0.15">
      <c r="A15" s="2" t="s">
        <v>4</v>
      </c>
      <c r="B15" s="17">
        <f>B12*B13</f>
        <v>1020.431</v>
      </c>
      <c r="C15" s="17">
        <f>C12*C13</f>
        <v>1222.5260000000001</v>
      </c>
      <c r="D15" s="17">
        <f>D12*D13</f>
        <v>1330.6610000000001</v>
      </c>
      <c r="E15" s="17">
        <f>E12*E13</f>
        <v>1729.8500000000001</v>
      </c>
      <c r="F15" s="18">
        <f>F12*F13</f>
        <v>2029.1140499999999</v>
      </c>
      <c r="G15" s="18">
        <f t="shared" ref="G15:J15" si="3">G12*G13</f>
        <v>2380.1507806499999</v>
      </c>
      <c r="H15" s="18">
        <f t="shared" si="3"/>
        <v>2791.9168657024497</v>
      </c>
      <c r="I15" s="18">
        <f t="shared" si="3"/>
        <v>3274.9184834689736</v>
      </c>
      <c r="J15" s="18">
        <f t="shared" si="3"/>
        <v>3841.4793811091063</v>
      </c>
      <c r="K15" s="18">
        <f>J15*1.05</f>
        <v>4033.5533501645618</v>
      </c>
      <c r="L15" s="18">
        <f t="shared" ref="L15:Q15" si="4">K15*1.05</f>
        <v>4235.2310176727897</v>
      </c>
      <c r="M15" s="18">
        <f t="shared" si="4"/>
        <v>4446.9925685564294</v>
      </c>
      <c r="N15" s="18">
        <f t="shared" si="4"/>
        <v>4669.3421969842511</v>
      </c>
      <c r="O15" s="18">
        <f t="shared" si="4"/>
        <v>4902.8093068334638</v>
      </c>
      <c r="P15" s="18">
        <f t="shared" si="4"/>
        <v>5147.9497721751368</v>
      </c>
      <c r="Q15" s="18">
        <f t="shared" si="4"/>
        <v>5405.3472607838939</v>
      </c>
      <c r="R15" s="18"/>
      <c r="S15" s="18"/>
      <c r="T15" s="18"/>
      <c r="U15" s="18"/>
      <c r="V15" s="18"/>
    </row>
    <row r="16" spans="1:122" x14ac:dyDescent="0.15">
      <c r="A16" s="3" t="s">
        <v>5</v>
      </c>
      <c r="B16" s="8">
        <f>SUM(Reports!B9:E9)</f>
        <v>177.988</v>
      </c>
      <c r="C16" s="8">
        <f>SUM(Reports!F9:I9)</f>
        <v>233.946</v>
      </c>
      <c r="D16" s="16">
        <f>SUM(Reports!J9:M9)</f>
        <v>279.49900000000002</v>
      </c>
      <c r="E16" s="16">
        <f>SUM(Reports!N9:Q9)</f>
        <v>410</v>
      </c>
      <c r="F16" s="8">
        <f t="shared" ref="F16:H16" si="5">F15-F17</f>
        <v>480.92999999999984</v>
      </c>
      <c r="G16" s="8">
        <f t="shared" si="5"/>
        <v>564.13088999999991</v>
      </c>
      <c r="H16" s="8">
        <f t="shared" si="5"/>
        <v>661.72553397000001</v>
      </c>
      <c r="I16" s="8">
        <f t="shared" ref="I16:Q16" si="6">I15-I17</f>
        <v>776.20405134681005</v>
      </c>
      <c r="J16" s="8">
        <f t="shared" si="6"/>
        <v>910.48735222980849</v>
      </c>
      <c r="K16" s="8">
        <f t="shared" si="6"/>
        <v>956.0117198412986</v>
      </c>
      <c r="L16" s="8">
        <f t="shared" si="6"/>
        <v>1003.8123058333636</v>
      </c>
      <c r="M16" s="8">
        <f t="shared" si="6"/>
        <v>1054.0029211250321</v>
      </c>
      <c r="N16" s="8">
        <f t="shared" si="6"/>
        <v>1106.7030671812836</v>
      </c>
      <c r="O16" s="8">
        <f t="shared" si="6"/>
        <v>1162.038220540348</v>
      </c>
      <c r="P16" s="8">
        <f t="shared" si="6"/>
        <v>1220.1401315673652</v>
      </c>
      <c r="Q16" s="8">
        <f t="shared" si="6"/>
        <v>1281.1471381457332</v>
      </c>
      <c r="R16" s="8"/>
      <c r="S16" s="8"/>
      <c r="T16" s="8"/>
      <c r="U16" s="8"/>
      <c r="V16" s="8"/>
    </row>
    <row r="17" spans="1:122" x14ac:dyDescent="0.15">
      <c r="A17" s="3" t="s">
        <v>6</v>
      </c>
      <c r="B17" s="10">
        <f>B15-B16</f>
        <v>842.44299999999998</v>
      </c>
      <c r="C17" s="10">
        <f>C15-C16</f>
        <v>988.58</v>
      </c>
      <c r="D17" s="10">
        <f>D15-D16</f>
        <v>1051.162</v>
      </c>
      <c r="E17" s="10">
        <f>E15-E16</f>
        <v>1319.8500000000001</v>
      </c>
      <c r="F17" s="8">
        <f>F15*E30</f>
        <v>1548.1840500000001</v>
      </c>
      <c r="G17" s="8">
        <f t="shared" ref="G17:Q17" si="7">G15*F30</f>
        <v>1816.01989065</v>
      </c>
      <c r="H17" s="8">
        <f t="shared" si="7"/>
        <v>2130.1913317324497</v>
      </c>
      <c r="I17" s="8">
        <f t="shared" si="7"/>
        <v>2498.7144321221635</v>
      </c>
      <c r="J17" s="8">
        <f t="shared" si="7"/>
        <v>2930.9920288792978</v>
      </c>
      <c r="K17" s="8">
        <f t="shared" si="7"/>
        <v>3077.5416303232632</v>
      </c>
      <c r="L17" s="8">
        <f t="shared" si="7"/>
        <v>3231.4187118394261</v>
      </c>
      <c r="M17" s="8">
        <f t="shared" si="7"/>
        <v>3392.9896474313973</v>
      </c>
      <c r="N17" s="8">
        <f t="shared" si="7"/>
        <v>3562.6391298029675</v>
      </c>
      <c r="O17" s="8">
        <f t="shared" si="7"/>
        <v>3740.7710862931158</v>
      </c>
      <c r="P17" s="8">
        <f t="shared" si="7"/>
        <v>3927.8096406077716</v>
      </c>
      <c r="Q17" s="8">
        <f t="shared" si="7"/>
        <v>4124.2001226381608</v>
      </c>
      <c r="R17" s="8"/>
      <c r="S17" s="8"/>
      <c r="T17" s="8"/>
      <c r="U17" s="8"/>
      <c r="V17" s="8"/>
    </row>
    <row r="18" spans="1:122" x14ac:dyDescent="0.15">
      <c r="A18" s="3" t="s">
        <v>7</v>
      </c>
      <c r="B18" s="8">
        <f>SUM(Reports!B11:E11)</f>
        <v>67.347999999999999</v>
      </c>
      <c r="C18" s="8">
        <f>SUM(Reports!F11:I11)</f>
        <v>83.064999999999998</v>
      </c>
      <c r="D18" s="16">
        <f>SUM(Reports!J11:M11)</f>
        <v>101.15</v>
      </c>
      <c r="E18" s="16">
        <f>SUM(Reports!N11:Q11)</f>
        <v>132.03</v>
      </c>
      <c r="F18" s="8">
        <f>E18*1.2</f>
        <v>158.43600000000001</v>
      </c>
      <c r="G18" s="8">
        <f t="shared" ref="G18:J18" si="8">F18*1.2</f>
        <v>190.1232</v>
      </c>
      <c r="H18" s="8">
        <f t="shared" si="8"/>
        <v>228.14784</v>
      </c>
      <c r="I18" s="8">
        <f t="shared" si="8"/>
        <v>273.77740799999998</v>
      </c>
      <c r="J18" s="8">
        <f t="shared" si="8"/>
        <v>328.53288959999998</v>
      </c>
      <c r="K18" s="8">
        <f>J18*0.98</f>
        <v>321.96223180799996</v>
      </c>
      <c r="L18" s="8">
        <f t="shared" ref="L18:Q19" si="9">K18*0.98</f>
        <v>315.52298717183993</v>
      </c>
      <c r="M18" s="8">
        <f t="shared" si="9"/>
        <v>309.21252742840312</v>
      </c>
      <c r="N18" s="8">
        <f t="shared" si="9"/>
        <v>303.02827687983506</v>
      </c>
      <c r="O18" s="8">
        <f t="shared" si="9"/>
        <v>296.96771134223837</v>
      </c>
      <c r="P18" s="8">
        <f t="shared" si="9"/>
        <v>291.02835711539359</v>
      </c>
      <c r="Q18" s="8">
        <f t="shared" si="9"/>
        <v>285.20778997308571</v>
      </c>
      <c r="R18" s="8"/>
      <c r="S18" s="8"/>
      <c r="T18" s="8"/>
      <c r="U18" s="8"/>
      <c r="V18" s="8"/>
    </row>
    <row r="19" spans="1:122" x14ac:dyDescent="0.15">
      <c r="A19" s="3" t="s">
        <v>8</v>
      </c>
      <c r="B19" s="8">
        <f>SUM(Reports!B12:E12)</f>
        <v>359.59800000000001</v>
      </c>
      <c r="C19" s="8">
        <f>SUM(Reports!F12:I12)</f>
        <v>366.22900000000004</v>
      </c>
      <c r="D19" s="16">
        <f>SUM(Reports!J12:M12)</f>
        <v>375.61</v>
      </c>
      <c r="E19" s="16">
        <f>SUM(Reports!N12:Q12)</f>
        <v>419.95400000000006</v>
      </c>
      <c r="F19" s="8">
        <f>E19*1.1</f>
        <v>461.94940000000008</v>
      </c>
      <c r="G19" s="8">
        <f t="shared" ref="G19:J19" si="10">F19*1.1</f>
        <v>508.14434000000011</v>
      </c>
      <c r="H19" s="8">
        <f t="shared" si="10"/>
        <v>558.95877400000018</v>
      </c>
      <c r="I19" s="8">
        <f t="shared" si="10"/>
        <v>614.85465140000019</v>
      </c>
      <c r="J19" s="8">
        <f t="shared" si="10"/>
        <v>676.34011654000028</v>
      </c>
      <c r="K19" s="8">
        <f>J19*0.98</f>
        <v>662.81331420920026</v>
      </c>
      <c r="L19" s="8">
        <f t="shared" si="9"/>
        <v>649.55704792501626</v>
      </c>
      <c r="M19" s="8">
        <f t="shared" si="9"/>
        <v>636.56590696651597</v>
      </c>
      <c r="N19" s="8">
        <f t="shared" si="9"/>
        <v>623.8345888271856</v>
      </c>
      <c r="O19" s="8">
        <f t="shared" si="9"/>
        <v>611.3578970506419</v>
      </c>
      <c r="P19" s="8">
        <f t="shared" si="9"/>
        <v>599.13073910962908</v>
      </c>
      <c r="Q19" s="8">
        <f t="shared" si="9"/>
        <v>587.14812432743645</v>
      </c>
      <c r="R19" s="8"/>
      <c r="S19" s="8"/>
      <c r="T19" s="8"/>
      <c r="U19" s="8"/>
      <c r="V19" s="8"/>
    </row>
    <row r="20" spans="1:122" x14ac:dyDescent="0.15">
      <c r="A20" s="3" t="s">
        <v>9</v>
      </c>
      <c r="B20" s="8">
        <f>SUM(Reports!B13:E13)</f>
        <v>221.941</v>
      </c>
      <c r="C20" s="8">
        <f>SUM(Reports!F13:I13)</f>
        <v>233.37799999999999</v>
      </c>
      <c r="D20" s="16">
        <f>SUM(Reports!J13:M13)</f>
        <v>213.88499999999999</v>
      </c>
      <c r="E20" s="16">
        <f>SUM(Reports!N13:Q13)</f>
        <v>214.572</v>
      </c>
      <c r="F20" s="8">
        <f>E20*1.05</f>
        <v>225.3006</v>
      </c>
      <c r="G20" s="8">
        <f t="shared" ref="G20:J20" si="11">F20*1.05</f>
        <v>236.56563000000003</v>
      </c>
      <c r="H20" s="8">
        <f t="shared" si="11"/>
        <v>248.39391150000003</v>
      </c>
      <c r="I20" s="8">
        <f t="shared" si="11"/>
        <v>260.81360707500005</v>
      </c>
      <c r="J20" s="8">
        <f t="shared" si="11"/>
        <v>273.85428742875007</v>
      </c>
      <c r="K20" s="8">
        <f t="shared" ref="K20:Q20" si="12">J20*0.98</f>
        <v>268.37720168017506</v>
      </c>
      <c r="L20" s="8">
        <f t="shared" si="12"/>
        <v>263.00965764657155</v>
      </c>
      <c r="M20" s="8">
        <f t="shared" si="12"/>
        <v>257.74946449364012</v>
      </c>
      <c r="N20" s="8">
        <f t="shared" si="12"/>
        <v>252.5944752037673</v>
      </c>
      <c r="O20" s="8">
        <f t="shared" si="12"/>
        <v>247.54258569969195</v>
      </c>
      <c r="P20" s="8">
        <f t="shared" si="12"/>
        <v>242.59173398569811</v>
      </c>
      <c r="Q20" s="8">
        <f t="shared" si="12"/>
        <v>237.73989930598415</v>
      </c>
      <c r="R20" s="8"/>
      <c r="S20" s="8"/>
      <c r="T20" s="8"/>
      <c r="U20" s="8"/>
      <c r="V20" s="8"/>
    </row>
    <row r="21" spans="1:122" x14ac:dyDescent="0.15">
      <c r="A21" s="3" t="s">
        <v>10</v>
      </c>
      <c r="B21" s="10">
        <f>SUM(B18:B20)</f>
        <v>648.88700000000006</v>
      </c>
      <c r="C21" s="10">
        <f>SUM(C18:C20)</f>
        <v>682.67200000000003</v>
      </c>
      <c r="D21" s="10">
        <f>SUM(D18:D20)</f>
        <v>690.64499999999998</v>
      </c>
      <c r="E21" s="10">
        <f>SUM(E18:E20)</f>
        <v>766.55600000000004</v>
      </c>
      <c r="F21" s="8">
        <f t="shared" ref="F21:H21" si="13">SUM(F18:F20)</f>
        <v>845.68600000000015</v>
      </c>
      <c r="G21" s="8">
        <f t="shared" si="13"/>
        <v>934.83317000000011</v>
      </c>
      <c r="H21" s="8">
        <f t="shared" si="13"/>
        <v>1035.5005255000001</v>
      </c>
      <c r="I21" s="8">
        <f t="shared" ref="I21:Q21" si="14">SUM(I18:I20)</f>
        <v>1149.4456664750001</v>
      </c>
      <c r="J21" s="8">
        <f t="shared" si="14"/>
        <v>1278.7272935687504</v>
      </c>
      <c r="K21" s="8">
        <f t="shared" si="14"/>
        <v>1253.1527476973752</v>
      </c>
      <c r="L21" s="8">
        <f t="shared" si="14"/>
        <v>1228.0896927434278</v>
      </c>
      <c r="M21" s="8">
        <f t="shared" si="14"/>
        <v>1203.5278988885591</v>
      </c>
      <c r="N21" s="8">
        <f t="shared" si="14"/>
        <v>1179.4573409107879</v>
      </c>
      <c r="O21" s="8">
        <f t="shared" si="14"/>
        <v>1155.8681940925721</v>
      </c>
      <c r="P21" s="8">
        <f t="shared" si="14"/>
        <v>1132.7508302107208</v>
      </c>
      <c r="Q21" s="8">
        <f t="shared" si="14"/>
        <v>1110.0958136065062</v>
      </c>
      <c r="R21" s="8"/>
      <c r="S21" s="8"/>
      <c r="T21" s="8"/>
      <c r="U21" s="8"/>
      <c r="V21" s="8"/>
    </row>
    <row r="22" spans="1:122" x14ac:dyDescent="0.15">
      <c r="A22" s="3" t="s">
        <v>11</v>
      </c>
      <c r="B22" s="10">
        <f>B17-B21</f>
        <v>193.55599999999993</v>
      </c>
      <c r="C22" s="10">
        <f>C17-C21</f>
        <v>305.90800000000002</v>
      </c>
      <c r="D22" s="10">
        <f>D17-D21</f>
        <v>360.51700000000005</v>
      </c>
      <c r="E22" s="10">
        <f>E17-E21</f>
        <v>553.2940000000001</v>
      </c>
      <c r="F22" s="8">
        <f t="shared" ref="F22:H22" si="15">F17-F21</f>
        <v>702.49804999999992</v>
      </c>
      <c r="G22" s="8">
        <f t="shared" si="15"/>
        <v>881.18672064999987</v>
      </c>
      <c r="H22" s="8">
        <f t="shared" si="15"/>
        <v>1094.6908062324496</v>
      </c>
      <c r="I22" s="8">
        <f t="shared" ref="I22:Q22" si="16">I17-I21</f>
        <v>1349.2687656471635</v>
      </c>
      <c r="J22" s="8">
        <f t="shared" si="16"/>
        <v>1652.2647353105474</v>
      </c>
      <c r="K22" s="8">
        <f t="shared" si="16"/>
        <v>1824.3888826258881</v>
      </c>
      <c r="L22" s="8">
        <f t="shared" si="16"/>
        <v>2003.3290190959983</v>
      </c>
      <c r="M22" s="8">
        <f t="shared" si="16"/>
        <v>2189.461748542838</v>
      </c>
      <c r="N22" s="8">
        <f t="shared" si="16"/>
        <v>2383.1817888921796</v>
      </c>
      <c r="O22" s="8">
        <f t="shared" si="16"/>
        <v>2584.9028922005436</v>
      </c>
      <c r="P22" s="8">
        <f t="shared" si="16"/>
        <v>2795.0588103970508</v>
      </c>
      <c r="Q22" s="8">
        <f t="shared" si="16"/>
        <v>3014.1043090316543</v>
      </c>
      <c r="R22" s="8"/>
      <c r="S22" s="8"/>
      <c r="T22" s="8"/>
      <c r="U22" s="8"/>
      <c r="V22" s="8"/>
    </row>
    <row r="23" spans="1:122" x14ac:dyDescent="0.15">
      <c r="A23" s="3" t="s">
        <v>12</v>
      </c>
      <c r="B23" s="8">
        <f>SUM(Reports!B16:E16)</f>
        <v>-14.170999999999999</v>
      </c>
      <c r="C23" s="8">
        <f>SUM(Reports!F16:I16)</f>
        <v>-74.322000000000003</v>
      </c>
      <c r="D23" s="16">
        <f>SUM(Reports!J16:M16)</f>
        <v>-108.392</v>
      </c>
      <c r="E23" s="16">
        <f>SUM(Reports!N16:Q16)</f>
        <v>-65.652000000000001</v>
      </c>
      <c r="F23" s="8">
        <f>E39*$F$3</f>
        <v>-26.397760000000005</v>
      </c>
      <c r="G23" s="8">
        <f t="shared" ref="G23:Q23" si="17">F39*$F$3</f>
        <v>-14.904055070000007</v>
      </c>
      <c r="H23" s="8">
        <f t="shared" si="17"/>
        <v>-0.1772497551400079</v>
      </c>
      <c r="I23" s="8">
        <f t="shared" si="17"/>
        <v>18.429480704974257</v>
      </c>
      <c r="J23" s="8">
        <f t="shared" si="17"/>
        <v>41.680350892960597</v>
      </c>
      <c r="K23" s="8">
        <f t="shared" si="17"/>
        <v>70.47741735842024</v>
      </c>
      <c r="L23" s="8">
        <f t="shared" si="17"/>
        <v>102.69014445815348</v>
      </c>
      <c r="M23" s="8">
        <f t="shared" si="17"/>
        <v>138.49247023857407</v>
      </c>
      <c r="N23" s="8">
        <f t="shared" si="17"/>
        <v>178.06769195785807</v>
      </c>
      <c r="O23" s="8">
        <f t="shared" si="17"/>
        <v>221.60893313230875</v>
      </c>
      <c r="P23" s="8">
        <f t="shared" si="17"/>
        <v>269.31963416296725</v>
      </c>
      <c r="Q23" s="8">
        <f t="shared" si="17"/>
        <v>321.41406772048754</v>
      </c>
      <c r="R23" s="8"/>
      <c r="S23" s="8"/>
      <c r="T23" s="8"/>
      <c r="U23" s="8"/>
      <c r="V23" s="8"/>
    </row>
    <row r="24" spans="1:122" x14ac:dyDescent="0.15">
      <c r="A24" s="3" t="s">
        <v>13</v>
      </c>
      <c r="B24" s="10">
        <f>B22+B23</f>
        <v>179.38499999999993</v>
      </c>
      <c r="C24" s="10">
        <f>C22+C23</f>
        <v>231.58600000000001</v>
      </c>
      <c r="D24" s="10">
        <f>D22+D23</f>
        <v>252.12500000000006</v>
      </c>
      <c r="E24" s="10">
        <f>E22+E23</f>
        <v>487.64200000000011</v>
      </c>
      <c r="F24" s="8">
        <f>F22+F23</f>
        <v>676.10028999999986</v>
      </c>
      <c r="G24" s="8">
        <f t="shared" ref="G24:H24" si="18">G22+G23</f>
        <v>866.28266557999984</v>
      </c>
      <c r="H24" s="8">
        <f t="shared" si="18"/>
        <v>1094.5135564773095</v>
      </c>
      <c r="I24" s="8">
        <f t="shared" ref="I24" si="19">I22+I23</f>
        <v>1367.6982463521379</v>
      </c>
      <c r="J24" s="8">
        <f t="shared" ref="J24" si="20">J22+J23</f>
        <v>1693.945086203508</v>
      </c>
      <c r="K24" s="8">
        <f t="shared" ref="K24" si="21">K22+K23</f>
        <v>1894.8662999843084</v>
      </c>
      <c r="L24" s="8">
        <f t="shared" ref="L24" si="22">L22+L23</f>
        <v>2106.0191635541519</v>
      </c>
      <c r="M24" s="8">
        <f t="shared" ref="M24" si="23">M22+M23</f>
        <v>2327.9542187814122</v>
      </c>
      <c r="N24" s="8">
        <f t="shared" ref="N24" si="24">N22+N23</f>
        <v>2561.2494808500378</v>
      </c>
      <c r="O24" s="8">
        <f t="shared" ref="O24" si="25">O22+O23</f>
        <v>2806.5118253328524</v>
      </c>
      <c r="P24" s="8">
        <f t="shared" ref="P24" si="26">P22+P23</f>
        <v>3064.3784445600181</v>
      </c>
      <c r="Q24" s="8">
        <f t="shared" ref="Q24" si="27">Q22+Q23</f>
        <v>3335.5183767521421</v>
      </c>
      <c r="R24" s="8"/>
      <c r="S24" s="8"/>
      <c r="T24" s="8"/>
      <c r="U24" s="8"/>
      <c r="V24" s="8"/>
    </row>
    <row r="25" spans="1:122" x14ac:dyDescent="0.15">
      <c r="A25" s="3" t="s">
        <v>14</v>
      </c>
      <c r="B25" s="8">
        <f>SUM(Reports!B18:E18)</f>
        <v>58.898000000000003</v>
      </c>
      <c r="C25" s="8">
        <f>SUM(Reports!F18:I18)</f>
        <v>60.156999999999996</v>
      </c>
      <c r="D25" s="16">
        <f>SUM(Reports!J18:M18)</f>
        <v>-104.38699999999999</v>
      </c>
      <c r="E25" s="16">
        <f>SUM(Reports!N18:Q18)</f>
        <v>14.672999999999998</v>
      </c>
      <c r="F25" s="8">
        <f>F24*0.15</f>
        <v>101.41504349999998</v>
      </c>
      <c r="G25" s="8">
        <f t="shared" ref="G25:Q25" si="28">G24*0.15</f>
        <v>129.94239983699998</v>
      </c>
      <c r="H25" s="8">
        <f t="shared" si="28"/>
        <v>164.17703347159642</v>
      </c>
      <c r="I25" s="8">
        <f t="shared" si="28"/>
        <v>205.15473695282068</v>
      </c>
      <c r="J25" s="8">
        <f t="shared" si="28"/>
        <v>254.09176293052619</v>
      </c>
      <c r="K25" s="8">
        <f t="shared" si="28"/>
        <v>284.22994499764627</v>
      </c>
      <c r="L25" s="8">
        <f t="shared" si="28"/>
        <v>315.90287453312277</v>
      </c>
      <c r="M25" s="8">
        <f t="shared" si="28"/>
        <v>349.19313281721185</v>
      </c>
      <c r="N25" s="8">
        <f t="shared" si="28"/>
        <v>384.18742212750567</v>
      </c>
      <c r="O25" s="8">
        <f t="shared" si="28"/>
        <v>420.97677379992786</v>
      </c>
      <c r="P25" s="8">
        <f t="shared" si="28"/>
        <v>459.65676668400272</v>
      </c>
      <c r="Q25" s="8">
        <f t="shared" si="28"/>
        <v>500.32775651282128</v>
      </c>
      <c r="R25" s="8"/>
      <c r="S25" s="8"/>
      <c r="T25" s="8"/>
      <c r="U25" s="8"/>
      <c r="V25" s="8"/>
    </row>
    <row r="26" spans="1:122" s="2" customFormat="1" x14ac:dyDescent="0.15">
      <c r="A26" s="2" t="s">
        <v>15</v>
      </c>
      <c r="B26" s="17">
        <f>B24-B25</f>
        <v>120.48699999999994</v>
      </c>
      <c r="C26" s="17">
        <f>C24-C25</f>
        <v>171.42900000000003</v>
      </c>
      <c r="D26" s="17">
        <f>D24-D25</f>
        <v>356.51200000000006</v>
      </c>
      <c r="E26" s="17">
        <f>E24-E25</f>
        <v>472.96900000000011</v>
      </c>
      <c r="F26" s="17">
        <f t="shared" ref="F26:H26" si="29">F24-F25</f>
        <v>574.68524649999983</v>
      </c>
      <c r="G26" s="17">
        <f t="shared" si="29"/>
        <v>736.34026574299992</v>
      </c>
      <c r="H26" s="17">
        <f t="shared" si="29"/>
        <v>930.33652300571316</v>
      </c>
      <c r="I26" s="17">
        <f t="shared" ref="I26:Q26" si="30">I24-I25</f>
        <v>1162.5435093993171</v>
      </c>
      <c r="J26" s="17">
        <f t="shared" si="30"/>
        <v>1439.8533232729819</v>
      </c>
      <c r="K26" s="17">
        <f t="shared" si="30"/>
        <v>1610.6363549866621</v>
      </c>
      <c r="L26" s="17">
        <f t="shared" si="30"/>
        <v>1790.1162890210292</v>
      </c>
      <c r="M26" s="17">
        <f t="shared" si="30"/>
        <v>1978.7610859642004</v>
      </c>
      <c r="N26" s="17">
        <f t="shared" si="30"/>
        <v>2177.0620587225321</v>
      </c>
      <c r="O26" s="17">
        <f t="shared" si="30"/>
        <v>2385.5350515329246</v>
      </c>
      <c r="P26" s="17">
        <f t="shared" si="30"/>
        <v>2604.7216778760153</v>
      </c>
      <c r="Q26" s="17">
        <f t="shared" si="30"/>
        <v>2835.1906202393207</v>
      </c>
      <c r="R26" s="17">
        <f>Q26*($F$2+1)</f>
        <v>2778.4868078345344</v>
      </c>
      <c r="S26" s="17">
        <f t="shared" ref="S26:CD26" si="31">R26*($F$2+1)</f>
        <v>2722.9170716778435</v>
      </c>
      <c r="T26" s="17">
        <f t="shared" si="31"/>
        <v>2668.4587302442865</v>
      </c>
      <c r="U26" s="17">
        <f t="shared" si="31"/>
        <v>2615.0895556394007</v>
      </c>
      <c r="V26" s="17">
        <f t="shared" si="31"/>
        <v>2562.7877645266126</v>
      </c>
      <c r="W26" s="17">
        <f t="shared" si="31"/>
        <v>2511.5320092360803</v>
      </c>
      <c r="X26" s="17">
        <f t="shared" si="31"/>
        <v>2461.3013690513585</v>
      </c>
      <c r="Y26" s="17">
        <f t="shared" si="31"/>
        <v>2412.0753416703315</v>
      </c>
      <c r="Z26" s="17">
        <f t="shared" si="31"/>
        <v>2363.8338348369248</v>
      </c>
      <c r="AA26" s="17">
        <f t="shared" si="31"/>
        <v>2316.5571581401864</v>
      </c>
      <c r="AB26" s="17">
        <f t="shared" si="31"/>
        <v>2270.2260149773824</v>
      </c>
      <c r="AC26" s="17">
        <f t="shared" si="31"/>
        <v>2224.8214946778348</v>
      </c>
      <c r="AD26" s="17">
        <f t="shared" si="31"/>
        <v>2180.3250647842783</v>
      </c>
      <c r="AE26" s="17">
        <f t="shared" si="31"/>
        <v>2136.7185634885927</v>
      </c>
      <c r="AF26" s="17">
        <f t="shared" si="31"/>
        <v>2093.9841922188207</v>
      </c>
      <c r="AG26" s="17">
        <f t="shared" si="31"/>
        <v>2052.1045083744443</v>
      </c>
      <c r="AH26" s="17">
        <f t="shared" si="31"/>
        <v>2011.0624182069555</v>
      </c>
      <c r="AI26" s="17">
        <f t="shared" si="31"/>
        <v>1970.8411698428163</v>
      </c>
      <c r="AJ26" s="17">
        <f t="shared" si="31"/>
        <v>1931.4243464459598</v>
      </c>
      <c r="AK26" s="17">
        <f t="shared" si="31"/>
        <v>1892.7958595170405</v>
      </c>
      <c r="AL26" s="17">
        <f t="shared" si="31"/>
        <v>1854.9399423266998</v>
      </c>
      <c r="AM26" s="17">
        <f t="shared" si="31"/>
        <v>1817.8411434801658</v>
      </c>
      <c r="AN26" s="17">
        <f t="shared" si="31"/>
        <v>1781.4843206105625</v>
      </c>
      <c r="AO26" s="17">
        <f t="shared" si="31"/>
        <v>1745.8546341983513</v>
      </c>
      <c r="AP26" s="17">
        <f t="shared" si="31"/>
        <v>1710.9375415143843</v>
      </c>
      <c r="AQ26" s="17">
        <f t="shared" si="31"/>
        <v>1676.7187906840966</v>
      </c>
      <c r="AR26" s="17">
        <f t="shared" si="31"/>
        <v>1643.1844148704147</v>
      </c>
      <c r="AS26" s="17">
        <f t="shared" si="31"/>
        <v>1610.3207265730064</v>
      </c>
      <c r="AT26" s="17">
        <f t="shared" si="31"/>
        <v>1578.1143120415461</v>
      </c>
      <c r="AU26" s="17">
        <f t="shared" si="31"/>
        <v>1546.5520258007152</v>
      </c>
      <c r="AV26" s="17">
        <f t="shared" si="31"/>
        <v>1515.620985284701</v>
      </c>
      <c r="AW26" s="17">
        <f t="shared" si="31"/>
        <v>1485.3085655790069</v>
      </c>
      <c r="AX26" s="17">
        <f t="shared" si="31"/>
        <v>1455.6023942674267</v>
      </c>
      <c r="AY26" s="17">
        <f t="shared" si="31"/>
        <v>1426.4903463820781</v>
      </c>
      <c r="AZ26" s="17">
        <f t="shared" si="31"/>
        <v>1397.9605394544365</v>
      </c>
      <c r="BA26" s="17">
        <f t="shared" si="31"/>
        <v>1370.0013286653477</v>
      </c>
      <c r="BB26" s="17">
        <f t="shared" si="31"/>
        <v>1342.6013020920407</v>
      </c>
      <c r="BC26" s="17">
        <f t="shared" si="31"/>
        <v>1315.7492760501998</v>
      </c>
      <c r="BD26" s="17">
        <f t="shared" si="31"/>
        <v>1289.4342905291958</v>
      </c>
      <c r="BE26" s="17">
        <f t="shared" si="31"/>
        <v>1263.6456047186118</v>
      </c>
      <c r="BF26" s="17">
        <f t="shared" si="31"/>
        <v>1238.3726926242396</v>
      </c>
      <c r="BG26" s="17">
        <f t="shared" si="31"/>
        <v>1213.6052387717548</v>
      </c>
      <c r="BH26" s="17">
        <f t="shared" si="31"/>
        <v>1189.3331339963197</v>
      </c>
      <c r="BI26" s="17">
        <f t="shared" si="31"/>
        <v>1165.5464713163933</v>
      </c>
      <c r="BJ26" s="17">
        <f t="shared" si="31"/>
        <v>1142.2355418900654</v>
      </c>
      <c r="BK26" s="17">
        <f t="shared" si="31"/>
        <v>1119.390831052264</v>
      </c>
      <c r="BL26" s="17">
        <f t="shared" si="31"/>
        <v>1097.0030144312188</v>
      </c>
      <c r="BM26" s="17">
        <f t="shared" si="31"/>
        <v>1075.0629541425944</v>
      </c>
      <c r="BN26" s="17">
        <f t="shared" si="31"/>
        <v>1053.5616950597425</v>
      </c>
      <c r="BO26" s="17">
        <f t="shared" si="31"/>
        <v>1032.4904611585478</v>
      </c>
      <c r="BP26" s="17">
        <f t="shared" si="31"/>
        <v>1011.8406519353767</v>
      </c>
      <c r="BQ26" s="17">
        <f t="shared" si="31"/>
        <v>991.60383889666923</v>
      </c>
      <c r="BR26" s="17">
        <f t="shared" si="31"/>
        <v>971.77176211873586</v>
      </c>
      <c r="BS26" s="17">
        <f t="shared" si="31"/>
        <v>952.33632687636111</v>
      </c>
      <c r="BT26" s="17">
        <f t="shared" si="31"/>
        <v>933.28960033883391</v>
      </c>
      <c r="BU26" s="17">
        <f t="shared" si="31"/>
        <v>914.62380833205725</v>
      </c>
      <c r="BV26" s="17">
        <f t="shared" si="31"/>
        <v>896.33133216541614</v>
      </c>
      <c r="BW26" s="17">
        <f t="shared" si="31"/>
        <v>878.40470552210775</v>
      </c>
      <c r="BX26" s="17">
        <f t="shared" si="31"/>
        <v>860.83661141166556</v>
      </c>
      <c r="BY26" s="17">
        <f t="shared" si="31"/>
        <v>843.6198791834322</v>
      </c>
      <c r="BZ26" s="17">
        <f t="shared" si="31"/>
        <v>826.74748159976355</v>
      </c>
      <c r="CA26" s="17">
        <f t="shared" si="31"/>
        <v>810.21253196776831</v>
      </c>
      <c r="CB26" s="17">
        <f t="shared" si="31"/>
        <v>794.00828132841298</v>
      </c>
      <c r="CC26" s="17">
        <f t="shared" si="31"/>
        <v>778.12811570184465</v>
      </c>
      <c r="CD26" s="17">
        <f t="shared" si="31"/>
        <v>762.56555338780777</v>
      </c>
      <c r="CE26" s="17">
        <f t="shared" ref="CE26:DR26" si="32">CD26*($F$2+1)</f>
        <v>747.31424232005156</v>
      </c>
      <c r="CF26" s="17">
        <f t="shared" si="32"/>
        <v>732.36795747365056</v>
      </c>
      <c r="CG26" s="17">
        <f t="shared" si="32"/>
        <v>717.72059832417756</v>
      </c>
      <c r="CH26" s="17">
        <f t="shared" si="32"/>
        <v>703.366186357694</v>
      </c>
      <c r="CI26" s="17">
        <f t="shared" si="32"/>
        <v>689.29886263054016</v>
      </c>
      <c r="CJ26" s="17">
        <f t="shared" si="32"/>
        <v>675.51288537792936</v>
      </c>
      <c r="CK26" s="17">
        <f t="shared" si="32"/>
        <v>662.00262767037077</v>
      </c>
      <c r="CL26" s="17">
        <f t="shared" si="32"/>
        <v>648.76257511696338</v>
      </c>
      <c r="CM26" s="17">
        <f t="shared" si="32"/>
        <v>635.78732361462414</v>
      </c>
      <c r="CN26" s="17">
        <f t="shared" si="32"/>
        <v>623.07157714233165</v>
      </c>
      <c r="CO26" s="17">
        <f t="shared" si="32"/>
        <v>610.61014559948501</v>
      </c>
      <c r="CP26" s="17">
        <f t="shared" si="32"/>
        <v>598.39794268749529</v>
      </c>
      <c r="CQ26" s="17">
        <f t="shared" si="32"/>
        <v>586.42998383374538</v>
      </c>
      <c r="CR26" s="17">
        <f t="shared" si="32"/>
        <v>574.70138415707049</v>
      </c>
      <c r="CS26" s="17">
        <f t="shared" si="32"/>
        <v>563.20735647392905</v>
      </c>
      <c r="CT26" s="17">
        <f t="shared" si="32"/>
        <v>551.94320934445045</v>
      </c>
      <c r="CU26" s="17">
        <f t="shared" si="32"/>
        <v>540.90434515756147</v>
      </c>
      <c r="CV26" s="17">
        <f t="shared" si="32"/>
        <v>530.08625825441027</v>
      </c>
      <c r="CW26" s="17">
        <f t="shared" si="32"/>
        <v>519.4845330893221</v>
      </c>
      <c r="CX26" s="17">
        <f t="shared" si="32"/>
        <v>509.09484242753564</v>
      </c>
      <c r="CY26" s="17">
        <f t="shared" si="32"/>
        <v>498.91294557898493</v>
      </c>
      <c r="CZ26" s="17">
        <f t="shared" si="32"/>
        <v>488.93468666740523</v>
      </c>
      <c r="DA26" s="17">
        <f t="shared" si="32"/>
        <v>479.15599293405711</v>
      </c>
      <c r="DB26" s="17">
        <f t="shared" si="32"/>
        <v>469.57287307537598</v>
      </c>
      <c r="DC26" s="17">
        <f t="shared" si="32"/>
        <v>460.18141561386847</v>
      </c>
      <c r="DD26" s="17">
        <f t="shared" si="32"/>
        <v>450.97778730159109</v>
      </c>
      <c r="DE26" s="17">
        <f t="shared" si="32"/>
        <v>441.95823155555928</v>
      </c>
      <c r="DF26" s="17">
        <f t="shared" si="32"/>
        <v>433.11906692444808</v>
      </c>
      <c r="DG26" s="17">
        <f t="shared" si="32"/>
        <v>424.45668558595912</v>
      </c>
      <c r="DH26" s="17">
        <f t="shared" si="32"/>
        <v>415.96755187423992</v>
      </c>
      <c r="DI26" s="17">
        <f t="shared" si="32"/>
        <v>407.64820083675511</v>
      </c>
      <c r="DJ26" s="17">
        <f t="shared" si="32"/>
        <v>399.49523682002001</v>
      </c>
      <c r="DK26" s="17">
        <f t="shared" si="32"/>
        <v>391.50533208361958</v>
      </c>
      <c r="DL26" s="17">
        <f t="shared" si="32"/>
        <v>383.67522544194719</v>
      </c>
      <c r="DM26" s="17">
        <f t="shared" si="32"/>
        <v>376.00172093310823</v>
      </c>
      <c r="DN26" s="17">
        <f t="shared" si="32"/>
        <v>368.48168651444604</v>
      </c>
      <c r="DO26" s="17">
        <f t="shared" si="32"/>
        <v>361.11205278415713</v>
      </c>
      <c r="DP26" s="17">
        <f t="shared" si="32"/>
        <v>353.889811728474</v>
      </c>
      <c r="DQ26" s="17">
        <f t="shared" si="32"/>
        <v>346.81201549390454</v>
      </c>
      <c r="DR26" s="17">
        <f t="shared" si="32"/>
        <v>339.87577518402645</v>
      </c>
    </row>
    <row r="27" spans="1:122" x14ac:dyDescent="0.15">
      <c r="A27" s="3" t="s">
        <v>16</v>
      </c>
      <c r="B27" s="19">
        <f>B26/B28</f>
        <v>0.54071993070857638</v>
      </c>
      <c r="C27" s="19">
        <f>C26/C28</f>
        <v>0.62853444988707363</v>
      </c>
      <c r="D27" s="19">
        <f>D26/D28</f>
        <v>1.3043615063496306</v>
      </c>
      <c r="E27" s="19">
        <f>E26/E28</f>
        <v>1.6025296555182476</v>
      </c>
      <c r="F27" s="20">
        <f t="shared" ref="F27:H27" si="33">F26/F28</f>
        <v>1.9471681021484786</v>
      </c>
      <c r="G27" s="20">
        <f t="shared" si="33"/>
        <v>2.4948931376165127</v>
      </c>
      <c r="H27" s="20">
        <f t="shared" si="33"/>
        <v>3.1521978559448707</v>
      </c>
      <c r="I27" s="20">
        <f t="shared" ref="I27:Q27" si="34">I26/I28</f>
        <v>3.9389694665880048</v>
      </c>
      <c r="J27" s="20">
        <f t="shared" si="34"/>
        <v>4.8785600116317456</v>
      </c>
      <c r="K27" s="20">
        <f t="shared" si="34"/>
        <v>5.4572128894746612</v>
      </c>
      <c r="L27" s="20">
        <f t="shared" si="34"/>
        <v>6.0653329076165097</v>
      </c>
      <c r="M27" s="20">
        <f t="shared" si="34"/>
        <v>6.7045056260412901</v>
      </c>
      <c r="N27" s="20">
        <f t="shared" si="34"/>
        <v>7.3763957278520698</v>
      </c>
      <c r="O27" s="20">
        <f t="shared" si="34"/>
        <v>8.0827510140405856</v>
      </c>
      <c r="P27" s="20">
        <f t="shared" si="34"/>
        <v>8.8254065978268379</v>
      </c>
      <c r="Q27" s="20">
        <f t="shared" si="34"/>
        <v>9.6062893085607826</v>
      </c>
      <c r="R27" s="20"/>
      <c r="S27" s="20"/>
      <c r="T27" s="20"/>
      <c r="U27" s="20"/>
      <c r="V27" s="20"/>
    </row>
    <row r="28" spans="1:122" s="16" customFormat="1" x14ac:dyDescent="0.15">
      <c r="A28" s="16" t="s">
        <v>17</v>
      </c>
      <c r="B28" s="8">
        <f>Reports!E22</f>
        <v>222.827</v>
      </c>
      <c r="C28" s="8">
        <f>Reports!I22</f>
        <v>272.74400000000003</v>
      </c>
      <c r="D28" s="8">
        <f>Reports!M22</f>
        <v>273.32299999999998</v>
      </c>
      <c r="E28" s="8">
        <f>Reports!Q22</f>
        <v>295.13900000000001</v>
      </c>
      <c r="F28" s="8">
        <f>E28</f>
        <v>295.13900000000001</v>
      </c>
      <c r="G28" s="8">
        <f t="shared" ref="G28" si="35">F28</f>
        <v>295.13900000000001</v>
      </c>
      <c r="H28" s="8">
        <f t="shared" ref="H28" si="36">G28</f>
        <v>295.13900000000001</v>
      </c>
      <c r="I28" s="8">
        <f t="shared" ref="I28" si="37">H28</f>
        <v>295.13900000000001</v>
      </c>
      <c r="J28" s="8">
        <f t="shared" ref="J28" si="38">I28</f>
        <v>295.13900000000001</v>
      </c>
      <c r="K28" s="8">
        <f t="shared" ref="K28" si="39">J28</f>
        <v>295.13900000000001</v>
      </c>
      <c r="L28" s="8">
        <f t="shared" ref="L28" si="40">K28</f>
        <v>295.13900000000001</v>
      </c>
      <c r="M28" s="8">
        <f t="shared" ref="M28" si="41">L28</f>
        <v>295.13900000000001</v>
      </c>
      <c r="N28" s="8">
        <f t="shared" ref="N28" si="42">M28</f>
        <v>295.13900000000001</v>
      </c>
      <c r="O28" s="8">
        <f t="shared" ref="O28" si="43">N28</f>
        <v>295.13900000000001</v>
      </c>
      <c r="P28" s="8">
        <f t="shared" ref="P28" si="44">O28</f>
        <v>295.13900000000001</v>
      </c>
      <c r="Q28" s="8">
        <f t="shared" ref="Q28" si="45">P28</f>
        <v>295.13900000000001</v>
      </c>
      <c r="R28" s="8"/>
      <c r="S28" s="8"/>
      <c r="T28" s="8"/>
      <c r="U28" s="8"/>
      <c r="V28" s="8"/>
    </row>
    <row r="29" spans="1:122" x14ac:dyDescent="0.15">
      <c r="B29" s="6"/>
      <c r="C29" s="6"/>
      <c r="D29" s="6"/>
      <c r="E29" s="6"/>
      <c r="F29" s="6"/>
      <c r="G29" s="6"/>
      <c r="H29" s="6"/>
      <c r="I29" s="6"/>
      <c r="J29" s="6"/>
      <c r="K29" s="6"/>
      <c r="L29" s="6"/>
      <c r="M29" s="6"/>
      <c r="N29" s="6"/>
      <c r="O29" s="6"/>
      <c r="P29" s="6"/>
      <c r="Q29" s="6"/>
      <c r="R29" s="6"/>
      <c r="S29" s="6"/>
      <c r="T29" s="6"/>
      <c r="U29" s="6"/>
      <c r="V29" s="6"/>
    </row>
    <row r="30" spans="1:122" x14ac:dyDescent="0.15">
      <c r="A30" s="3" t="s">
        <v>19</v>
      </c>
      <c r="B30" s="23">
        <f t="shared" ref="B30:C30" si="46">IFERROR(B17/B15,0)</f>
        <v>0.82557566361664825</v>
      </c>
      <c r="C30" s="23">
        <f t="shared" si="46"/>
        <v>0.80863719871806405</v>
      </c>
      <c r="D30" s="23">
        <f t="shared" ref="D30:Q30" si="47">IFERROR(D17/D15,0)</f>
        <v>0.78995476684144195</v>
      </c>
      <c r="E30" s="23">
        <f>IFERROR(E17/E15,0)</f>
        <v>0.76298522993323126</v>
      </c>
      <c r="F30" s="23">
        <f t="shared" si="47"/>
        <v>0.76298522993323126</v>
      </c>
      <c r="G30" s="23">
        <f t="shared" si="47"/>
        <v>0.76298522993323126</v>
      </c>
      <c r="H30" s="23">
        <f>IFERROR(H17/H15,0)</f>
        <v>0.76298522993323115</v>
      </c>
      <c r="I30" s="23">
        <f t="shared" si="47"/>
        <v>0.76298522993323115</v>
      </c>
      <c r="J30" s="23">
        <f t="shared" si="47"/>
        <v>0.76298522993323115</v>
      </c>
      <c r="K30" s="23">
        <f t="shared" si="47"/>
        <v>0.76298522993323115</v>
      </c>
      <c r="L30" s="23">
        <f t="shared" si="47"/>
        <v>0.76298522993323115</v>
      </c>
      <c r="M30" s="23">
        <f t="shared" si="47"/>
        <v>0.76298522993323115</v>
      </c>
      <c r="N30" s="23">
        <f t="shared" si="47"/>
        <v>0.76298522993323115</v>
      </c>
      <c r="O30" s="23">
        <f t="shared" si="47"/>
        <v>0.76298522993323115</v>
      </c>
      <c r="P30" s="23">
        <f t="shared" si="47"/>
        <v>0.76298522993323115</v>
      </c>
      <c r="Q30" s="23">
        <f t="shared" si="47"/>
        <v>0.76298522993323126</v>
      </c>
      <c r="R30" s="23"/>
      <c r="S30" s="23"/>
      <c r="T30" s="23"/>
      <c r="U30" s="23"/>
      <c r="V30" s="23"/>
    </row>
    <row r="31" spans="1:122" x14ac:dyDescent="0.15">
      <c r="A31" s="3" t="s">
        <v>20</v>
      </c>
      <c r="B31" s="22">
        <f t="shared" ref="B31:C31" si="48">IFERROR(B22/B15,0)</f>
        <v>0.18968063494738979</v>
      </c>
      <c r="C31" s="22">
        <f t="shared" si="48"/>
        <v>0.25022617105893863</v>
      </c>
      <c r="D31" s="22">
        <f t="shared" ref="D31:Q31" si="49">IFERROR(D22/D15,0)</f>
        <v>0.2709307629817061</v>
      </c>
      <c r="E31" s="22">
        <f>IFERROR(E22/E15,0)</f>
        <v>0.31985085412029945</v>
      </c>
      <c r="F31" s="22">
        <f t="shared" si="49"/>
        <v>0.34620924831701794</v>
      </c>
      <c r="G31" s="22">
        <f t="shared" si="49"/>
        <v>0.37022306646024961</v>
      </c>
      <c r="H31" s="22">
        <f t="shared" si="49"/>
        <v>0.39209290924105794</v>
      </c>
      <c r="I31" s="22">
        <f t="shared" si="49"/>
        <v>0.41200071771494717</v>
      </c>
      <c r="J31" s="22">
        <f t="shared" si="49"/>
        <v>0.43011157197295902</v>
      </c>
      <c r="K31" s="22">
        <f t="shared" si="49"/>
        <v>0.45230314917031067</v>
      </c>
      <c r="L31" s="22">
        <f t="shared" si="49"/>
        <v>0.47301528788783859</v>
      </c>
      <c r="M31" s="22">
        <f t="shared" si="49"/>
        <v>0.49234661735753138</v>
      </c>
      <c r="N31" s="22">
        <f t="shared" si="49"/>
        <v>0.51038919152924478</v>
      </c>
      <c r="O31" s="22">
        <f t="shared" si="49"/>
        <v>0.52722892742284388</v>
      </c>
      <c r="P31" s="22">
        <f t="shared" si="49"/>
        <v>0.54294601425686972</v>
      </c>
      <c r="Q31" s="22">
        <f t="shared" si="49"/>
        <v>0.55761529530196052</v>
      </c>
      <c r="R31" s="22"/>
      <c r="S31" s="22"/>
      <c r="T31" s="22"/>
      <c r="U31" s="22"/>
      <c r="V31" s="22"/>
    </row>
    <row r="32" spans="1:122" x14ac:dyDescent="0.15">
      <c r="A32" s="3" t="s">
        <v>21</v>
      </c>
      <c r="B32" s="22">
        <f t="shared" ref="B32:C32" si="50">IFERROR(B25/B24,0)</f>
        <v>0.32833291523817504</v>
      </c>
      <c r="C32" s="22">
        <f t="shared" si="50"/>
        <v>0.25976095273462124</v>
      </c>
      <c r="D32" s="22">
        <f t="shared" ref="D32:Q32" si="51">IFERROR(D25/D24,0)</f>
        <v>-0.41402875557759033</v>
      </c>
      <c r="E32" s="22">
        <f>IFERROR(E25/E24,0)</f>
        <v>3.0089696949811531E-2</v>
      </c>
      <c r="F32" s="22">
        <f t="shared" si="51"/>
        <v>0.15</v>
      </c>
      <c r="G32" s="22">
        <f t="shared" si="51"/>
        <v>0.15</v>
      </c>
      <c r="H32" s="22">
        <f t="shared" si="51"/>
        <v>0.15</v>
      </c>
      <c r="I32" s="22">
        <f t="shared" si="51"/>
        <v>0.15</v>
      </c>
      <c r="J32" s="22">
        <f t="shared" si="51"/>
        <v>0.15</v>
      </c>
      <c r="K32" s="22">
        <f t="shared" si="51"/>
        <v>0.15</v>
      </c>
      <c r="L32" s="22">
        <f t="shared" si="51"/>
        <v>0.15</v>
      </c>
      <c r="M32" s="22">
        <f t="shared" si="51"/>
        <v>0.15</v>
      </c>
      <c r="N32" s="22">
        <f t="shared" si="51"/>
        <v>0.15</v>
      </c>
      <c r="O32" s="22">
        <f t="shared" si="51"/>
        <v>0.15</v>
      </c>
      <c r="P32" s="22">
        <f t="shared" si="51"/>
        <v>0.15</v>
      </c>
      <c r="Q32" s="22">
        <f t="shared" si="51"/>
        <v>0.15</v>
      </c>
      <c r="R32" s="22"/>
      <c r="S32" s="22"/>
      <c r="T32" s="22"/>
      <c r="U32" s="22"/>
      <c r="V32" s="22"/>
    </row>
    <row r="33" spans="1:122" x14ac:dyDescent="0.15">
      <c r="B33" s="22"/>
      <c r="C33" s="22"/>
      <c r="D33" s="22"/>
      <c r="E33" s="22"/>
      <c r="F33" s="22"/>
      <c r="G33" s="22"/>
      <c r="H33" s="22"/>
      <c r="I33" s="22"/>
      <c r="J33" s="22"/>
      <c r="K33" s="22"/>
      <c r="L33" s="22"/>
      <c r="M33" s="22"/>
      <c r="N33" s="22"/>
      <c r="O33" s="22"/>
      <c r="P33" s="22"/>
      <c r="Q33" s="22"/>
      <c r="R33" s="22"/>
      <c r="S33" s="22"/>
      <c r="T33" s="22"/>
      <c r="U33" s="22"/>
      <c r="V33" s="22"/>
    </row>
    <row r="34" spans="1:122" x14ac:dyDescent="0.15">
      <c r="A34" s="2" t="s">
        <v>18</v>
      </c>
      <c r="B34" s="21"/>
      <c r="C34" s="21">
        <f t="shared" ref="C34" si="52">C15/B15-1</f>
        <v>0.19804866767081752</v>
      </c>
      <c r="D34" s="21">
        <f>D15/C15-1</f>
        <v>8.8452106540065412E-2</v>
      </c>
      <c r="E34" s="21">
        <f t="shared" ref="E34:Q34" si="53">E15/D15-1</f>
        <v>0.29999301099228126</v>
      </c>
      <c r="F34" s="21">
        <f t="shared" si="53"/>
        <v>0.17299999999999982</v>
      </c>
      <c r="G34" s="21">
        <f t="shared" si="53"/>
        <v>0.17300000000000004</v>
      </c>
      <c r="H34" s="21">
        <f t="shared" si="53"/>
        <v>0.17300000000000004</v>
      </c>
      <c r="I34" s="21">
        <f t="shared" si="53"/>
        <v>0.17300000000000004</v>
      </c>
      <c r="J34" s="21">
        <f t="shared" si="53"/>
        <v>0.17300000000000004</v>
      </c>
      <c r="K34" s="21">
        <f t="shared" si="53"/>
        <v>5.0000000000000044E-2</v>
      </c>
      <c r="L34" s="21">
        <f t="shared" si="53"/>
        <v>5.0000000000000044E-2</v>
      </c>
      <c r="M34" s="21">
        <f t="shared" si="53"/>
        <v>5.0000000000000044E-2</v>
      </c>
      <c r="N34" s="21">
        <f t="shared" si="53"/>
        <v>5.0000000000000044E-2</v>
      </c>
      <c r="O34" s="21">
        <f t="shared" si="53"/>
        <v>5.0000000000000044E-2</v>
      </c>
      <c r="P34" s="21">
        <f t="shared" si="53"/>
        <v>5.0000000000000044E-2</v>
      </c>
      <c r="Q34" s="21">
        <f t="shared" si="53"/>
        <v>5.0000000000000044E-2</v>
      </c>
      <c r="R34" s="21"/>
      <c r="S34" s="21"/>
      <c r="T34" s="21"/>
      <c r="U34" s="21"/>
      <c r="V34" s="21"/>
    </row>
    <row r="35" spans="1:122" x14ac:dyDescent="0.15">
      <c r="A35" s="3" t="s">
        <v>58</v>
      </c>
      <c r="B35" s="22"/>
      <c r="C35" s="22">
        <f t="shared" ref="C35:C37" si="54">C18/B18-1</f>
        <v>0.23336995901882762</v>
      </c>
      <c r="D35" s="22">
        <f t="shared" ref="D35:D37" si="55">D18/C18-1</f>
        <v>0.21772106181905748</v>
      </c>
      <c r="E35" s="22">
        <f t="shared" ref="E35:Q35" si="56">E18/D18-1</f>
        <v>0.3052891744933266</v>
      </c>
      <c r="F35" s="22">
        <f t="shared" si="56"/>
        <v>0.19999999999999996</v>
      </c>
      <c r="G35" s="22">
        <f t="shared" si="56"/>
        <v>0.19999999999999996</v>
      </c>
      <c r="H35" s="22">
        <f t="shared" si="56"/>
        <v>0.19999999999999996</v>
      </c>
      <c r="I35" s="22">
        <f t="shared" si="56"/>
        <v>0.19999999999999996</v>
      </c>
      <c r="J35" s="22">
        <f t="shared" si="56"/>
        <v>0.19999999999999996</v>
      </c>
      <c r="K35" s="22">
        <f t="shared" si="56"/>
        <v>-2.0000000000000018E-2</v>
      </c>
      <c r="L35" s="22">
        <f t="shared" si="56"/>
        <v>-2.0000000000000129E-2</v>
      </c>
      <c r="M35" s="22">
        <f t="shared" si="56"/>
        <v>-2.0000000000000018E-2</v>
      </c>
      <c r="N35" s="22">
        <f t="shared" si="56"/>
        <v>-2.0000000000000018E-2</v>
      </c>
      <c r="O35" s="22">
        <f t="shared" si="56"/>
        <v>-1.9999999999999907E-2</v>
      </c>
      <c r="P35" s="22">
        <f t="shared" si="56"/>
        <v>-2.0000000000000018E-2</v>
      </c>
      <c r="Q35" s="22">
        <f t="shared" si="56"/>
        <v>-2.0000000000000018E-2</v>
      </c>
      <c r="R35" s="22"/>
      <c r="S35" s="22"/>
      <c r="T35" s="22"/>
      <c r="U35" s="22"/>
      <c r="V35" s="22"/>
    </row>
    <row r="36" spans="1:122" x14ac:dyDescent="0.15">
      <c r="A36" s="3" t="s">
        <v>59</v>
      </c>
      <c r="B36" s="22"/>
      <c r="C36" s="22">
        <f t="shared" si="54"/>
        <v>1.8440035817774314E-2</v>
      </c>
      <c r="D36" s="22">
        <f t="shared" si="55"/>
        <v>2.5615120593945218E-2</v>
      </c>
      <c r="E36" s="22">
        <f t="shared" ref="E36:Q36" si="57">E19/D19-1</f>
        <v>0.1180586246372568</v>
      </c>
      <c r="F36" s="22">
        <f t="shared" si="57"/>
        <v>0.10000000000000009</v>
      </c>
      <c r="G36" s="22">
        <f t="shared" si="57"/>
        <v>0.10000000000000009</v>
      </c>
      <c r="H36" s="22">
        <f t="shared" si="57"/>
        <v>0.10000000000000009</v>
      </c>
      <c r="I36" s="22">
        <f t="shared" si="57"/>
        <v>0.10000000000000009</v>
      </c>
      <c r="J36" s="22">
        <f t="shared" si="57"/>
        <v>0.10000000000000009</v>
      </c>
      <c r="K36" s="22">
        <f t="shared" si="57"/>
        <v>-2.0000000000000018E-2</v>
      </c>
      <c r="L36" s="22">
        <f t="shared" si="57"/>
        <v>-2.0000000000000018E-2</v>
      </c>
      <c r="M36" s="22">
        <f t="shared" si="57"/>
        <v>-1.9999999999999907E-2</v>
      </c>
      <c r="N36" s="22">
        <f t="shared" si="57"/>
        <v>-2.0000000000000129E-2</v>
      </c>
      <c r="O36" s="22">
        <f t="shared" si="57"/>
        <v>-2.0000000000000018E-2</v>
      </c>
      <c r="P36" s="22">
        <f t="shared" si="57"/>
        <v>-2.0000000000000018E-2</v>
      </c>
      <c r="Q36" s="22">
        <f t="shared" si="57"/>
        <v>-2.0000000000000129E-2</v>
      </c>
      <c r="R36" s="22"/>
      <c r="S36" s="22"/>
      <c r="T36" s="22"/>
      <c r="U36" s="22"/>
      <c r="V36" s="22"/>
    </row>
    <row r="37" spans="1:122" x14ac:dyDescent="0.15">
      <c r="A37" s="3" t="s">
        <v>60</v>
      </c>
      <c r="B37" s="22"/>
      <c r="C37" s="22">
        <f t="shared" si="54"/>
        <v>5.1531713383286437E-2</v>
      </c>
      <c r="D37" s="22">
        <f t="shared" si="55"/>
        <v>-8.3525439415883196E-2</v>
      </c>
      <c r="E37" s="22">
        <f t="shared" ref="E37:Q37" si="58">E20/D20-1</f>
        <v>3.2120064520653191E-3</v>
      </c>
      <c r="F37" s="22">
        <f t="shared" si="58"/>
        <v>5.0000000000000044E-2</v>
      </c>
      <c r="G37" s="22">
        <f t="shared" si="58"/>
        <v>5.0000000000000044E-2</v>
      </c>
      <c r="H37" s="22">
        <f t="shared" si="58"/>
        <v>5.0000000000000044E-2</v>
      </c>
      <c r="I37" s="22">
        <f t="shared" si="58"/>
        <v>5.0000000000000044E-2</v>
      </c>
      <c r="J37" s="22">
        <f t="shared" si="58"/>
        <v>5.0000000000000044E-2</v>
      </c>
      <c r="K37" s="22">
        <f t="shared" si="58"/>
        <v>-2.0000000000000018E-2</v>
      </c>
      <c r="L37" s="22">
        <f t="shared" si="58"/>
        <v>-2.0000000000000018E-2</v>
      </c>
      <c r="M37" s="22">
        <f t="shared" si="58"/>
        <v>-2.0000000000000018E-2</v>
      </c>
      <c r="N37" s="22">
        <f t="shared" si="58"/>
        <v>-2.0000000000000018E-2</v>
      </c>
      <c r="O37" s="22">
        <f t="shared" si="58"/>
        <v>-2.0000000000000018E-2</v>
      </c>
      <c r="P37" s="22">
        <f t="shared" si="58"/>
        <v>-2.0000000000000018E-2</v>
      </c>
      <c r="Q37" s="22">
        <f t="shared" si="58"/>
        <v>-2.0000000000000018E-2</v>
      </c>
      <c r="R37" s="22"/>
      <c r="S37" s="22"/>
      <c r="T37" s="22"/>
      <c r="U37" s="22"/>
      <c r="V37" s="22"/>
    </row>
    <row r="38" spans="1:122" x14ac:dyDescent="0.15">
      <c r="B38" s="6"/>
      <c r="C38" s="6"/>
      <c r="D38" s="6"/>
      <c r="E38" s="6"/>
      <c r="F38" s="6"/>
      <c r="G38" s="6"/>
      <c r="H38" s="6"/>
      <c r="I38" s="6"/>
      <c r="J38" s="6"/>
      <c r="K38" s="6"/>
      <c r="L38" s="6"/>
      <c r="M38" s="6"/>
      <c r="N38" s="6"/>
      <c r="O38" s="6"/>
      <c r="P38" s="6"/>
      <c r="Q38" s="6"/>
      <c r="R38" s="6"/>
      <c r="S38" s="6"/>
      <c r="T38" s="6"/>
      <c r="U38" s="6"/>
      <c r="V38" s="6"/>
    </row>
    <row r="39" spans="1:122" x14ac:dyDescent="0.15">
      <c r="A39" s="2" t="s">
        <v>33</v>
      </c>
      <c r="D39" s="17">
        <f>D40-D41</f>
        <v>-968.93499999999995</v>
      </c>
      <c r="E39" s="17">
        <f>E40-E41</f>
        <v>-1319.8880000000001</v>
      </c>
      <c r="F39" s="51">
        <f>E39+F26</f>
        <v>-745.20275350000031</v>
      </c>
      <c r="G39" s="51">
        <f t="shared" ref="G39:Q39" si="59">F39+G26</f>
        <v>-8.8624877570003946</v>
      </c>
      <c r="H39" s="51">
        <f>G39+H26</f>
        <v>921.47403524871277</v>
      </c>
      <c r="I39" s="51">
        <f t="shared" si="59"/>
        <v>2084.0175446480298</v>
      </c>
      <c r="J39" s="51">
        <f t="shared" si="59"/>
        <v>3523.8708679210117</v>
      </c>
      <c r="K39" s="51">
        <f t="shared" si="59"/>
        <v>5134.5072229076741</v>
      </c>
      <c r="L39" s="51">
        <f t="shared" si="59"/>
        <v>6924.623511928703</v>
      </c>
      <c r="M39" s="51">
        <f t="shared" si="59"/>
        <v>8903.3845978929039</v>
      </c>
      <c r="N39" s="51">
        <f t="shared" si="59"/>
        <v>11080.446656615437</v>
      </c>
      <c r="O39" s="51">
        <f t="shared" si="59"/>
        <v>13465.981708148362</v>
      </c>
      <c r="P39" s="51">
        <f t="shared" si="59"/>
        <v>16070.703386024377</v>
      </c>
      <c r="Q39" s="51">
        <f t="shared" si="59"/>
        <v>18905.894006263698</v>
      </c>
      <c r="R39" s="18"/>
      <c r="S39" s="18"/>
      <c r="T39" s="18"/>
      <c r="U39" s="18"/>
      <c r="V39" s="18"/>
    </row>
    <row r="40" spans="1:122" x14ac:dyDescent="0.15">
      <c r="A40" s="3" t="s">
        <v>34</v>
      </c>
      <c r="D40" s="53">
        <f>Reports!M34</f>
        <v>283.76100000000002</v>
      </c>
      <c r="E40" s="53">
        <f>Reports!Q34</f>
        <v>196.023</v>
      </c>
      <c r="F40" s="53"/>
      <c r="G40" s="53"/>
      <c r="H40" s="53"/>
      <c r="I40" s="53"/>
      <c r="J40" s="53"/>
      <c r="K40" s="53"/>
      <c r="L40" s="53"/>
      <c r="M40" s="53"/>
      <c r="N40" s="53"/>
      <c r="O40" s="53"/>
      <c r="P40" s="53"/>
      <c r="Q40" s="53"/>
      <c r="R40" s="8"/>
      <c r="S40" s="8"/>
      <c r="T40" s="8"/>
      <c r="U40" s="8"/>
      <c r="V40" s="8"/>
    </row>
    <row r="41" spans="1:122" x14ac:dyDescent="0.15">
      <c r="A41" s="3" t="s">
        <v>35</v>
      </c>
      <c r="D41" s="53">
        <f>Reports!M35</f>
        <v>1252.6959999999999</v>
      </c>
      <c r="E41" s="53">
        <f>Reports!Q35</f>
        <v>1515.9110000000001</v>
      </c>
      <c r="F41" s="53"/>
      <c r="G41" s="53"/>
      <c r="H41" s="53"/>
      <c r="I41" s="53"/>
      <c r="J41" s="53"/>
      <c r="K41" s="53"/>
      <c r="L41" s="53"/>
      <c r="M41" s="53"/>
      <c r="N41" s="53"/>
      <c r="O41" s="53"/>
      <c r="P41" s="53"/>
      <c r="Q41" s="53"/>
      <c r="R41" s="8"/>
      <c r="S41" s="8"/>
      <c r="T41" s="8"/>
      <c r="U41" s="8"/>
      <c r="V41" s="8"/>
    </row>
    <row r="42" spans="1:122" x14ac:dyDescent="0.15">
      <c r="D42" s="24"/>
      <c r="E42" s="24"/>
      <c r="F42" s="24"/>
      <c r="G42" s="24"/>
      <c r="H42" s="24"/>
      <c r="I42" s="24"/>
      <c r="J42" s="24"/>
      <c r="K42" s="24"/>
      <c r="L42" s="24"/>
      <c r="M42" s="24"/>
      <c r="N42" s="24"/>
      <c r="O42" s="24"/>
      <c r="P42" s="24"/>
      <c r="Q42" s="24"/>
      <c r="R42" s="25"/>
      <c r="S42" s="25"/>
      <c r="T42" s="25"/>
      <c r="U42" s="25"/>
      <c r="V42" s="25"/>
    </row>
    <row r="43" spans="1:122" x14ac:dyDescent="0.15">
      <c r="A43" s="3" t="s">
        <v>73</v>
      </c>
      <c r="D43" s="53">
        <f>Reports!M37</f>
        <v>1477.989</v>
      </c>
      <c r="E43" s="53">
        <f>Reports!Q37</f>
        <v>1482.3980000000001</v>
      </c>
      <c r="F43" s="52"/>
      <c r="G43" s="52"/>
      <c r="H43" s="52"/>
      <c r="I43" s="52"/>
      <c r="J43" s="52"/>
      <c r="K43" s="52"/>
      <c r="L43" s="52"/>
      <c r="M43" s="52"/>
      <c r="N43" s="52"/>
      <c r="O43" s="52"/>
      <c r="P43" s="52"/>
      <c r="Q43" s="52"/>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row>
    <row r="44" spans="1:122" x14ac:dyDescent="0.15">
      <c r="A44" s="3" t="s">
        <v>74</v>
      </c>
      <c r="D44" s="53">
        <f>Reports!M38</f>
        <v>2130.1460000000002</v>
      </c>
      <c r="E44" s="53">
        <f>Reports!Q38</f>
        <v>2053.0610000000001</v>
      </c>
      <c r="F44" s="52"/>
      <c r="G44" s="52"/>
      <c r="H44" s="52"/>
      <c r="I44" s="52"/>
      <c r="J44" s="52"/>
      <c r="K44" s="52"/>
      <c r="L44" s="52"/>
      <c r="M44" s="52"/>
      <c r="N44" s="52"/>
      <c r="O44" s="52"/>
      <c r="P44" s="52"/>
      <c r="Q44" s="52"/>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row>
    <row r="45" spans="1:122" x14ac:dyDescent="0.15">
      <c r="A45" s="3" t="s">
        <v>75</v>
      </c>
      <c r="D45" s="53">
        <f>Reports!M39</f>
        <v>1628.8970000000002</v>
      </c>
      <c r="E45" s="53">
        <f>Reports!Q39</f>
        <v>1927.1969999999999</v>
      </c>
      <c r="F45" s="52"/>
      <c r="G45" s="52"/>
      <c r="H45" s="52"/>
      <c r="I45" s="52"/>
      <c r="J45" s="52"/>
      <c r="K45" s="52"/>
      <c r="L45" s="52"/>
      <c r="M45" s="52"/>
      <c r="N45" s="52"/>
      <c r="O45" s="52"/>
      <c r="P45" s="52"/>
      <c r="Q45" s="52"/>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row>
    <row r="47" spans="1:122" x14ac:dyDescent="0.15">
      <c r="A47" s="3" t="s">
        <v>76</v>
      </c>
      <c r="D47" s="54">
        <f>D44-D43-D40</f>
        <v>368.39600000000013</v>
      </c>
      <c r="E47" s="54">
        <f>E44-E43-E40</f>
        <v>374.64</v>
      </c>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row>
    <row r="48" spans="1:122" x14ac:dyDescent="0.15">
      <c r="A48" s="3" t="s">
        <v>77</v>
      </c>
      <c r="D48" s="54">
        <f>D44-D45</f>
        <v>501.24900000000002</v>
      </c>
      <c r="E48" s="54">
        <f>E44-E45</f>
        <v>125.86400000000026</v>
      </c>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row>
    <row r="50" spans="1:10" x14ac:dyDescent="0.15">
      <c r="A50" s="26" t="s">
        <v>79</v>
      </c>
      <c r="B50" s="27"/>
      <c r="C50" s="27"/>
      <c r="D50" s="27">
        <f>D26/D48</f>
        <v>0.71124730423402349</v>
      </c>
      <c r="E50" s="27">
        <f>E26/E48</f>
        <v>3.7577782368270447</v>
      </c>
    </row>
    <row r="51" spans="1:10" x14ac:dyDescent="0.15">
      <c r="A51" s="26" t="s">
        <v>80</v>
      </c>
      <c r="B51" s="27"/>
      <c r="C51" s="27"/>
      <c r="D51" s="27">
        <f>D26/D44</f>
        <v>0.16736505385076891</v>
      </c>
      <c r="E51" s="27">
        <f>E26/E44</f>
        <v>0.23037259974253083</v>
      </c>
    </row>
    <row r="52" spans="1:10" x14ac:dyDescent="0.15">
      <c r="A52" s="26" t="s">
        <v>81</v>
      </c>
      <c r="B52" s="27"/>
      <c r="C52" s="27"/>
      <c r="D52" s="27">
        <f>D26/(D48-D43)</f>
        <v>-0.36500194524643209</v>
      </c>
      <c r="E52" s="27">
        <f>E26/(E48-E43)</f>
        <v>-0.34865989352275739</v>
      </c>
    </row>
    <row r="53" spans="1:10" x14ac:dyDescent="0.15">
      <c r="A53" s="26" t="s">
        <v>82</v>
      </c>
      <c r="B53" s="27"/>
      <c r="C53" s="27"/>
      <c r="D53" s="27">
        <f>D26/D47</f>
        <v>0.96774123497540676</v>
      </c>
      <c r="E53" s="27">
        <f>E26/E47</f>
        <v>1.2624626307922275</v>
      </c>
    </row>
    <row r="55" spans="1:10" x14ac:dyDescent="0.15">
      <c r="A55" s="3" t="s">
        <v>104</v>
      </c>
      <c r="C55" s="27">
        <f>C10/B10-1</f>
        <v>0.19804866767081752</v>
      </c>
      <c r="D55" s="27">
        <f>D10/C10-1</f>
        <v>8.8452106540065412E-2</v>
      </c>
      <c r="E55" s="27">
        <f>E10/D10-1</f>
        <v>0.29999301099228126</v>
      </c>
      <c r="F55" s="27"/>
      <c r="G55" s="27"/>
      <c r="H55" s="27"/>
      <c r="I55" s="27"/>
      <c r="J55" s="27"/>
    </row>
    <row r="57" spans="1:10" s="27" customFormat="1" x14ac:dyDescent="0.15">
      <c r="A57" s="27" t="s">
        <v>101</v>
      </c>
      <c r="C57" s="27">
        <f>C12/B12-1</f>
        <v>0.23913043478260887</v>
      </c>
      <c r="D57" s="27">
        <f>D12/C12-1</f>
        <v>0.22807017543859653</v>
      </c>
      <c r="E57" s="27">
        <f>E12/D12-1</f>
        <v>0.17142857142857126</v>
      </c>
      <c r="F57" s="27">
        <f t="shared" ref="F57:J57" si="60">F12/E12-1</f>
        <v>0.14999999999999991</v>
      </c>
      <c r="G57" s="27">
        <f t="shared" si="60"/>
        <v>0.14999999999999991</v>
      </c>
      <c r="H57" s="27">
        <f t="shared" si="60"/>
        <v>0.14999999999999991</v>
      </c>
      <c r="I57" s="27">
        <f t="shared" si="60"/>
        <v>0.14999999999999991</v>
      </c>
      <c r="J57" s="27">
        <f t="shared" si="60"/>
        <v>0.14999999999999991</v>
      </c>
    </row>
    <row r="58" spans="1:10" s="27" customFormat="1" x14ac:dyDescent="0.15">
      <c r="A58" s="27" t="s">
        <v>87</v>
      </c>
      <c r="C58" s="27">
        <f>C13/B13-1</f>
        <v>-3.3153706791971826E-2</v>
      </c>
      <c r="D58" s="27">
        <f>D13/C13-1</f>
        <v>-0.11368899896023243</v>
      </c>
      <c r="E58" s="27">
        <f>E13/D13-1</f>
        <v>0.10975013133487432</v>
      </c>
      <c r="F58" s="27">
        <f t="shared" ref="F58:J58" si="61">F13/E13-1</f>
        <v>2.0000000000000018E-2</v>
      </c>
      <c r="G58" s="27">
        <f t="shared" si="61"/>
        <v>2.0000000000000018E-2</v>
      </c>
      <c r="H58" s="27">
        <f t="shared" si="61"/>
        <v>2.0000000000000018E-2</v>
      </c>
      <c r="I58" s="27">
        <f t="shared" si="61"/>
        <v>2.0000000000000018E-2</v>
      </c>
      <c r="J58" s="27">
        <f t="shared" si="61"/>
        <v>2.0000000000000018E-2</v>
      </c>
    </row>
  </sheetData>
  <hyperlinks>
    <hyperlink ref="A1" r:id="rId1"/>
    <hyperlink ref="A4" r:id="rId2"/>
    <hyperlink ref="A7" r:id="rId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workbookViewId="0">
      <pane xSplit="1" ySplit="2" topLeftCell="B3" activePane="bottomRight" state="frozen"/>
      <selection pane="topRight" activeCell="B1" sqref="B1"/>
      <selection pane="bottomLeft" activeCell="A3" sqref="A3"/>
      <selection pane="bottomRight" activeCell="D33" sqref="D33"/>
    </sheetView>
  </sheetViews>
  <sheetFormatPr baseColWidth="10" defaultRowHeight="13" x14ac:dyDescent="0.15"/>
  <cols>
    <col min="1" max="1" width="17.5" style="6" bestFit="1" customWidth="1"/>
    <col min="2" max="5" width="10.83203125" style="28" customWidth="1"/>
    <col min="6" max="6" width="10.83203125" style="29" customWidth="1"/>
    <col min="7" max="8" width="10.83203125" style="28" customWidth="1"/>
    <col min="9" max="9" width="10.83203125" style="28"/>
    <col min="10" max="10" width="10.83203125" style="29"/>
    <col min="11" max="13" width="10.83203125" style="28"/>
    <col min="14" max="14" width="10.83203125" style="29"/>
    <col min="15" max="17" width="10.83203125" style="28"/>
    <col min="18" max="18" width="10.83203125" style="29"/>
    <col min="19" max="21" width="10.83203125" style="28"/>
    <col min="22" max="16384" width="10.83203125" style="6"/>
  </cols>
  <sheetData>
    <row r="1" spans="1:21" x14ac:dyDescent="0.15">
      <c r="A1" s="1" t="s">
        <v>61</v>
      </c>
      <c r="B1" s="28" t="s">
        <v>50</v>
      </c>
      <c r="C1" s="28" t="s">
        <v>51</v>
      </c>
      <c r="D1" s="28" t="s">
        <v>52</v>
      </c>
      <c r="E1" s="28" t="s">
        <v>53</v>
      </c>
      <c r="F1" s="29" t="s">
        <v>22</v>
      </c>
      <c r="G1" s="28" t="s">
        <v>23</v>
      </c>
      <c r="H1" s="28" t="s">
        <v>24</v>
      </c>
      <c r="I1" s="28" t="s">
        <v>25</v>
      </c>
      <c r="J1" s="30" t="s">
        <v>0</v>
      </c>
      <c r="K1" s="31" t="s">
        <v>1</v>
      </c>
      <c r="L1" s="31" t="s">
        <v>2</v>
      </c>
      <c r="M1" s="31" t="s">
        <v>3</v>
      </c>
      <c r="N1" s="30" t="s">
        <v>42</v>
      </c>
      <c r="O1" s="31" t="s">
        <v>43</v>
      </c>
      <c r="P1" s="31" t="s">
        <v>44</v>
      </c>
      <c r="Q1" s="31" t="s">
        <v>45</v>
      </c>
      <c r="R1" s="30" t="s">
        <v>69</v>
      </c>
      <c r="S1" s="31" t="s">
        <v>70</v>
      </c>
      <c r="T1" s="31" t="s">
        <v>71</v>
      </c>
      <c r="U1" s="31" t="s">
        <v>72</v>
      </c>
    </row>
    <row r="2" spans="1:21" s="28" customFormat="1" x14ac:dyDescent="0.15">
      <c r="A2" s="1"/>
      <c r="B2" s="28" t="s">
        <v>54</v>
      </c>
      <c r="C2" s="28" t="s">
        <v>55</v>
      </c>
      <c r="D2" s="28" t="s">
        <v>56</v>
      </c>
      <c r="E2" s="28" t="s">
        <v>57</v>
      </c>
      <c r="F2" s="29" t="s">
        <v>29</v>
      </c>
      <c r="G2" s="28" t="s">
        <v>28</v>
      </c>
      <c r="H2" s="28" t="s">
        <v>27</v>
      </c>
      <c r="I2" s="28" t="s">
        <v>32</v>
      </c>
      <c r="J2" s="29" t="s">
        <v>31</v>
      </c>
      <c r="K2" s="28" t="s">
        <v>30</v>
      </c>
      <c r="L2" s="28" t="s">
        <v>26</v>
      </c>
      <c r="M2" s="28" t="s">
        <v>36</v>
      </c>
      <c r="N2" s="29" t="s">
        <v>46</v>
      </c>
      <c r="O2" s="28" t="s">
        <v>47</v>
      </c>
      <c r="P2" s="28" t="s">
        <v>48</v>
      </c>
      <c r="Q2" s="28" t="s">
        <v>49</v>
      </c>
      <c r="R2" s="29"/>
    </row>
    <row r="3" spans="1:21" x14ac:dyDescent="0.15">
      <c r="A3" s="6" t="s">
        <v>103</v>
      </c>
      <c r="B3" s="30">
        <v>235.06899999999999</v>
      </c>
      <c r="C3" s="31">
        <v>248.81700000000001</v>
      </c>
      <c r="D3" s="31">
        <v>268.971</v>
      </c>
      <c r="E3" s="31">
        <v>267.57400000000001</v>
      </c>
      <c r="F3" s="30">
        <v>285.28300000000002</v>
      </c>
      <c r="G3" s="31">
        <v>301.11900000000003</v>
      </c>
      <c r="H3" s="31">
        <v>316.447</v>
      </c>
      <c r="I3" s="31">
        <v>319.67700000000002</v>
      </c>
      <c r="J3" s="30">
        <v>298.76400000000001</v>
      </c>
      <c r="K3" s="31">
        <v>309.572</v>
      </c>
      <c r="L3" s="31">
        <v>343.41800000000001</v>
      </c>
      <c r="M3" s="31">
        <v>378.90699999999998</v>
      </c>
      <c r="N3" s="30">
        <v>407.36700000000002</v>
      </c>
      <c r="O3" s="31">
        <v>421.19600000000003</v>
      </c>
      <c r="P3" s="31">
        <v>443.94299999999998</v>
      </c>
      <c r="Q3" s="31">
        <v>457.34399999999999</v>
      </c>
    </row>
    <row r="4" spans="1:21" x14ac:dyDescent="0.15">
      <c r="B4" s="30"/>
      <c r="C4" s="31"/>
      <c r="D4" s="31"/>
      <c r="E4" s="31"/>
      <c r="F4" s="30"/>
      <c r="G4" s="31"/>
      <c r="H4" s="31"/>
      <c r="I4" s="31"/>
      <c r="J4" s="30"/>
      <c r="K4" s="31"/>
      <c r="L4" s="31"/>
      <c r="M4" s="31"/>
      <c r="N4" s="30"/>
      <c r="O4" s="31"/>
      <c r="P4" s="31"/>
      <c r="Q4" s="31"/>
    </row>
    <row r="5" spans="1:21" s="66" customFormat="1" x14ac:dyDescent="0.15">
      <c r="A5" s="66" t="s">
        <v>100</v>
      </c>
      <c r="B5" s="68">
        <v>3.7</v>
      </c>
      <c r="C5" s="67">
        <v>4</v>
      </c>
      <c r="D5" s="67">
        <v>4.0999999999999996</v>
      </c>
      <c r="E5" s="67">
        <v>4.5999999999999996</v>
      </c>
      <c r="F5" s="68">
        <v>5</v>
      </c>
      <c r="G5" s="67">
        <v>5.3</v>
      </c>
      <c r="H5" s="67">
        <v>5.5</v>
      </c>
      <c r="I5" s="67">
        <v>5.7</v>
      </c>
      <c r="J5" s="68">
        <v>5.9</v>
      </c>
      <c r="K5" s="67">
        <v>6.1</v>
      </c>
      <c r="L5" s="67">
        <v>6.6</v>
      </c>
      <c r="M5" s="67">
        <v>7</v>
      </c>
      <c r="N5" s="68">
        <v>7.4</v>
      </c>
      <c r="O5" s="67">
        <v>7.7</v>
      </c>
      <c r="P5" s="67">
        <v>8.1</v>
      </c>
      <c r="Q5" s="67">
        <v>8.1999999999999993</v>
      </c>
      <c r="R5" s="68"/>
      <c r="S5" s="67"/>
      <c r="T5" s="67"/>
      <c r="U5" s="67"/>
    </row>
    <row r="6" spans="1:21" s="4" customFormat="1" x14ac:dyDescent="0.15">
      <c r="A6" s="4" t="s">
        <v>86</v>
      </c>
      <c r="B6" s="70">
        <f>SUM(B3)/B5</f>
        <v>63.532162162162159</v>
      </c>
      <c r="C6" s="69">
        <f>SUM(C3)/C5</f>
        <v>62.204250000000002</v>
      </c>
      <c r="D6" s="69">
        <f>SUM(D3)/D5</f>
        <v>65.602682926829274</v>
      </c>
      <c r="E6" s="69">
        <f>SUM(E3)/E5</f>
        <v>58.168260869565223</v>
      </c>
      <c r="F6" s="70">
        <f>SUM(F3)/F5</f>
        <v>57.056600000000003</v>
      </c>
      <c r="G6" s="69">
        <f>SUM(G3)/G5</f>
        <v>56.814905660377363</v>
      </c>
      <c r="H6" s="69">
        <f>SUM(H3)/H5</f>
        <v>57.535818181818179</v>
      </c>
      <c r="I6" s="69">
        <f>SUM(I3)/I5</f>
        <v>56.083684210526314</v>
      </c>
      <c r="J6" s="70">
        <f>SUM(J3)/J5</f>
        <v>50.637966101694914</v>
      </c>
      <c r="K6" s="69">
        <f>SUM(K3)/K5</f>
        <v>50.749508196721315</v>
      </c>
      <c r="L6" s="69">
        <f>SUM(L3)/L5</f>
        <v>52.033030303030309</v>
      </c>
      <c r="M6" s="69">
        <f>SUM(M3)/M5</f>
        <v>54.129571428571424</v>
      </c>
      <c r="N6" s="70">
        <f>SUM(N3)/N5</f>
        <v>55.049594594594595</v>
      </c>
      <c r="O6" s="69">
        <f>SUM(O3)/O5</f>
        <v>54.700779220779225</v>
      </c>
      <c r="P6" s="69">
        <f>SUM(P3)/P5</f>
        <v>54.80777777777778</v>
      </c>
      <c r="Q6" s="69">
        <f>SUM(Q3)/Q5</f>
        <v>55.773658536585373</v>
      </c>
      <c r="R6" s="64"/>
      <c r="S6" s="63"/>
      <c r="T6" s="63"/>
      <c r="U6" s="63"/>
    </row>
    <row r="7" spans="1:21" x14ac:dyDescent="0.15">
      <c r="B7" s="29"/>
      <c r="R7" s="58" t="s">
        <v>112</v>
      </c>
    </row>
    <row r="8" spans="1:21" s="12" customFormat="1" x14ac:dyDescent="0.15">
      <c r="A8" s="12" t="s">
        <v>4</v>
      </c>
      <c r="B8" s="34">
        <f>SUM(B3:B3)</f>
        <v>235.06899999999999</v>
      </c>
      <c r="C8" s="33">
        <f>SUM(C3:C3)</f>
        <v>248.81700000000001</v>
      </c>
      <c r="D8" s="33">
        <f>SUM(D3:D3)</f>
        <v>268.971</v>
      </c>
      <c r="E8" s="33">
        <f>SUM(E3:E3)</f>
        <v>267.57400000000001</v>
      </c>
      <c r="F8" s="34">
        <f>SUM(F3:F3)</f>
        <v>285.28300000000002</v>
      </c>
      <c r="G8" s="33">
        <f>SUM(G3:G3)</f>
        <v>301.11900000000003</v>
      </c>
      <c r="H8" s="33">
        <f>SUM(H3:H3)</f>
        <v>316.447</v>
      </c>
      <c r="I8" s="33">
        <f>SUM(I3:I3)</f>
        <v>319.67700000000002</v>
      </c>
      <c r="J8" s="34">
        <f>SUM(J3:J3)</f>
        <v>298.76400000000001</v>
      </c>
      <c r="K8" s="33">
        <f>SUM(K3:K3)</f>
        <v>309.572</v>
      </c>
      <c r="L8" s="33">
        <f>SUM(L3:L3)</f>
        <v>343.41800000000001</v>
      </c>
      <c r="M8" s="33">
        <f>M5*M6</f>
        <v>378.90699999999998</v>
      </c>
      <c r="N8" s="34">
        <f>SUM(N3:N3)</f>
        <v>407.36700000000002</v>
      </c>
      <c r="O8" s="33">
        <f>SUM(O3:O3)</f>
        <v>421.19600000000003</v>
      </c>
      <c r="P8" s="33">
        <f>SUM(P3:P3)</f>
        <v>443.94299999999998</v>
      </c>
      <c r="Q8" s="33">
        <f>Q5*Q6</f>
        <v>457.34399999999999</v>
      </c>
      <c r="R8" s="55">
        <v>460</v>
      </c>
      <c r="S8" s="36"/>
      <c r="T8" s="36"/>
      <c r="U8" s="36"/>
    </row>
    <row r="9" spans="1:21" x14ac:dyDescent="0.15">
      <c r="A9" s="6" t="s">
        <v>5</v>
      </c>
      <c r="B9" s="30">
        <v>38.953000000000003</v>
      </c>
      <c r="C9" s="31">
        <v>44.529000000000003</v>
      </c>
      <c r="D9" s="31">
        <v>47.636000000000003</v>
      </c>
      <c r="E9" s="31">
        <v>46.87</v>
      </c>
      <c r="F9" s="30">
        <v>53.677</v>
      </c>
      <c r="G9" s="31">
        <v>56.546999999999997</v>
      </c>
      <c r="H9" s="31">
        <v>61.161000000000001</v>
      </c>
      <c r="I9" s="31">
        <v>62.561</v>
      </c>
      <c r="J9" s="30">
        <v>58.847999999999999</v>
      </c>
      <c r="K9" s="31">
        <v>62.664999999999999</v>
      </c>
      <c r="L9" s="31">
        <v>72.043999999999997</v>
      </c>
      <c r="M9" s="31">
        <v>85.941999999999993</v>
      </c>
      <c r="N9" s="30">
        <v>93.944000000000003</v>
      </c>
      <c r="O9" s="31">
        <v>97.334000000000003</v>
      </c>
      <c r="P9" s="31">
        <v>107.512</v>
      </c>
      <c r="Q9" s="31">
        <v>111.21</v>
      </c>
    </row>
    <row r="10" spans="1:21" x14ac:dyDescent="0.15">
      <c r="A10" s="6" t="s">
        <v>6</v>
      </c>
      <c r="B10" s="38">
        <f>B8-B9</f>
        <v>196.11599999999999</v>
      </c>
      <c r="C10" s="37">
        <f>C8-C9</f>
        <v>204.28800000000001</v>
      </c>
      <c r="D10" s="37">
        <f>D8-D9</f>
        <v>221.33500000000001</v>
      </c>
      <c r="E10" s="37">
        <f>E8-E9</f>
        <v>220.70400000000001</v>
      </c>
      <c r="F10" s="38">
        <f>F8-F9</f>
        <v>231.60600000000002</v>
      </c>
      <c r="G10" s="37">
        <f>G8-G9</f>
        <v>244.57200000000003</v>
      </c>
      <c r="H10" s="37">
        <f>H8-H9</f>
        <v>255.286</v>
      </c>
      <c r="I10" s="37">
        <f>I8-I9</f>
        <v>257.11600000000004</v>
      </c>
      <c r="J10" s="38">
        <f t="shared" ref="G10:L10" si="0">J8-J9</f>
        <v>239.916</v>
      </c>
      <c r="K10" s="37">
        <f t="shared" si="0"/>
        <v>246.90700000000001</v>
      </c>
      <c r="L10" s="37">
        <f t="shared" si="0"/>
        <v>271.37400000000002</v>
      </c>
      <c r="M10" s="37">
        <f t="shared" ref="M10" si="1">M8-M9</f>
        <v>292.96499999999997</v>
      </c>
      <c r="N10" s="38">
        <f>N8-N9</f>
        <v>313.423</v>
      </c>
      <c r="O10" s="37">
        <f>O8-O9</f>
        <v>323.86200000000002</v>
      </c>
      <c r="P10" s="37">
        <f t="shared" ref="P10:Q10" si="2">P8-P9</f>
        <v>336.43099999999998</v>
      </c>
      <c r="Q10" s="37">
        <f t="shared" si="2"/>
        <v>346.13400000000001</v>
      </c>
    </row>
    <row r="11" spans="1:21" x14ac:dyDescent="0.15">
      <c r="A11" s="6" t="s">
        <v>7</v>
      </c>
      <c r="B11" s="30">
        <v>16.451000000000001</v>
      </c>
      <c r="C11" s="31">
        <v>17.478000000000002</v>
      </c>
      <c r="D11" s="31">
        <v>16.811</v>
      </c>
      <c r="E11" s="31">
        <v>16.608000000000001</v>
      </c>
      <c r="F11" s="30">
        <v>22.863</v>
      </c>
      <c r="G11" s="31">
        <v>20.943999999999999</v>
      </c>
      <c r="H11" s="31">
        <v>18.539000000000001</v>
      </c>
      <c r="I11" s="31">
        <v>20.719000000000001</v>
      </c>
      <c r="J11" s="30">
        <v>22.02</v>
      </c>
      <c r="K11" s="31">
        <v>24.061</v>
      </c>
      <c r="L11" s="31">
        <v>27.007999999999999</v>
      </c>
      <c r="M11" s="31">
        <v>28.061</v>
      </c>
      <c r="N11" s="30">
        <v>31.869</v>
      </c>
      <c r="O11" s="31">
        <v>32.634999999999998</v>
      </c>
      <c r="P11" s="31">
        <v>34.027000000000001</v>
      </c>
      <c r="Q11" s="31">
        <v>33.499000000000002</v>
      </c>
    </row>
    <row r="12" spans="1:21" x14ac:dyDescent="0.15">
      <c r="A12" s="6" t="s">
        <v>8</v>
      </c>
      <c r="B12" s="30">
        <v>111.965</v>
      </c>
      <c r="C12" s="31">
        <v>88.180999999999997</v>
      </c>
      <c r="D12" s="31">
        <v>89.697999999999993</v>
      </c>
      <c r="E12" s="31">
        <v>69.754000000000005</v>
      </c>
      <c r="F12" s="30">
        <v>113.495</v>
      </c>
      <c r="G12" s="31">
        <v>88.195999999999998</v>
      </c>
      <c r="H12" s="31">
        <v>92.37</v>
      </c>
      <c r="I12" s="31">
        <v>72.168000000000006</v>
      </c>
      <c r="J12" s="30">
        <v>107.123</v>
      </c>
      <c r="K12" s="31">
        <v>87.712999999999994</v>
      </c>
      <c r="L12" s="31">
        <v>94.87</v>
      </c>
      <c r="M12" s="31">
        <v>85.903999999999996</v>
      </c>
      <c r="N12" s="30">
        <v>118.17100000000001</v>
      </c>
      <c r="O12" s="31">
        <v>90.260999999999996</v>
      </c>
      <c r="P12" s="31">
        <v>108.374</v>
      </c>
      <c r="Q12" s="31">
        <v>103.148</v>
      </c>
    </row>
    <row r="13" spans="1:21" x14ac:dyDescent="0.15">
      <c r="A13" s="6" t="s">
        <v>9</v>
      </c>
      <c r="B13" s="30">
        <f>29.738+7.045+3.877</f>
        <v>40.660000000000004</v>
      </c>
      <c r="C13" s="31">
        <f>45.584+6.622+5.901</f>
        <v>58.106999999999999</v>
      </c>
      <c r="D13" s="31">
        <f>45.981+6.137+4.352</f>
        <v>56.47</v>
      </c>
      <c r="E13" s="31">
        <f>54.554+6.179+5.971</f>
        <v>66.704000000000008</v>
      </c>
      <c r="F13" s="30">
        <f>51.321+6.487+8.252</f>
        <v>66.06</v>
      </c>
      <c r="G13" s="31">
        <f>47.255+8.09+6.419</f>
        <v>61.763999999999996</v>
      </c>
      <c r="H13" s="31">
        <f>39.685+8.032+4.906</f>
        <v>52.622999999999998</v>
      </c>
      <c r="I13" s="31">
        <f>40.861+8.618+3.452</f>
        <v>52.930999999999997</v>
      </c>
      <c r="J13" s="30">
        <f>43.91+7.589+0.403</f>
        <v>51.901999999999994</v>
      </c>
      <c r="K13" s="31">
        <f>43.871+7.883+0.404</f>
        <v>52.158000000000008</v>
      </c>
      <c r="L13" s="31">
        <f>49.94+8.147+0.401</f>
        <v>58.488</v>
      </c>
      <c r="M13" s="31">
        <f>42.083+8.994+0.26</f>
        <v>51.336999999999996</v>
      </c>
      <c r="N13" s="30">
        <f>42.761+8.147+0.242</f>
        <v>51.15</v>
      </c>
      <c r="O13" s="31">
        <f>42.165+8.399+0.237</f>
        <v>50.801000000000002</v>
      </c>
      <c r="P13" s="31">
        <f>45.187+8.513+0.435</f>
        <v>54.134999999999998</v>
      </c>
      <c r="Q13" s="31">
        <f>50.173+7.909+0.404</f>
        <v>58.486000000000004</v>
      </c>
    </row>
    <row r="14" spans="1:21" x14ac:dyDescent="0.15">
      <c r="A14" s="6" t="s">
        <v>10</v>
      </c>
      <c r="B14" s="38">
        <f t="shared" ref="B14:C14" si="3">SUM(B11:B13)</f>
        <v>169.07599999999999</v>
      </c>
      <c r="C14" s="37">
        <f t="shared" si="3"/>
        <v>163.76599999999999</v>
      </c>
      <c r="D14" s="37">
        <f t="shared" ref="D14:E14" si="4">SUM(D11:D13)</f>
        <v>162.97899999999998</v>
      </c>
      <c r="E14" s="37">
        <f t="shared" si="4"/>
        <v>153.06600000000003</v>
      </c>
      <c r="F14" s="38">
        <f t="shared" ref="F14:G14" si="5">SUM(F11:F13)</f>
        <v>202.41800000000001</v>
      </c>
      <c r="G14" s="37">
        <f t="shared" si="5"/>
        <v>170.904</v>
      </c>
      <c r="H14" s="37">
        <f t="shared" ref="H14:I14" si="6">SUM(H11:H13)</f>
        <v>163.53200000000001</v>
      </c>
      <c r="I14" s="37">
        <f t="shared" si="6"/>
        <v>145.81799999999998</v>
      </c>
      <c r="J14" s="38">
        <f t="shared" ref="G14:L14" si="7">SUM(J11:J13)</f>
        <v>181.04499999999999</v>
      </c>
      <c r="K14" s="37">
        <f t="shared" si="7"/>
        <v>163.93200000000002</v>
      </c>
      <c r="L14" s="37">
        <f t="shared" si="7"/>
        <v>180.36599999999999</v>
      </c>
      <c r="M14" s="37">
        <f t="shared" ref="M14:N14" si="8">SUM(M11:M13)</f>
        <v>165.30199999999999</v>
      </c>
      <c r="N14" s="38">
        <f t="shared" si="8"/>
        <v>201.19000000000003</v>
      </c>
      <c r="O14" s="37">
        <f t="shared" ref="O14:P14" si="9">SUM(O11:O13)</f>
        <v>173.697</v>
      </c>
      <c r="P14" s="37">
        <f t="shared" si="9"/>
        <v>196.536</v>
      </c>
      <c r="Q14" s="37">
        <f t="shared" ref="Q14" si="10">SUM(Q11:Q13)</f>
        <v>195.13299999999998</v>
      </c>
    </row>
    <row r="15" spans="1:21" x14ac:dyDescent="0.15">
      <c r="A15" s="6" t="s">
        <v>11</v>
      </c>
      <c r="B15" s="38">
        <f t="shared" ref="B15:C15" si="11">B10-B14</f>
        <v>27.039999999999992</v>
      </c>
      <c r="C15" s="37">
        <f t="shared" si="11"/>
        <v>40.52200000000002</v>
      </c>
      <c r="D15" s="37">
        <f t="shared" ref="D15:E15" si="12">D10-D14</f>
        <v>58.356000000000023</v>
      </c>
      <c r="E15" s="37">
        <f t="shared" si="12"/>
        <v>67.637999999999977</v>
      </c>
      <c r="F15" s="38">
        <f t="shared" ref="F15:G15" si="13">F10-F14</f>
        <v>29.188000000000017</v>
      </c>
      <c r="G15" s="37">
        <f t="shared" si="13"/>
        <v>73.668000000000035</v>
      </c>
      <c r="H15" s="37">
        <f t="shared" ref="H15:I15" si="14">H10-H14</f>
        <v>91.753999999999991</v>
      </c>
      <c r="I15" s="37">
        <f t="shared" si="14"/>
        <v>111.29800000000006</v>
      </c>
      <c r="J15" s="38">
        <f t="shared" ref="I15:P15" si="15">J10-J14</f>
        <v>58.871000000000009</v>
      </c>
      <c r="K15" s="37">
        <f t="shared" si="15"/>
        <v>82.974999999999994</v>
      </c>
      <c r="L15" s="37">
        <f t="shared" si="15"/>
        <v>91.008000000000038</v>
      </c>
      <c r="M15" s="37">
        <f t="shared" si="15"/>
        <v>127.66299999999998</v>
      </c>
      <c r="N15" s="38">
        <f t="shared" si="15"/>
        <v>112.23299999999998</v>
      </c>
      <c r="O15" s="37">
        <f t="shared" si="15"/>
        <v>150.16500000000002</v>
      </c>
      <c r="P15" s="37">
        <f t="shared" si="15"/>
        <v>139.89499999999998</v>
      </c>
      <c r="Q15" s="37">
        <f t="shared" ref="Q15" si="16">Q10-Q14</f>
        <v>151.00100000000003</v>
      </c>
    </row>
    <row r="16" spans="1:21" x14ac:dyDescent="0.15">
      <c r="A16" s="6" t="s">
        <v>12</v>
      </c>
      <c r="B16" s="30">
        <f>-2.179+9.307</f>
        <v>7.1280000000000001</v>
      </c>
      <c r="C16" s="31">
        <f>-2.382-2.501</f>
        <v>-4.883</v>
      </c>
      <c r="D16" s="31">
        <f>-2.318+1.535</f>
        <v>-0.78300000000000014</v>
      </c>
      <c r="E16" s="31">
        <f>-18.049-1.13+3.546</f>
        <v>-15.632999999999999</v>
      </c>
      <c r="F16" s="30">
        <f>-20.431+3.607</f>
        <v>-16.824000000000002</v>
      </c>
      <c r="G16" s="31">
        <f>-20.646-5.242</f>
        <v>-25.888000000000002</v>
      </c>
      <c r="H16" s="31">
        <f>-20.751+6.045</f>
        <v>-14.706000000000001</v>
      </c>
      <c r="I16" s="31">
        <f>-20.386+3.482</f>
        <v>-16.904</v>
      </c>
      <c r="J16" s="30">
        <f>-18.95-5.978</f>
        <v>-24.927999999999997</v>
      </c>
      <c r="K16" s="31">
        <f>-19.072-9.55</f>
        <v>-28.622</v>
      </c>
      <c r="L16" s="31">
        <f>-19.548-9.925</f>
        <v>-29.472999999999999</v>
      </c>
      <c r="M16" s="31">
        <f>-19.995-5.374</f>
        <v>-25.369</v>
      </c>
      <c r="N16" s="30">
        <f>-17.806-7.221</f>
        <v>-25.027000000000001</v>
      </c>
      <c r="O16" s="31">
        <f>-18.276+11.004</f>
        <v>-7.2720000000000002</v>
      </c>
      <c r="P16" s="31">
        <f>-18.376+0.894</f>
        <v>-17.482000000000003</v>
      </c>
      <c r="Q16" s="31">
        <f>-18.959+3.088</f>
        <v>-15.870999999999999</v>
      </c>
    </row>
    <row r="17" spans="1:21" x14ac:dyDescent="0.15">
      <c r="A17" s="6" t="s">
        <v>13</v>
      </c>
      <c r="B17" s="38">
        <f t="shared" ref="B17:C17" si="17">B15+B16</f>
        <v>34.167999999999992</v>
      </c>
      <c r="C17" s="37">
        <f t="shared" si="17"/>
        <v>35.639000000000017</v>
      </c>
      <c r="D17" s="37">
        <f t="shared" ref="D17:E17" si="18">D15+D16</f>
        <v>57.573000000000022</v>
      </c>
      <c r="E17" s="37">
        <f t="shared" si="18"/>
        <v>52.004999999999981</v>
      </c>
      <c r="F17" s="38">
        <f t="shared" ref="F17:G17" si="19">F15+F16</f>
        <v>12.364000000000015</v>
      </c>
      <c r="G17" s="37">
        <f t="shared" si="19"/>
        <v>47.78000000000003</v>
      </c>
      <c r="H17" s="37">
        <f t="shared" ref="H17:I17" si="20">H15+H16</f>
        <v>77.047999999999988</v>
      </c>
      <c r="I17" s="37">
        <f t="shared" si="20"/>
        <v>94.394000000000062</v>
      </c>
      <c r="J17" s="38">
        <f t="shared" ref="J17:K17" si="21">J15+J16</f>
        <v>33.943000000000012</v>
      </c>
      <c r="K17" s="37">
        <f t="shared" si="21"/>
        <v>54.352999999999994</v>
      </c>
      <c r="L17" s="37">
        <f t="shared" ref="L17:N17" si="22">L15+L16</f>
        <v>61.535000000000039</v>
      </c>
      <c r="M17" s="37">
        <f>M15+M16</f>
        <v>102.29399999999998</v>
      </c>
      <c r="N17" s="38">
        <f t="shared" si="22"/>
        <v>87.205999999999975</v>
      </c>
      <c r="O17" s="37">
        <f t="shared" ref="O17" si="23">O15+O16</f>
        <v>142.89300000000003</v>
      </c>
      <c r="P17" s="37">
        <f>P15+P16</f>
        <v>122.41299999999998</v>
      </c>
      <c r="Q17" s="37">
        <f>Q15+Q16</f>
        <v>135.13000000000002</v>
      </c>
    </row>
    <row r="18" spans="1:21" x14ac:dyDescent="0.15">
      <c r="A18" s="6" t="s">
        <v>14</v>
      </c>
      <c r="B18" s="30">
        <v>8.2880000000000003</v>
      </c>
      <c r="C18" s="31">
        <v>12.208</v>
      </c>
      <c r="D18" s="31">
        <v>22.135999999999999</v>
      </c>
      <c r="E18" s="31">
        <v>16.265999999999998</v>
      </c>
      <c r="F18" s="30">
        <v>5.1449999999999996</v>
      </c>
      <c r="G18" s="31">
        <v>13.679</v>
      </c>
      <c r="H18" s="31">
        <v>20.344000000000001</v>
      </c>
      <c r="I18" s="31">
        <v>20.989000000000001</v>
      </c>
      <c r="J18" s="30">
        <v>9.3879999999999999</v>
      </c>
      <c r="K18" s="31">
        <v>2.8090000000000002</v>
      </c>
      <c r="L18" s="31">
        <v>-226.77099999999999</v>
      </c>
      <c r="M18" s="31">
        <v>110.187</v>
      </c>
      <c r="N18" s="30">
        <v>-12.472</v>
      </c>
      <c r="O18" s="31">
        <v>11.535</v>
      </c>
      <c r="P18" s="31">
        <v>-5.5369999999999999</v>
      </c>
      <c r="Q18" s="31">
        <v>21.146999999999998</v>
      </c>
    </row>
    <row r="19" spans="1:21" s="14" customFormat="1" x14ac:dyDescent="0.15">
      <c r="A19" s="14" t="s">
        <v>85</v>
      </c>
      <c r="B19" s="57"/>
      <c r="C19" s="56"/>
      <c r="D19" s="56"/>
      <c r="E19" s="56"/>
      <c r="F19" s="57"/>
      <c r="G19" s="56"/>
      <c r="H19" s="56"/>
      <c r="I19" s="56"/>
      <c r="J19" s="57"/>
      <c r="K19" s="56"/>
      <c r="L19" s="56"/>
      <c r="M19" s="56"/>
      <c r="N19" s="57"/>
      <c r="O19" s="56"/>
      <c r="P19" s="56"/>
      <c r="Q19" s="56"/>
      <c r="R19" s="58"/>
      <c r="S19" s="59"/>
      <c r="T19" s="59"/>
      <c r="U19" s="59"/>
    </row>
    <row r="20" spans="1:21" s="12" customFormat="1" x14ac:dyDescent="0.15">
      <c r="A20" s="12" t="s">
        <v>15</v>
      </c>
      <c r="B20" s="34">
        <f t="shared" ref="B20:C20" si="24">B17-B18</f>
        <v>25.879999999999992</v>
      </c>
      <c r="C20" s="33">
        <f t="shared" si="24"/>
        <v>23.431000000000019</v>
      </c>
      <c r="D20" s="33">
        <f t="shared" ref="D20:E20" si="25">D17-D18</f>
        <v>35.437000000000026</v>
      </c>
      <c r="E20" s="33">
        <f t="shared" si="25"/>
        <v>35.738999999999983</v>
      </c>
      <c r="F20" s="34">
        <f t="shared" ref="F20:G20" si="26">F17-F18</f>
        <v>7.2190000000000154</v>
      </c>
      <c r="G20" s="33">
        <f t="shared" si="26"/>
        <v>34.101000000000028</v>
      </c>
      <c r="H20" s="33">
        <f t="shared" ref="H20:I20" si="27">H17-H18</f>
        <v>56.703999999999986</v>
      </c>
      <c r="I20" s="33">
        <f t="shared" si="27"/>
        <v>73.405000000000058</v>
      </c>
      <c r="J20" s="34">
        <f t="shared" ref="I20:O20" si="28">J17-J18</f>
        <v>24.555000000000014</v>
      </c>
      <c r="K20" s="33">
        <f t="shared" si="28"/>
        <v>51.543999999999997</v>
      </c>
      <c r="L20" s="33">
        <f t="shared" si="28"/>
        <v>288.30600000000004</v>
      </c>
      <c r="M20" s="33">
        <f t="shared" si="28"/>
        <v>-7.8930000000000149</v>
      </c>
      <c r="N20" s="34">
        <f t="shared" si="28"/>
        <v>99.677999999999969</v>
      </c>
      <c r="O20" s="33">
        <f t="shared" si="28"/>
        <v>131.35800000000003</v>
      </c>
      <c r="P20" s="33">
        <f>P17-P18</f>
        <v>127.94999999999999</v>
      </c>
      <c r="Q20" s="33">
        <f>Q17-Q18</f>
        <v>113.98300000000003</v>
      </c>
      <c r="R20" s="35"/>
      <c r="S20" s="36"/>
      <c r="T20" s="36"/>
      <c r="U20" s="36"/>
    </row>
    <row r="21" spans="1:21" x14ac:dyDescent="0.15">
      <c r="A21" s="6" t="s">
        <v>16</v>
      </c>
      <c r="B21" s="40">
        <f>IFERROR(B20/B22,0)</f>
        <v>0.15320136389467698</v>
      </c>
      <c r="C21" s="39">
        <f>IFERROR(C20/C22,0)</f>
        <v>0.13687770910492938</v>
      </c>
      <c r="D21" s="39">
        <f>IFERROR(D20/D22,0)</f>
        <v>0.20093672565619006</v>
      </c>
      <c r="E21" s="39">
        <f>IFERROR(E20/E22,0)</f>
        <v>0.16038900133287251</v>
      </c>
      <c r="F21" s="40">
        <f>IFERROR(F20/F22,0)</f>
        <v>2.6926620390229042E-2</v>
      </c>
      <c r="G21" s="39">
        <f>IFERROR(G20/G22,0)</f>
        <v>0.12725393318804679</v>
      </c>
      <c r="H21" s="39">
        <f>IFERROR(H20/H22,0)</f>
        <v>0.20999614849050449</v>
      </c>
      <c r="I21" s="39">
        <f>IFERROR(I20/I22,0)</f>
        <v>0.26913515971020463</v>
      </c>
      <c r="J21" s="40">
        <f t="shared" ref="I21:L21" si="29">IFERROR(J20/J22,0)</f>
        <v>8.4120698042493766E-2</v>
      </c>
      <c r="K21" s="39">
        <f t="shared" si="29"/>
        <v>0.16798714610227711</v>
      </c>
      <c r="L21" s="39">
        <f t="shared" si="29"/>
        <v>0.98377806592506667</v>
      </c>
      <c r="M21" s="39">
        <f t="shared" ref="M21" si="30">IFERROR(M20/M22,0)</f>
        <v>-2.887792099457424E-2</v>
      </c>
      <c r="N21" s="40">
        <f>IFERROR(N20/N22,0)</f>
        <v>0.33433286375528265</v>
      </c>
      <c r="O21" s="39">
        <f>IFERROR(O20/O22,0)</f>
        <v>0.44228878503414198</v>
      </c>
      <c r="P21" s="39">
        <f>IFERROR(P20/P22,0)</f>
        <v>0.43111436070743858</v>
      </c>
      <c r="Q21" s="39">
        <f>IFERROR(Q20/Q22,0)</f>
        <v>0.3862010781360648</v>
      </c>
    </row>
    <row r="22" spans="1:21" s="8" customFormat="1" x14ac:dyDescent="0.15">
      <c r="A22" s="8" t="s">
        <v>17</v>
      </c>
      <c r="B22" s="30">
        <v>168.928</v>
      </c>
      <c r="C22" s="31">
        <v>171.18199999999999</v>
      </c>
      <c r="D22" s="31">
        <v>176.35900000000001</v>
      </c>
      <c r="E22" s="31">
        <v>222.827</v>
      </c>
      <c r="F22" s="30">
        <v>268.09899999999999</v>
      </c>
      <c r="G22" s="31">
        <v>267.976</v>
      </c>
      <c r="H22" s="31">
        <v>270.024</v>
      </c>
      <c r="I22" s="31">
        <v>272.74400000000003</v>
      </c>
      <c r="J22" s="30">
        <v>291.90199999999999</v>
      </c>
      <c r="K22" s="31">
        <v>306.83300000000003</v>
      </c>
      <c r="L22" s="31">
        <v>293.06</v>
      </c>
      <c r="M22" s="31">
        <v>273.32299999999998</v>
      </c>
      <c r="N22" s="30">
        <v>298.14</v>
      </c>
      <c r="O22" s="31">
        <v>296.99599999999998</v>
      </c>
      <c r="P22" s="31">
        <v>296.78899999999999</v>
      </c>
      <c r="Q22" s="31">
        <v>295.13900000000001</v>
      </c>
      <c r="R22" s="30"/>
      <c r="S22" s="31"/>
      <c r="T22" s="31"/>
      <c r="U22" s="31"/>
    </row>
    <row r="23" spans="1:21" x14ac:dyDescent="0.15">
      <c r="B23" s="29"/>
      <c r="J23" s="30"/>
      <c r="K23" s="31"/>
      <c r="L23" s="31"/>
      <c r="M23" s="31"/>
      <c r="Q23" s="31"/>
    </row>
    <row r="24" spans="1:21" x14ac:dyDescent="0.15">
      <c r="A24" s="6" t="s">
        <v>19</v>
      </c>
      <c r="B24" s="46">
        <f t="shared" ref="B24:C24" si="31">IFERROR(B10/B8,0)</f>
        <v>0.83429120811336244</v>
      </c>
      <c r="C24" s="45">
        <f t="shared" si="31"/>
        <v>0.82103714778331061</v>
      </c>
      <c r="D24" s="45">
        <f t="shared" ref="D24:E24" si="32">IFERROR(D10/D8,0)</f>
        <v>0.82289540508084513</v>
      </c>
      <c r="E24" s="45">
        <f t="shared" si="32"/>
        <v>0.824833504002631</v>
      </c>
      <c r="F24" s="46">
        <f t="shared" ref="F24:G24" si="33">IFERROR(F10/F8,0)</f>
        <v>0.81184648226497902</v>
      </c>
      <c r="G24" s="45">
        <f t="shared" si="33"/>
        <v>0.81221045500283939</v>
      </c>
      <c r="H24" s="45">
        <f t="shared" ref="H24:I24" si="34">IFERROR(H10/H8,0)</f>
        <v>0.80672592882852423</v>
      </c>
      <c r="I24" s="45">
        <f t="shared" si="34"/>
        <v>0.80429933964595524</v>
      </c>
      <c r="J24" s="46">
        <f t="shared" ref="B24:Q24" si="35">IFERROR(J10/J8,0)</f>
        <v>0.80302847732658544</v>
      </c>
      <c r="K24" s="45">
        <f t="shared" si="35"/>
        <v>0.79757536211285263</v>
      </c>
      <c r="L24" s="45">
        <f t="shared" si="35"/>
        <v>0.79021484022386723</v>
      </c>
      <c r="M24" s="45">
        <f t="shared" si="35"/>
        <v>0.77318444895449279</v>
      </c>
      <c r="N24" s="46">
        <f t="shared" si="35"/>
        <v>0.76938730923221565</v>
      </c>
      <c r="O24" s="45">
        <f t="shared" si="35"/>
        <v>0.76891043599654318</v>
      </c>
      <c r="P24" s="45">
        <f t="shared" si="35"/>
        <v>0.75782476579200486</v>
      </c>
      <c r="Q24" s="45">
        <f t="shared" si="35"/>
        <v>0.75683511754827881</v>
      </c>
    </row>
    <row r="25" spans="1:21" x14ac:dyDescent="0.15">
      <c r="A25" s="6" t="s">
        <v>20</v>
      </c>
      <c r="B25" s="48">
        <f t="shared" ref="B25:C25" si="36">IFERROR(B15/B8,0)</f>
        <v>0.11503005500512613</v>
      </c>
      <c r="C25" s="47">
        <f t="shared" si="36"/>
        <v>0.16285864711816322</v>
      </c>
      <c r="D25" s="47">
        <f t="shared" ref="D25:E25" si="37">IFERROR(D15/D8,0)</f>
        <v>0.21696019273453279</v>
      </c>
      <c r="E25" s="47">
        <f t="shared" si="37"/>
        <v>0.25278240785726558</v>
      </c>
      <c r="F25" s="48">
        <f t="shared" ref="F25:G25" si="38">IFERROR(F15/F8,0)</f>
        <v>0.10231244062912973</v>
      </c>
      <c r="G25" s="47">
        <f t="shared" si="38"/>
        <v>0.24464746495571527</v>
      </c>
      <c r="H25" s="47">
        <f t="shared" ref="H25:I25" si="39">IFERROR(H15/H8,0)</f>
        <v>0.28995060784270349</v>
      </c>
      <c r="I25" s="47">
        <f t="shared" si="39"/>
        <v>0.3481576716498217</v>
      </c>
      <c r="J25" s="48">
        <f t="shared" ref="B25:Q25" si="40">IFERROR(J15/J8,0)</f>
        <v>0.19704850651350231</v>
      </c>
      <c r="K25" s="47">
        <f t="shared" si="40"/>
        <v>0.26803134650420579</v>
      </c>
      <c r="L25" s="47">
        <f t="shared" si="40"/>
        <v>0.26500649354431055</v>
      </c>
      <c r="M25" s="47">
        <f t="shared" si="40"/>
        <v>0.33692436402600107</v>
      </c>
      <c r="N25" s="48">
        <f t="shared" si="40"/>
        <v>0.275508325416639</v>
      </c>
      <c r="O25" s="47">
        <f t="shared" si="40"/>
        <v>0.35652047977663609</v>
      </c>
      <c r="P25" s="47">
        <f t="shared" si="40"/>
        <v>0.31511928333141864</v>
      </c>
      <c r="Q25" s="47">
        <f t="shared" si="40"/>
        <v>0.33016941295829844</v>
      </c>
    </row>
    <row r="26" spans="1:21" x14ac:dyDescent="0.15">
      <c r="A26" s="6" t="s">
        <v>21</v>
      </c>
      <c r="B26" s="48">
        <f t="shared" ref="B26:C26" si="41">IFERROR(B18/B17,0)</f>
        <v>0.24256614376024357</v>
      </c>
      <c r="C26" s="47">
        <f t="shared" si="41"/>
        <v>0.34254608715171564</v>
      </c>
      <c r="D26" s="47">
        <f t="shared" ref="D26:E26" si="42">IFERROR(D18/D17,0)</f>
        <v>0.38448578326646154</v>
      </c>
      <c r="E26" s="47">
        <f t="shared" si="42"/>
        <v>0.31277761753677541</v>
      </c>
      <c r="F26" s="48">
        <f t="shared" ref="F26:G26" si="43">IFERROR(F18/F17,0)</f>
        <v>0.41612746683921009</v>
      </c>
      <c r="G26" s="47">
        <f t="shared" si="43"/>
        <v>0.28629133528673067</v>
      </c>
      <c r="H26" s="47">
        <f t="shared" ref="H26:I26" si="44">IFERROR(H18/H17,0)</f>
        <v>0.26404319385318248</v>
      </c>
      <c r="I26" s="47">
        <f t="shared" si="44"/>
        <v>0.22235523444286701</v>
      </c>
      <c r="J26" s="48">
        <f t="shared" ref="B26:Q26" si="45">IFERROR(J18/J17,0)</f>
        <v>0.27658132751966524</v>
      </c>
      <c r="K26" s="47">
        <f t="shared" si="45"/>
        <v>5.1680679999264081E-2</v>
      </c>
      <c r="L26" s="47">
        <f t="shared" si="45"/>
        <v>-3.6852360445275023</v>
      </c>
      <c r="M26" s="47">
        <f t="shared" si="45"/>
        <v>1.0771599507302483</v>
      </c>
      <c r="N26" s="48">
        <f t="shared" si="45"/>
        <v>-0.14301768226956865</v>
      </c>
      <c r="O26" s="47">
        <f t="shared" si="45"/>
        <v>8.0724738090739212E-2</v>
      </c>
      <c r="P26" s="47">
        <f t="shared" si="45"/>
        <v>-4.5232124039113496E-2</v>
      </c>
      <c r="Q26" s="47">
        <f t="shared" si="45"/>
        <v>0.15649374676237693</v>
      </c>
    </row>
    <row r="27" spans="1:21" x14ac:dyDescent="0.15">
      <c r="B27" s="29"/>
      <c r="J27" s="30"/>
      <c r="K27" s="31"/>
      <c r="L27" s="31"/>
      <c r="M27" s="31"/>
      <c r="Q27" s="31"/>
    </row>
    <row r="28" spans="1:21" s="12" customFormat="1" x14ac:dyDescent="0.15">
      <c r="A28" s="12" t="s">
        <v>18</v>
      </c>
      <c r="B28" s="42"/>
      <c r="C28" s="41"/>
      <c r="D28" s="28"/>
      <c r="E28" s="28"/>
      <c r="F28" s="42">
        <f t="shared" ref="F28:R28" si="46">IFERROR((F8/B8)-1,0)</f>
        <v>0.21361387507497809</v>
      </c>
      <c r="G28" s="41">
        <f>IFERROR((G8/C8)-1,0)</f>
        <v>0.21020267907739432</v>
      </c>
      <c r="H28" s="41">
        <f>IFERROR((H8/D8)-1,0)</f>
        <v>0.1765097352502687</v>
      </c>
      <c r="I28" s="41">
        <f>IFERROR((I8/E8)-1,0)</f>
        <v>0.19472370260189709</v>
      </c>
      <c r="J28" s="42">
        <f>IFERROR((J8/F8)-1,0)</f>
        <v>4.7254831167647504E-2</v>
      </c>
      <c r="K28" s="41">
        <f>IFERROR((K8/G8)-1,0)</f>
        <v>2.8071958262348096E-2</v>
      </c>
      <c r="L28" s="41">
        <f>IFERROR((L8/H8)-1,0)</f>
        <v>8.5230702139694747E-2</v>
      </c>
      <c r="M28" s="41">
        <f>IFERROR((M8/I8)-1,0)</f>
        <v>0.18528076777497282</v>
      </c>
      <c r="N28" s="42">
        <f t="shared" si="46"/>
        <v>0.36350765152428011</v>
      </c>
      <c r="O28" s="41">
        <f t="shared" si="46"/>
        <v>0.36057524582326583</v>
      </c>
      <c r="P28" s="41">
        <f t="shared" si="46"/>
        <v>0.29271907704313693</v>
      </c>
      <c r="Q28" s="41">
        <f t="shared" si="46"/>
        <v>0.20700857994178001</v>
      </c>
      <c r="R28" s="42">
        <f>IFERROR((R8/N8)-1,0)</f>
        <v>0.12920290548817159</v>
      </c>
      <c r="S28" s="36"/>
      <c r="T28" s="36"/>
      <c r="U28" s="36"/>
    </row>
    <row r="29" spans="1:21" s="12" customFormat="1" x14ac:dyDescent="0.15">
      <c r="A29" s="6" t="s">
        <v>58</v>
      </c>
      <c r="B29" s="44"/>
      <c r="C29" s="43"/>
      <c r="D29" s="28"/>
      <c r="E29" s="28"/>
      <c r="F29" s="44">
        <f t="shared" ref="F29:Q31" si="47">F11/B11-1</f>
        <v>0.38976354021032145</v>
      </c>
      <c r="G29" s="43">
        <f t="shared" si="47"/>
        <v>0.19830644238471207</v>
      </c>
      <c r="H29" s="43">
        <f t="shared" si="47"/>
        <v>0.10278983998572366</v>
      </c>
      <c r="I29" s="43">
        <f t="shared" si="47"/>
        <v>0.24753131021194608</v>
      </c>
      <c r="J29" s="44">
        <f t="shared" ref="J29:J31" si="48">J11/F11-1</f>
        <v>-3.6871801600839804E-2</v>
      </c>
      <c r="K29" s="43">
        <f t="shared" ref="K29:K31" si="49">K11/G11-1</f>
        <v>0.14882543926661573</v>
      </c>
      <c r="L29" s="43">
        <f t="shared" ref="L29:L31" si="50">L11/H11-1</f>
        <v>0.45682075624359442</v>
      </c>
      <c r="M29" s="43">
        <f t="shared" ref="M29:M31" si="51">M11/I11-1</f>
        <v>0.35436073169554505</v>
      </c>
      <c r="N29" s="44">
        <f t="shared" si="47"/>
        <v>0.44727520435967305</v>
      </c>
      <c r="O29" s="43">
        <f t="shared" si="47"/>
        <v>0.35634429159220304</v>
      </c>
      <c r="P29" s="43">
        <f t="shared" si="47"/>
        <v>0.25988595971563999</v>
      </c>
      <c r="Q29" s="43">
        <f t="shared" si="47"/>
        <v>0.19379209579131196</v>
      </c>
      <c r="R29" s="35"/>
      <c r="S29" s="36"/>
      <c r="T29" s="36"/>
      <c r="U29" s="36"/>
    </row>
    <row r="30" spans="1:21" s="12" customFormat="1" x14ac:dyDescent="0.15">
      <c r="A30" s="6" t="s">
        <v>59</v>
      </c>
      <c r="B30" s="44"/>
      <c r="C30" s="43"/>
      <c r="D30" s="28"/>
      <c r="E30" s="28"/>
      <c r="F30" s="44">
        <f t="shared" si="47"/>
        <v>1.366498459339982E-2</v>
      </c>
      <c r="G30" s="43">
        <f t="shared" si="47"/>
        <v>1.7010467107425598E-4</v>
      </c>
      <c r="H30" s="43">
        <f t="shared" si="47"/>
        <v>2.9788847020000508E-2</v>
      </c>
      <c r="I30" s="43">
        <f t="shared" si="47"/>
        <v>3.4607334346417495E-2</v>
      </c>
      <c r="J30" s="44">
        <f t="shared" si="48"/>
        <v>-5.6143442442398328E-2</v>
      </c>
      <c r="K30" s="43">
        <f t="shared" si="49"/>
        <v>-5.4764388407637643E-3</v>
      </c>
      <c r="L30" s="43">
        <f t="shared" si="50"/>
        <v>2.7065064414853346E-2</v>
      </c>
      <c r="M30" s="43">
        <f t="shared" si="51"/>
        <v>0.19033366589069933</v>
      </c>
      <c r="N30" s="44">
        <f t="shared" si="47"/>
        <v>0.10313378079404045</v>
      </c>
      <c r="O30" s="43">
        <f t="shared" si="47"/>
        <v>2.9049285738716124E-2</v>
      </c>
      <c r="P30" s="43">
        <f t="shared" si="47"/>
        <v>0.14234215241909975</v>
      </c>
      <c r="Q30" s="43">
        <f t="shared" si="47"/>
        <v>0.2007357049729932</v>
      </c>
      <c r="R30" s="35"/>
      <c r="S30" s="36"/>
      <c r="T30" s="36"/>
      <c r="U30" s="36"/>
    </row>
    <row r="31" spans="1:21" s="12" customFormat="1" x14ac:dyDescent="0.15">
      <c r="A31" s="6" t="s">
        <v>60</v>
      </c>
      <c r="B31" s="44"/>
      <c r="C31" s="43"/>
      <c r="D31" s="28"/>
      <c r="E31" s="28"/>
      <c r="F31" s="44">
        <f t="shared" si="47"/>
        <v>0.62469257255287736</v>
      </c>
      <c r="G31" s="43">
        <f t="shared" si="47"/>
        <v>6.2935618772264945E-2</v>
      </c>
      <c r="H31" s="43">
        <f t="shared" si="47"/>
        <v>-6.8124667965291374E-2</v>
      </c>
      <c r="I31" s="43">
        <f t="shared" si="47"/>
        <v>-0.20647937155193108</v>
      </c>
      <c r="J31" s="44">
        <f t="shared" si="48"/>
        <v>-0.21432031486527414</v>
      </c>
      <c r="K31" s="43">
        <f t="shared" si="49"/>
        <v>-0.15552749174276259</v>
      </c>
      <c r="L31" s="43">
        <f t="shared" si="50"/>
        <v>0.11145316686619933</v>
      </c>
      <c r="M31" s="43">
        <f t="shared" si="51"/>
        <v>-3.0114677599138551E-2</v>
      </c>
      <c r="N31" s="44">
        <f t="shared" si="47"/>
        <v>-1.4488844360525555E-2</v>
      </c>
      <c r="O31" s="43">
        <f t="shared" si="47"/>
        <v>-2.6017101882740978E-2</v>
      </c>
      <c r="P31" s="43">
        <f t="shared" si="47"/>
        <v>-7.4425523184243003E-2</v>
      </c>
      <c r="Q31" s="43">
        <f t="shared" si="47"/>
        <v>0.13925628688859892</v>
      </c>
      <c r="R31" s="35"/>
      <c r="S31" s="36"/>
      <c r="T31" s="36"/>
      <c r="U31" s="36"/>
    </row>
    <row r="32" spans="1:21" x14ac:dyDescent="0.15">
      <c r="B32" s="29"/>
    </row>
    <row r="33" spans="1:21" s="12" customFormat="1" x14ac:dyDescent="0.15">
      <c r="A33" s="12" t="s">
        <v>33</v>
      </c>
      <c r="B33" s="29"/>
      <c r="C33" s="28"/>
      <c r="D33" s="28"/>
      <c r="E33" s="28"/>
      <c r="F33" s="29"/>
      <c r="G33" s="28"/>
      <c r="H33" s="28"/>
      <c r="I33" s="28"/>
      <c r="J33" s="29"/>
      <c r="K33" s="28"/>
      <c r="L33" s="28"/>
      <c r="M33" s="33">
        <f t="shared" ref="L33:P33" si="52">M34-M35</f>
        <v>-968.93499999999995</v>
      </c>
      <c r="N33" s="34">
        <f t="shared" si="52"/>
        <v>-954.78399999999999</v>
      </c>
      <c r="O33" s="33">
        <f t="shared" si="52"/>
        <v>-934.346</v>
      </c>
      <c r="P33" s="33">
        <f t="shared" si="52"/>
        <v>-842.32099999999991</v>
      </c>
      <c r="Q33" s="33">
        <f t="shared" ref="Q33" si="53">Q34-Q35</f>
        <v>-1319.8880000000001</v>
      </c>
      <c r="R33" s="35"/>
      <c r="S33" s="36"/>
      <c r="T33" s="36"/>
      <c r="U33" s="36"/>
    </row>
    <row r="34" spans="1:21" x14ac:dyDescent="0.15">
      <c r="A34" s="6" t="s">
        <v>34</v>
      </c>
      <c r="B34" s="29"/>
      <c r="M34" s="31">
        <f>272.624+11.137</f>
        <v>283.76100000000002</v>
      </c>
      <c r="N34" s="30">
        <f>287.51+11.148</f>
        <v>298.65800000000002</v>
      </c>
      <c r="O34" s="31">
        <f>309.761+10.158</f>
        <v>319.91900000000004</v>
      </c>
      <c r="P34" s="31">
        <f>402.598+10.169</f>
        <v>412.767</v>
      </c>
      <c r="Q34" s="31">
        <f>186.947+9.076</f>
        <v>196.023</v>
      </c>
    </row>
    <row r="35" spans="1:21" x14ac:dyDescent="0.15">
      <c r="A35" s="6" t="s">
        <v>35</v>
      </c>
      <c r="B35" s="29"/>
      <c r="M35" s="31">
        <v>1252.6959999999999</v>
      </c>
      <c r="N35" s="30">
        <v>1253.442</v>
      </c>
      <c r="O35" s="31">
        <v>1254.2650000000001</v>
      </c>
      <c r="P35" s="31">
        <v>1255.088</v>
      </c>
      <c r="Q35" s="31">
        <v>1515.9110000000001</v>
      </c>
    </row>
    <row r="36" spans="1:21" x14ac:dyDescent="0.15">
      <c r="B36" s="29"/>
    </row>
    <row r="37" spans="1:21" x14ac:dyDescent="0.15">
      <c r="A37" s="26" t="s">
        <v>73</v>
      </c>
      <c r="B37" s="29"/>
      <c r="M37" s="49">
        <f>1247.644+230.345</f>
        <v>1477.989</v>
      </c>
      <c r="N37" s="30">
        <f>1266.369+235.678</f>
        <v>1502.047</v>
      </c>
      <c r="O37" s="31">
        <f>1259.195+228.446</f>
        <v>1487.6409999999998</v>
      </c>
      <c r="P37" s="31">
        <f>1252.745+235.827</f>
        <v>1488.5719999999999</v>
      </c>
      <c r="Q37" s="31">
        <f>1244.758+237.64</f>
        <v>1482.3980000000001</v>
      </c>
    </row>
    <row r="38" spans="1:21" x14ac:dyDescent="0.15">
      <c r="A38" s="26" t="s">
        <v>74</v>
      </c>
      <c r="B38" s="29"/>
      <c r="M38" s="49">
        <v>2130.1460000000002</v>
      </c>
      <c r="N38" s="30">
        <v>2201.5630000000001</v>
      </c>
      <c r="O38" s="31">
        <v>2216.232</v>
      </c>
      <c r="P38" s="31">
        <v>2324.7550000000001</v>
      </c>
      <c r="Q38" s="31">
        <v>2053.0610000000001</v>
      </c>
    </row>
    <row r="39" spans="1:21" x14ac:dyDescent="0.15">
      <c r="A39" s="26" t="s">
        <v>75</v>
      </c>
      <c r="B39" s="29"/>
      <c r="M39" s="49">
        <f>318.773+1252.696+8.41+28.478+14.484+6.056</f>
        <v>1628.8970000000002</v>
      </c>
      <c r="N39" s="30">
        <f>353.035+1253.442+7.568+29.866+13.145+6.202</f>
        <v>1663.258</v>
      </c>
      <c r="O39" s="31">
        <f>330.969+1254.265+7.278+28.218+13.085+6.064</f>
        <v>1639.8790000000004</v>
      </c>
      <c r="P39" s="31">
        <f>373.073+1255.088+6.638+28.272+12.947</f>
        <v>1676.0179999999998</v>
      </c>
      <c r="Q39" s="31">
        <f>355.434+1515.911+13.918+20.174+21.76</f>
        <v>1927.1969999999999</v>
      </c>
    </row>
    <row r="40" spans="1:21" x14ac:dyDescent="0.15">
      <c r="B40" s="29"/>
      <c r="M40" s="50"/>
    </row>
    <row r="41" spans="1:21" x14ac:dyDescent="0.15">
      <c r="A41" s="26" t="s">
        <v>76</v>
      </c>
      <c r="B41" s="29"/>
      <c r="M41" s="37">
        <f t="shared" ref="F41:O41" si="54">M38-M34-M37</f>
        <v>368.39600000000019</v>
      </c>
      <c r="N41" s="38">
        <f t="shared" si="54"/>
        <v>400.85800000000017</v>
      </c>
      <c r="O41" s="37">
        <f t="shared" si="54"/>
        <v>408.67200000000003</v>
      </c>
      <c r="P41" s="37">
        <f>P38-P34-P37</f>
        <v>423.41600000000017</v>
      </c>
      <c r="Q41" s="37">
        <f>Q38-Q34-Q37</f>
        <v>374.6400000000001</v>
      </c>
    </row>
    <row r="42" spans="1:21" x14ac:dyDescent="0.15">
      <c r="A42" s="26" t="s">
        <v>77</v>
      </c>
      <c r="B42" s="29"/>
      <c r="M42" s="37">
        <f t="shared" ref="F42:P42" si="55">M38-M39</f>
        <v>501.24900000000002</v>
      </c>
      <c r="N42" s="38">
        <f t="shared" si="55"/>
        <v>538.30500000000006</v>
      </c>
      <c r="O42" s="37">
        <f t="shared" si="55"/>
        <v>576.35299999999961</v>
      </c>
      <c r="P42" s="37">
        <f t="shared" si="55"/>
        <v>648.73700000000031</v>
      </c>
      <c r="Q42" s="37">
        <f t="shared" ref="Q42" si="56">Q38-Q39</f>
        <v>125.86400000000026</v>
      </c>
    </row>
    <row r="43" spans="1:21" x14ac:dyDescent="0.15">
      <c r="B43" s="29"/>
      <c r="M43" s="50"/>
    </row>
    <row r="44" spans="1:21" s="12" customFormat="1" x14ac:dyDescent="0.15">
      <c r="A44" s="32" t="s">
        <v>78</v>
      </c>
      <c r="B44" s="29"/>
      <c r="C44" s="28"/>
      <c r="D44" s="28"/>
      <c r="E44" s="28"/>
      <c r="F44" s="29"/>
      <c r="G44" s="28"/>
      <c r="H44" s="28"/>
      <c r="I44" s="28"/>
      <c r="J44" s="29"/>
      <c r="K44" s="28"/>
      <c r="L44" s="28"/>
      <c r="M44" s="33">
        <f t="shared" ref="E44:Q44" si="57">SUM(J20:M20)</f>
        <v>356.51200000000006</v>
      </c>
      <c r="N44" s="34">
        <f t="shared" si="57"/>
        <v>431.63499999999999</v>
      </c>
      <c r="O44" s="33">
        <f t="shared" si="57"/>
        <v>511.44900000000007</v>
      </c>
      <c r="P44" s="33">
        <f>SUM(M20:P20)</f>
        <v>351.09299999999996</v>
      </c>
      <c r="Q44" s="33">
        <f t="shared" si="57"/>
        <v>472.96900000000005</v>
      </c>
      <c r="R44" s="35"/>
      <c r="S44" s="36"/>
      <c r="T44" s="36"/>
      <c r="U44" s="36"/>
    </row>
    <row r="45" spans="1:21" x14ac:dyDescent="0.15">
      <c r="A45" s="26" t="s">
        <v>79</v>
      </c>
      <c r="B45" s="29"/>
      <c r="M45" s="45">
        <f t="shared" ref="F45:O45" si="58">M44/M42</f>
        <v>0.71124730423402349</v>
      </c>
      <c r="N45" s="46">
        <f t="shared" si="58"/>
        <v>0.80184096376589464</v>
      </c>
      <c r="O45" s="45">
        <f t="shared" si="58"/>
        <v>0.88738845811507949</v>
      </c>
      <c r="P45" s="45">
        <f>P44/P42</f>
        <v>0.54119465977738246</v>
      </c>
      <c r="Q45" s="45">
        <f>Q44/Q42</f>
        <v>3.7577782368270443</v>
      </c>
    </row>
    <row r="46" spans="1:21" x14ac:dyDescent="0.15">
      <c r="A46" s="26" t="s">
        <v>80</v>
      </c>
      <c r="B46" s="29"/>
      <c r="M46" s="45">
        <f t="shared" ref="F46:O46" si="59">M44/M38</f>
        <v>0.16736505385076891</v>
      </c>
      <c r="N46" s="46">
        <f t="shared" si="59"/>
        <v>0.19605843666522374</v>
      </c>
      <c r="O46" s="45">
        <f t="shared" si="59"/>
        <v>0.23077412473062389</v>
      </c>
      <c r="P46" s="45">
        <f>P44/P38</f>
        <v>0.15102365625625064</v>
      </c>
      <c r="Q46" s="45">
        <f>Q44/Q38</f>
        <v>0.2303725997425308</v>
      </c>
    </row>
    <row r="47" spans="1:21" x14ac:dyDescent="0.15">
      <c r="A47" s="26" t="s">
        <v>81</v>
      </c>
      <c r="B47" s="29"/>
      <c r="M47" s="45">
        <f t="shared" ref="F47:O47" si="60">M44/(M42-M37)</f>
        <v>-0.36500194524643209</v>
      </c>
      <c r="N47" s="46">
        <f t="shared" si="60"/>
        <v>-0.44787401607484162</v>
      </c>
      <c r="O47" s="45">
        <f t="shared" si="60"/>
        <v>-0.5612375012070826</v>
      </c>
      <c r="P47" s="45">
        <f>P44/(P42-P37)</f>
        <v>-0.41804997410205591</v>
      </c>
      <c r="Q47" s="45">
        <f>Q44/(Q42-Q37)</f>
        <v>-0.34865989352275734</v>
      </c>
    </row>
    <row r="48" spans="1:21" x14ac:dyDescent="0.15">
      <c r="A48" s="26" t="s">
        <v>82</v>
      </c>
      <c r="B48" s="29"/>
      <c r="M48" s="45">
        <f t="shared" ref="F48:O48" si="61">M44/M41</f>
        <v>0.96774123497540654</v>
      </c>
      <c r="N48" s="46">
        <f t="shared" si="61"/>
        <v>1.07677781159413</v>
      </c>
      <c r="O48" s="45">
        <f t="shared" si="61"/>
        <v>1.2514901926239137</v>
      </c>
      <c r="P48" s="45">
        <f>P44/P41</f>
        <v>0.82919162242333744</v>
      </c>
      <c r="Q48" s="45">
        <f>Q44/Q41</f>
        <v>1.2624626307922271</v>
      </c>
    </row>
    <row r="49" spans="1:21" x14ac:dyDescent="0.15">
      <c r="B49" s="29"/>
    </row>
    <row r="50" spans="1:21" x14ac:dyDescent="0.15">
      <c r="A50" s="6" t="s">
        <v>103</v>
      </c>
      <c r="B50" s="46"/>
      <c r="C50" s="45"/>
      <c r="F50" s="46">
        <f>F3/B3-1</f>
        <v>0.21361387507497809</v>
      </c>
      <c r="G50" s="45">
        <f>G3/C3-1</f>
        <v>0.21020267907739432</v>
      </c>
      <c r="H50" s="45">
        <f>H3/D3-1</f>
        <v>0.1765097352502687</v>
      </c>
      <c r="I50" s="45">
        <f>I3/E3-1</f>
        <v>0.19472370260189709</v>
      </c>
      <c r="J50" s="46">
        <f>J3/F3-1</f>
        <v>4.7254831167647504E-2</v>
      </c>
      <c r="K50" s="45">
        <f t="shared" ref="K50" si="62">K3/G3-1</f>
        <v>2.8071958262348096E-2</v>
      </c>
      <c r="L50" s="45">
        <f t="shared" ref="L50" si="63">L3/H3-1</f>
        <v>8.5230702139694747E-2</v>
      </c>
      <c r="M50" s="45">
        <f t="shared" ref="M50" si="64">M3/I3-1</f>
        <v>0.18528076777497282</v>
      </c>
      <c r="N50" s="46">
        <f>N3/J3-1</f>
        <v>0.36350765152428011</v>
      </c>
      <c r="O50" s="45">
        <f t="shared" ref="F50:Q50" si="65">O3/K3-1</f>
        <v>0.36057524582326583</v>
      </c>
      <c r="P50" s="45">
        <f t="shared" si="65"/>
        <v>0.29271907704313693</v>
      </c>
      <c r="Q50" s="45">
        <f t="shared" si="65"/>
        <v>0.20700857994178001</v>
      </c>
      <c r="R50" s="62"/>
      <c r="S50" s="6"/>
      <c r="T50" s="6"/>
      <c r="U50" s="6"/>
    </row>
    <row r="51" spans="1:21" x14ac:dyDescent="0.15">
      <c r="B51" s="29"/>
    </row>
    <row r="52" spans="1:21" s="23" customFormat="1" x14ac:dyDescent="0.15">
      <c r="A52" s="23" t="s">
        <v>101</v>
      </c>
      <c r="B52" s="46"/>
      <c r="C52" s="45"/>
      <c r="D52" s="45"/>
      <c r="E52" s="45"/>
      <c r="F52" s="46">
        <f>F5/B5-1</f>
        <v>0.35135135135135132</v>
      </c>
      <c r="G52" s="45">
        <f>G5/C5-1</f>
        <v>0.32499999999999996</v>
      </c>
      <c r="H52" s="45">
        <f>H5/D5-1</f>
        <v>0.34146341463414642</v>
      </c>
      <c r="I52" s="45">
        <f>I5/E5-1</f>
        <v>0.23913043478260887</v>
      </c>
      <c r="J52" s="46">
        <f>J5/F5-1</f>
        <v>0.18000000000000016</v>
      </c>
      <c r="K52" s="45">
        <f t="shared" ref="K52:K53" si="66">K5/G5-1</f>
        <v>0.15094339622641506</v>
      </c>
      <c r="L52" s="45">
        <f t="shared" ref="L52:L53" si="67">L5/H5-1</f>
        <v>0.19999999999999996</v>
      </c>
      <c r="M52" s="45">
        <f t="shared" ref="M52:M53" si="68">M5/I5-1</f>
        <v>0.22807017543859653</v>
      </c>
      <c r="N52" s="46">
        <f>N5/J5-1</f>
        <v>0.25423728813559321</v>
      </c>
      <c r="O52" s="45">
        <f t="shared" ref="O52" si="69">O5/K5-1</f>
        <v>0.26229508196721318</v>
      </c>
      <c r="P52" s="45">
        <f t="shared" ref="P52" si="70">P5/L5-1</f>
        <v>0.22727272727272729</v>
      </c>
      <c r="Q52" s="45">
        <f t="shared" ref="Q52" si="71">Q5/M5-1</f>
        <v>0.17142857142857126</v>
      </c>
      <c r="R52" s="46"/>
      <c r="S52" s="45"/>
      <c r="T52" s="45"/>
      <c r="U52" s="45"/>
    </row>
    <row r="53" spans="1:21" s="23" customFormat="1" x14ac:dyDescent="0.15">
      <c r="A53" s="23" t="s">
        <v>87</v>
      </c>
      <c r="B53" s="46"/>
      <c r="C53" s="45"/>
      <c r="D53" s="45"/>
      <c r="E53" s="45"/>
      <c r="F53" s="46">
        <f t="shared" ref="F53:I53" si="72">F6/B6-1</f>
        <v>-0.10192573244451619</v>
      </c>
      <c r="G53" s="45">
        <f t="shared" si="72"/>
        <v>-8.6639487488759048E-2</v>
      </c>
      <c r="H53" s="45">
        <f t="shared" si="72"/>
        <v>-0.12296547008616354</v>
      </c>
      <c r="I53" s="45">
        <f t="shared" si="72"/>
        <v>-3.5837011935311303E-2</v>
      </c>
      <c r="J53" s="46">
        <f t="shared" ref="J53" si="73">J6/F6-1</f>
        <v>-0.11249590579012925</v>
      </c>
      <c r="K53" s="45">
        <f>K6/G6-1</f>
        <v>-0.10675715101795979</v>
      </c>
      <c r="L53" s="45">
        <f t="shared" si="67"/>
        <v>-9.5641081550254192E-2</v>
      </c>
      <c r="M53" s="45">
        <f t="shared" si="68"/>
        <v>-3.484280338323642E-2</v>
      </c>
      <c r="N53" s="46">
        <f t="shared" ref="N53" si="74">N6/J6-1</f>
        <v>8.7120965404493544E-2</v>
      </c>
      <c r="O53" s="45">
        <f t="shared" ref="O53" si="75">O6/K6-1</f>
        <v>7.7858311626223475E-2</v>
      </c>
      <c r="P53" s="45">
        <f t="shared" ref="P53" si="76">P6/L6-1</f>
        <v>5.3326655368481912E-2</v>
      </c>
      <c r="Q53" s="45">
        <f t="shared" ref="Q53" si="77">Q6/M6-1</f>
        <v>3.0373177999080569E-2</v>
      </c>
      <c r="R53" s="46"/>
      <c r="S53" s="45"/>
      <c r="T53" s="45"/>
      <c r="U53" s="45"/>
    </row>
    <row r="54" spans="1:21" x14ac:dyDescent="0.15">
      <c r="B54" s="29"/>
    </row>
    <row r="55" spans="1:21" s="66" customFormat="1" x14ac:dyDescent="0.15">
      <c r="A55" s="66" t="s">
        <v>98</v>
      </c>
      <c r="B55" s="68"/>
      <c r="C55" s="67"/>
      <c r="D55" s="67"/>
      <c r="E55" s="67">
        <v>0.8</v>
      </c>
      <c r="F55" s="68">
        <v>1</v>
      </c>
      <c r="G55" s="67">
        <v>1</v>
      </c>
      <c r="H55" s="67">
        <v>1.5</v>
      </c>
      <c r="I55" s="67">
        <v>1.7</v>
      </c>
      <c r="J55" s="68">
        <v>1.9</v>
      </c>
      <c r="K55" s="67">
        <v>2.2000000000000002</v>
      </c>
      <c r="L55" s="67">
        <v>2.6</v>
      </c>
      <c r="M55" s="67">
        <v>3.1</v>
      </c>
      <c r="N55" s="68">
        <v>3.5</v>
      </c>
      <c r="O55" s="67">
        <v>3.8</v>
      </c>
      <c r="P55" s="67">
        <v>4.0999999999999996</v>
      </c>
      <c r="Q55" s="67">
        <v>4.3</v>
      </c>
      <c r="R55" s="68"/>
      <c r="S55" s="67"/>
      <c r="T55" s="67"/>
      <c r="U55" s="67"/>
    </row>
    <row r="56" spans="1:21" s="23" customFormat="1" x14ac:dyDescent="0.15">
      <c r="A56" s="23" t="s">
        <v>102</v>
      </c>
      <c r="B56" s="46"/>
      <c r="C56" s="45"/>
      <c r="D56" s="45"/>
      <c r="E56" s="45"/>
      <c r="F56" s="46"/>
      <c r="G56" s="45"/>
      <c r="H56" s="45"/>
      <c r="I56" s="45">
        <f>I55/E55-1</f>
        <v>1.125</v>
      </c>
      <c r="J56" s="46">
        <f>J55/F55-1</f>
        <v>0.89999999999999991</v>
      </c>
      <c r="K56" s="45">
        <f t="shared" ref="K56:P56" si="78">K55/G55-1</f>
        <v>1.2000000000000002</v>
      </c>
      <c r="L56" s="45">
        <f t="shared" si="78"/>
        <v>0.73333333333333339</v>
      </c>
      <c r="M56" s="45">
        <f t="shared" si="78"/>
        <v>0.82352941176470607</v>
      </c>
      <c r="N56" s="46">
        <f>N55/J55-1</f>
        <v>0.84210526315789491</v>
      </c>
      <c r="O56" s="45">
        <f t="shared" si="78"/>
        <v>0.72727272727272707</v>
      </c>
      <c r="P56" s="45">
        <f t="shared" si="78"/>
        <v>0.57692307692307665</v>
      </c>
      <c r="Q56" s="45">
        <f>Q55/M55-1</f>
        <v>0.38709677419354827</v>
      </c>
      <c r="R56" s="46"/>
      <c r="S56" s="45"/>
      <c r="T56" s="45"/>
      <c r="U56" s="45"/>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D31" sqref="D31"/>
    </sheetView>
  </sheetViews>
  <sheetFormatPr baseColWidth="10" defaultRowHeight="13" x14ac:dyDescent="0.15"/>
  <cols>
    <col min="1" max="16384" width="10.83203125" style="3"/>
  </cols>
  <sheetData>
    <row r="1" spans="1:1" x14ac:dyDescent="0.15">
      <c r="A1" s="2" t="s">
        <v>98</v>
      </c>
    </row>
    <row r="2" spans="1:1" x14ac:dyDescent="0.15">
      <c r="A2" s="3" t="s">
        <v>105</v>
      </c>
    </row>
    <row r="4" spans="1:1" x14ac:dyDescent="0.15">
      <c r="A4" s="2" t="s">
        <v>106</v>
      </c>
    </row>
    <row r="5" spans="1:1" x14ac:dyDescent="0.15">
      <c r="A5" s="3" t="s">
        <v>107</v>
      </c>
    </row>
    <row r="7" spans="1:1" x14ac:dyDescent="0.15">
      <c r="A7" s="2" t="s">
        <v>97</v>
      </c>
    </row>
    <row r="8" spans="1:1" x14ac:dyDescent="0.15">
      <c r="A8" s="3" t="s">
        <v>108</v>
      </c>
    </row>
    <row r="10" spans="1:1" x14ac:dyDescent="0.15">
      <c r="A10" s="2" t="s">
        <v>109</v>
      </c>
    </row>
    <row r="11" spans="1:1" x14ac:dyDescent="0.15">
      <c r="A11" s="3" t="s">
        <v>110</v>
      </c>
    </row>
    <row r="13" spans="1:1" x14ac:dyDescent="0.15">
      <c r="A13" s="2" t="s">
        <v>96</v>
      </c>
    </row>
    <row r="14" spans="1:1" x14ac:dyDescent="0.15">
      <c r="A14" s="3"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Reports</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2018-01-04T19:16:18Z</dcterms:created>
  <dcterms:modified xsi:type="dcterms:W3CDTF">2019-03-24T01:04:53Z</dcterms:modified>
</cp:coreProperties>
</file>