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F8F874A-50AD-2E47-96B1-B8EEAB07696C}" xr6:coauthVersionLast="45" xr6:coauthVersionMax="45" xr10:uidLastSave="{00000000-0000-0000-0000-000000000000}"/>
  <bookViews>
    <workbookView xWindow="0" yWindow="460" windowWidth="2670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  <c r="M19" i="2" s="1"/>
  <c r="N19" i="2" s="1"/>
  <c r="O19" i="2" s="1"/>
  <c r="P19" i="2" s="1"/>
  <c r="Q19" i="2" s="1"/>
  <c r="R19" i="2" s="1"/>
  <c r="S19" i="2" s="1"/>
  <c r="T19" i="2" s="1"/>
  <c r="K19" i="2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F18" i="2"/>
  <c r="G10" i="2"/>
  <c r="H10" i="2" s="1"/>
  <c r="I10" i="2" s="1"/>
  <c r="J10" i="2" s="1"/>
  <c r="F10" i="2"/>
  <c r="F15" i="2" s="1"/>
  <c r="G20" i="2"/>
  <c r="H20" i="2" s="1"/>
  <c r="I20" i="2" s="1"/>
  <c r="J20" i="2" s="1"/>
  <c r="F20" i="2"/>
  <c r="G19" i="2"/>
  <c r="H19" i="2" s="1"/>
  <c r="I19" i="2" s="1"/>
  <c r="J19" i="2" s="1"/>
  <c r="F19" i="2"/>
  <c r="T28" i="2"/>
  <c r="T9" i="2"/>
  <c r="S28" i="2"/>
  <c r="S9" i="2"/>
  <c r="R28" i="2"/>
  <c r="R9" i="2"/>
  <c r="Q28" i="2"/>
  <c r="Q9" i="2"/>
  <c r="P28" i="2"/>
  <c r="P9" i="2"/>
  <c r="O27" i="1"/>
  <c r="B58" i="2"/>
  <c r="F4" i="2"/>
  <c r="C5" i="2"/>
  <c r="C3" i="2"/>
  <c r="E28" i="2"/>
  <c r="E20" i="2"/>
  <c r="E19" i="2"/>
  <c r="E18" i="2"/>
  <c r="E16" i="2"/>
  <c r="E10" i="2"/>
  <c r="D28" i="2"/>
  <c r="D25" i="2"/>
  <c r="D23" i="2"/>
  <c r="D20" i="2"/>
  <c r="D19" i="2"/>
  <c r="D18" i="2"/>
  <c r="D16" i="2"/>
  <c r="D10" i="2"/>
  <c r="C25" i="2"/>
  <c r="C23" i="2"/>
  <c r="C20" i="2"/>
  <c r="C19" i="2"/>
  <c r="C18" i="2"/>
  <c r="C16" i="2"/>
  <c r="C10" i="2"/>
  <c r="L34" i="1"/>
  <c r="I34" i="1"/>
  <c r="N37" i="1"/>
  <c r="M34" i="1"/>
  <c r="N34" i="1"/>
  <c r="J15" i="2" l="1"/>
  <c r="E46" i="2"/>
  <c r="E45" i="2"/>
  <c r="E49" i="2" s="1"/>
  <c r="E25" i="2"/>
  <c r="E23" i="2"/>
  <c r="N41" i="1"/>
  <c r="E44" i="2"/>
  <c r="E56" i="2" s="1"/>
  <c r="E42" i="2"/>
  <c r="E41" i="2"/>
  <c r="M50" i="1"/>
  <c r="M42" i="1"/>
  <c r="M29" i="1"/>
  <c r="M28" i="1"/>
  <c r="M8" i="1"/>
  <c r="M10" i="1" s="1"/>
  <c r="M23" i="1" s="1"/>
  <c r="M41" i="1" l="1"/>
  <c r="M33" i="1"/>
  <c r="M14" i="1"/>
  <c r="M15" i="1" s="1"/>
  <c r="F35" i="2"/>
  <c r="E15" i="2"/>
  <c r="E40" i="2"/>
  <c r="E48" i="2"/>
  <c r="M24" i="1" l="1"/>
  <c r="M17" i="1"/>
  <c r="M25" i="1" s="1"/>
  <c r="E17" i="2"/>
  <c r="M19" i="1" l="1"/>
  <c r="M20" i="1" s="1"/>
  <c r="L42" i="1" l="1"/>
  <c r="L50" i="1"/>
  <c r="L14" i="1"/>
  <c r="L8" i="1"/>
  <c r="L10" i="1" s="1"/>
  <c r="N50" i="1"/>
  <c r="N42" i="1"/>
  <c r="N29" i="1"/>
  <c r="N28" i="1"/>
  <c r="N14" i="1"/>
  <c r="N8" i="1"/>
  <c r="L41" i="1" l="1"/>
  <c r="L33" i="1"/>
  <c r="L15" i="1"/>
  <c r="L17" i="1" s="1"/>
  <c r="L19" i="1" s="1"/>
  <c r="L20" i="1" s="1"/>
  <c r="N10" i="1"/>
  <c r="N30" i="1"/>
  <c r="N33" i="1"/>
  <c r="C4" i="2"/>
  <c r="L28" i="1"/>
  <c r="L29" i="1"/>
  <c r="K50" i="1"/>
  <c r="K29" i="1"/>
  <c r="K28" i="1"/>
  <c r="K8" i="1"/>
  <c r="K10" i="1" s="1"/>
  <c r="E61" i="2"/>
  <c r="B15" i="2"/>
  <c r="B14" i="1"/>
  <c r="G14" i="1"/>
  <c r="D14" i="1"/>
  <c r="H14" i="1"/>
  <c r="M30" i="1"/>
  <c r="D44" i="2"/>
  <c r="D56" i="2" s="1"/>
  <c r="D41" i="2"/>
  <c r="J50" i="1"/>
  <c r="I8" i="1"/>
  <c r="H8" i="1"/>
  <c r="H10" i="1" s="1"/>
  <c r="H23" i="1" s="1"/>
  <c r="G8" i="1"/>
  <c r="G10" i="1" s="1"/>
  <c r="F14" i="1"/>
  <c r="J29" i="1"/>
  <c r="J28" i="1"/>
  <c r="F8" i="1"/>
  <c r="F10" i="1" s="1"/>
  <c r="F23" i="1" s="1"/>
  <c r="E14" i="1"/>
  <c r="J8" i="1"/>
  <c r="J10" i="1" s="1"/>
  <c r="D45" i="2"/>
  <c r="I42" i="1"/>
  <c r="D42" i="2"/>
  <c r="D46" i="2"/>
  <c r="E8" i="1"/>
  <c r="E10" i="1" s="1"/>
  <c r="E23" i="1" s="1"/>
  <c r="I50" i="1"/>
  <c r="H50" i="1"/>
  <c r="G50" i="1"/>
  <c r="F50" i="1"/>
  <c r="B8" i="1"/>
  <c r="B10" i="1" s="1"/>
  <c r="C8" i="1"/>
  <c r="D8" i="1"/>
  <c r="I29" i="1"/>
  <c r="I28" i="1"/>
  <c r="F29" i="1"/>
  <c r="F28" i="1"/>
  <c r="G29" i="1"/>
  <c r="G28" i="1"/>
  <c r="H29" i="1"/>
  <c r="H28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C15" i="2" l="1"/>
  <c r="C17" i="2" s="1"/>
  <c r="C30" i="2" s="1"/>
  <c r="I30" i="1"/>
  <c r="I41" i="1"/>
  <c r="F30" i="1"/>
  <c r="C21" i="2"/>
  <c r="B15" i="1"/>
  <c r="B24" i="1" s="1"/>
  <c r="J14" i="1"/>
  <c r="N31" i="1" s="1"/>
  <c r="I14" i="1"/>
  <c r="H30" i="1"/>
  <c r="I10" i="1"/>
  <c r="I23" i="1" s="1"/>
  <c r="M27" i="1"/>
  <c r="H27" i="1"/>
  <c r="J27" i="1"/>
  <c r="N27" i="1"/>
  <c r="H59" i="2"/>
  <c r="F59" i="2"/>
  <c r="I59" i="2"/>
  <c r="D59" i="2"/>
  <c r="C59" i="2"/>
  <c r="J59" i="2"/>
  <c r="E59" i="2"/>
  <c r="B59" i="2"/>
  <c r="G59" i="2"/>
  <c r="D35" i="2"/>
  <c r="D40" i="2"/>
  <c r="D36" i="2"/>
  <c r="N15" i="1"/>
  <c r="N23" i="1"/>
  <c r="G15" i="1"/>
  <c r="G17" i="1" s="1"/>
  <c r="G23" i="1"/>
  <c r="D61" i="2"/>
  <c r="G30" i="1"/>
  <c r="D49" i="2"/>
  <c r="D48" i="2"/>
  <c r="E15" i="1"/>
  <c r="E24" i="1" s="1"/>
  <c r="C61" i="2"/>
  <c r="C36" i="2"/>
  <c r="B23" i="1"/>
  <c r="F27" i="1"/>
  <c r="I33" i="1"/>
  <c r="H31" i="1"/>
  <c r="C35" i="2"/>
  <c r="F31" i="1"/>
  <c r="L30" i="1"/>
  <c r="K23" i="1"/>
  <c r="H15" i="1"/>
  <c r="I27" i="1"/>
  <c r="D15" i="2"/>
  <c r="D10" i="1"/>
  <c r="F15" i="1"/>
  <c r="C14" i="1"/>
  <c r="C34" i="2"/>
  <c r="K27" i="1"/>
  <c r="K14" i="1"/>
  <c r="K31" i="1" s="1"/>
  <c r="B17" i="2"/>
  <c r="J30" i="1"/>
  <c r="C6" i="2"/>
  <c r="C7" i="2" s="1"/>
  <c r="C10" i="1"/>
  <c r="J23" i="1"/>
  <c r="K30" i="1"/>
  <c r="G27" i="1"/>
  <c r="L31" i="1"/>
  <c r="J15" i="1" l="1"/>
  <c r="J17" i="1" s="1"/>
  <c r="D37" i="2"/>
  <c r="B17" i="1"/>
  <c r="B25" i="1" s="1"/>
  <c r="G24" i="1"/>
  <c r="J31" i="1"/>
  <c r="I15" i="1"/>
  <c r="I24" i="1" s="1"/>
  <c r="E21" i="2"/>
  <c r="E22" i="2" s="1"/>
  <c r="E24" i="2" s="1"/>
  <c r="M31" i="1"/>
  <c r="I31" i="1"/>
  <c r="N24" i="1"/>
  <c r="N17" i="1"/>
  <c r="J24" i="1"/>
  <c r="G31" i="1"/>
  <c r="E17" i="1"/>
  <c r="E25" i="1" s="1"/>
  <c r="G19" i="1"/>
  <c r="G25" i="1"/>
  <c r="L27" i="1"/>
  <c r="C15" i="1"/>
  <c r="C23" i="1"/>
  <c r="C22" i="2"/>
  <c r="J25" i="1"/>
  <c r="J19" i="1"/>
  <c r="F24" i="1"/>
  <c r="F17" i="1"/>
  <c r="D23" i="1"/>
  <c r="D15" i="1"/>
  <c r="B30" i="2"/>
  <c r="E36" i="2"/>
  <c r="H17" i="1"/>
  <c r="H24" i="1"/>
  <c r="D34" i="2"/>
  <c r="D17" i="2"/>
  <c r="C37" i="2"/>
  <c r="K15" i="1"/>
  <c r="D21" i="2"/>
  <c r="D38" i="2" s="1"/>
  <c r="B21" i="2"/>
  <c r="B19" i="1" l="1"/>
  <c r="I17" i="1"/>
  <c r="I19" i="1" s="1"/>
  <c r="E19" i="1"/>
  <c r="J20" i="1"/>
  <c r="N19" i="1"/>
  <c r="N25" i="1"/>
  <c r="E35" i="2"/>
  <c r="K17" i="1"/>
  <c r="K24" i="1"/>
  <c r="F36" i="2"/>
  <c r="B22" i="2"/>
  <c r="C31" i="2"/>
  <c r="C24" i="2"/>
  <c r="H19" i="1"/>
  <c r="H25" i="1"/>
  <c r="C38" i="2"/>
  <c r="L23" i="1"/>
  <c r="D24" i="1"/>
  <c r="D17" i="1"/>
  <c r="E20" i="1"/>
  <c r="B20" i="1"/>
  <c r="E37" i="2"/>
  <c r="D22" i="2"/>
  <c r="D30" i="2"/>
  <c r="F25" i="1"/>
  <c r="F19" i="1"/>
  <c r="C24" i="1"/>
  <c r="C17" i="1"/>
  <c r="G20" i="1"/>
  <c r="E38" i="2"/>
  <c r="I25" i="1" l="1"/>
  <c r="I20" i="1"/>
  <c r="N20" i="1"/>
  <c r="L24" i="1"/>
  <c r="F37" i="2"/>
  <c r="G21" i="2"/>
  <c r="F61" i="2"/>
  <c r="K25" i="1"/>
  <c r="K19" i="1"/>
  <c r="C26" i="2"/>
  <c r="C58" i="2" s="1"/>
  <c r="C32" i="2"/>
  <c r="B31" i="2"/>
  <c r="B24" i="2"/>
  <c r="G36" i="2"/>
  <c r="E34" i="2"/>
  <c r="H20" i="1"/>
  <c r="C19" i="1"/>
  <c r="C25" i="1"/>
  <c r="D25" i="1"/>
  <c r="D19" i="1"/>
  <c r="F20" i="1"/>
  <c r="I44" i="1"/>
  <c r="D31" i="2"/>
  <c r="D24" i="2"/>
  <c r="F21" i="2"/>
  <c r="F38" i="2" s="1"/>
  <c r="K20" i="1" l="1"/>
  <c r="M44" i="1"/>
  <c r="L44" i="1"/>
  <c r="G38" i="2"/>
  <c r="G35" i="2"/>
  <c r="E30" i="2"/>
  <c r="G61" i="2"/>
  <c r="G15" i="2"/>
  <c r="G37" i="2"/>
  <c r="H36" i="2"/>
  <c r="B32" i="2"/>
  <c r="B26" i="2"/>
  <c r="F34" i="2"/>
  <c r="D32" i="2"/>
  <c r="D26" i="2"/>
  <c r="D58" i="2" s="1"/>
  <c r="I48" i="1"/>
  <c r="I47" i="1"/>
  <c r="I46" i="1"/>
  <c r="I45" i="1"/>
  <c r="D20" i="1"/>
  <c r="C20" i="1"/>
  <c r="L47" i="1" l="1"/>
  <c r="L45" i="1"/>
  <c r="L48" i="1"/>
  <c r="L46" i="1"/>
  <c r="M48" i="1"/>
  <c r="M47" i="1"/>
  <c r="M45" i="1"/>
  <c r="M46" i="1"/>
  <c r="F17" i="2"/>
  <c r="F16" i="2" s="1"/>
  <c r="H21" i="2"/>
  <c r="H38" i="2" s="1"/>
  <c r="D54" i="2"/>
  <c r="D53" i="2"/>
  <c r="D51" i="2"/>
  <c r="H35" i="2"/>
  <c r="G34" i="2"/>
  <c r="H61" i="2"/>
  <c r="H15" i="2"/>
  <c r="L25" i="1"/>
  <c r="D27" i="2"/>
  <c r="D52" i="2"/>
  <c r="I36" i="2"/>
  <c r="E31" i="2"/>
  <c r="H37" i="2"/>
  <c r="P35" i="2" l="1"/>
  <c r="F22" i="2"/>
  <c r="F31" i="2" s="1"/>
  <c r="F30" i="2"/>
  <c r="G17" i="2" s="1"/>
  <c r="G22" i="2" s="1"/>
  <c r="I21" i="2"/>
  <c r="I38" i="2" s="1"/>
  <c r="J61" i="2"/>
  <c r="I35" i="2"/>
  <c r="E32" i="2"/>
  <c r="H34" i="2"/>
  <c r="J36" i="2"/>
  <c r="I37" i="2"/>
  <c r="I15" i="2"/>
  <c r="I61" i="2"/>
  <c r="Q35" i="2" l="1"/>
  <c r="G16" i="2"/>
  <c r="G30" i="2"/>
  <c r="H17" i="2" s="1"/>
  <c r="H16" i="2" s="1"/>
  <c r="E26" i="2"/>
  <c r="E58" i="2" s="1"/>
  <c r="N44" i="1"/>
  <c r="J35" i="2"/>
  <c r="I34" i="2"/>
  <c r="J37" i="2"/>
  <c r="K20" i="2"/>
  <c r="J21" i="2"/>
  <c r="J38" i="2" s="1"/>
  <c r="K36" i="2"/>
  <c r="G31" i="2"/>
  <c r="R35" i="2" l="1"/>
  <c r="H30" i="2"/>
  <c r="I17" i="2" s="1"/>
  <c r="I16" i="2" s="1"/>
  <c r="H22" i="2"/>
  <c r="H31" i="2" s="1"/>
  <c r="N48" i="1"/>
  <c r="N47" i="1"/>
  <c r="E27" i="2"/>
  <c r="E51" i="2"/>
  <c r="E53" i="2"/>
  <c r="E52" i="2"/>
  <c r="E54" i="2"/>
  <c r="F23" i="2"/>
  <c r="F24" i="2" s="1"/>
  <c r="N46" i="1"/>
  <c r="N45" i="1"/>
  <c r="K35" i="2"/>
  <c r="L20" i="2"/>
  <c r="L21" i="2" s="1"/>
  <c r="K37" i="2"/>
  <c r="K15" i="2"/>
  <c r="J34" i="2"/>
  <c r="K21" i="2"/>
  <c r="K38" i="2" s="1"/>
  <c r="L36" i="2"/>
  <c r="S35" i="2" l="1"/>
  <c r="I30" i="2"/>
  <c r="J17" i="2" s="1"/>
  <c r="J16" i="2" s="1"/>
  <c r="I22" i="2"/>
  <c r="I31" i="2" s="1"/>
  <c r="L35" i="2"/>
  <c r="F25" i="2"/>
  <c r="F32" i="2" s="1"/>
  <c r="L15" i="2"/>
  <c r="K34" i="2"/>
  <c r="L38" i="2"/>
  <c r="M36" i="2"/>
  <c r="M20" i="2"/>
  <c r="L37" i="2"/>
  <c r="T35" i="2" l="1"/>
  <c r="J30" i="2"/>
  <c r="K17" i="2" s="1"/>
  <c r="J22" i="2"/>
  <c r="J31" i="2" s="1"/>
  <c r="F26" i="2"/>
  <c r="M35" i="2"/>
  <c r="M15" i="2"/>
  <c r="L34" i="2"/>
  <c r="N36" i="2"/>
  <c r="K22" i="2"/>
  <c r="K30" i="2"/>
  <c r="L17" i="2" s="1"/>
  <c r="K16" i="2"/>
  <c r="N20" i="2"/>
  <c r="M37" i="2"/>
  <c r="M21" i="2"/>
  <c r="M38" i="2" s="1"/>
  <c r="F58" i="2" l="1"/>
  <c r="F40" i="2"/>
  <c r="P36" i="2"/>
  <c r="F27" i="2"/>
  <c r="N35" i="2"/>
  <c r="L22" i="2"/>
  <c r="L30" i="2"/>
  <c r="M17" i="2" s="1"/>
  <c r="L16" i="2"/>
  <c r="N37" i="2"/>
  <c r="O20" i="2"/>
  <c r="K31" i="2"/>
  <c r="N21" i="2"/>
  <c r="N38" i="2" s="1"/>
  <c r="O36" i="2"/>
  <c r="N15" i="2"/>
  <c r="M34" i="2"/>
  <c r="O21" i="2" l="1"/>
  <c r="P20" i="2"/>
  <c r="Q36" i="2"/>
  <c r="O35" i="2"/>
  <c r="M30" i="2"/>
  <c r="N17" i="2" s="1"/>
  <c r="N16" i="2" s="1"/>
  <c r="M22" i="2"/>
  <c r="M16" i="2"/>
  <c r="N34" i="2"/>
  <c r="O15" i="2"/>
  <c r="P15" i="2" s="1"/>
  <c r="O38" i="2"/>
  <c r="G23" i="2"/>
  <c r="G24" i="2" s="1"/>
  <c r="O37" i="2"/>
  <c r="L31" i="2"/>
  <c r="Q15" i="2" l="1"/>
  <c r="P34" i="2"/>
  <c r="P37" i="2"/>
  <c r="Q20" i="2"/>
  <c r="P21" i="2"/>
  <c r="P38" i="2"/>
  <c r="R36" i="2"/>
  <c r="G25" i="2"/>
  <c r="G32" i="2" s="1"/>
  <c r="M31" i="2"/>
  <c r="O34" i="2"/>
  <c r="N22" i="2"/>
  <c r="N30" i="2"/>
  <c r="O17" i="2" s="1"/>
  <c r="Q34" i="2" l="1"/>
  <c r="R15" i="2"/>
  <c r="Q37" i="2"/>
  <c r="R20" i="2"/>
  <c r="Q21" i="2"/>
  <c r="S36" i="2"/>
  <c r="G26" i="2"/>
  <c r="G58" i="2" s="1"/>
  <c r="O22" i="2"/>
  <c r="O30" i="2"/>
  <c r="P17" i="2" s="1"/>
  <c r="O16" i="2"/>
  <c r="N31" i="2"/>
  <c r="P30" i="2" l="1"/>
  <c r="Q17" i="2" s="1"/>
  <c r="P16" i="2"/>
  <c r="S15" i="2"/>
  <c r="R34" i="2"/>
  <c r="P22" i="2"/>
  <c r="P31" i="2" s="1"/>
  <c r="Q38" i="2"/>
  <c r="Q22" i="2"/>
  <c r="Q31" i="2" s="1"/>
  <c r="R37" i="2"/>
  <c r="S20" i="2"/>
  <c r="R21" i="2"/>
  <c r="T36" i="2"/>
  <c r="G27" i="2"/>
  <c r="G40" i="2"/>
  <c r="H23" i="2" s="1"/>
  <c r="H24" i="2" s="1"/>
  <c r="O31" i="2"/>
  <c r="S34" i="2" l="1"/>
  <c r="T15" i="2"/>
  <c r="Q30" i="2"/>
  <c r="R17" i="2" s="1"/>
  <c r="Q16" i="2"/>
  <c r="R38" i="2"/>
  <c r="R22" i="2"/>
  <c r="R31" i="2" s="1"/>
  <c r="T20" i="2"/>
  <c r="S37" i="2"/>
  <c r="S21" i="2"/>
  <c r="H25" i="2"/>
  <c r="H32" i="2" s="1"/>
  <c r="R30" i="2" l="1"/>
  <c r="S17" i="2" s="1"/>
  <c r="R16" i="2"/>
  <c r="T34" i="2"/>
  <c r="S22" i="2"/>
  <c r="S31" i="2" s="1"/>
  <c r="S38" i="2"/>
  <c r="T37" i="2"/>
  <c r="T21" i="2"/>
  <c r="H26" i="2"/>
  <c r="H58" i="2" s="1"/>
  <c r="S30" i="2" l="1"/>
  <c r="T17" i="2" s="1"/>
  <c r="T22" i="2" s="1"/>
  <c r="T31" i="2" s="1"/>
  <c r="S16" i="2"/>
  <c r="T38" i="2"/>
  <c r="H40" i="2"/>
  <c r="I23" i="2" s="1"/>
  <c r="I24" i="2" s="1"/>
  <c r="H27" i="2"/>
  <c r="T30" i="2" l="1"/>
  <c r="T16" i="2"/>
  <c r="I25" i="2"/>
  <c r="I32" i="2" s="1"/>
  <c r="I26" i="2" l="1"/>
  <c r="I27" i="2" l="1"/>
  <c r="I58" i="2"/>
  <c r="I40" i="2"/>
  <c r="J23" i="2" s="1"/>
  <c r="J24" i="2" s="1"/>
  <c r="J25" i="2" l="1"/>
  <c r="J32" i="2" s="1"/>
  <c r="J26" i="2" l="1"/>
  <c r="J58" i="2" s="1"/>
  <c r="J40" i="2"/>
  <c r="J27" i="2" l="1"/>
  <c r="K23" i="2"/>
  <c r="K24" i="2" s="1"/>
  <c r="K25" i="2" l="1"/>
  <c r="K32" i="2" s="1"/>
  <c r="K26" i="2" l="1"/>
  <c r="K27" i="2" s="1"/>
  <c r="K40" i="2"/>
  <c r="L23" i="2" l="1"/>
  <c r="L24" i="2" s="1"/>
  <c r="L25" i="2" l="1"/>
  <c r="L32" i="2" s="1"/>
  <c r="L26" i="2" l="1"/>
  <c r="L27" i="2" l="1"/>
  <c r="L40" i="2"/>
  <c r="M23" i="2" l="1"/>
  <c r="M24" i="2" s="1"/>
  <c r="M25" i="2" l="1"/>
  <c r="M32" i="2" s="1"/>
  <c r="M26" i="2" l="1"/>
  <c r="M27" i="2"/>
  <c r="M40" i="2"/>
  <c r="N23" i="2" l="1"/>
  <c r="N24" i="2" s="1"/>
  <c r="N25" i="2" l="1"/>
  <c r="N32" i="2" s="1"/>
  <c r="N26" i="2" l="1"/>
  <c r="N27" i="2" s="1"/>
  <c r="N40" i="2"/>
  <c r="O23" i="2" l="1"/>
  <c r="O24" i="2" s="1"/>
  <c r="O25" i="2" l="1"/>
  <c r="O32" i="2" s="1"/>
  <c r="O26" i="2" l="1"/>
  <c r="O27" i="2" l="1"/>
  <c r="O40" i="2"/>
  <c r="P23" i="2" l="1"/>
  <c r="P24" i="2" s="1"/>
  <c r="P25" i="2" l="1"/>
  <c r="P32" i="2" s="1"/>
  <c r="P26" i="2" l="1"/>
  <c r="P27" i="2"/>
  <c r="P40" i="2"/>
  <c r="Q23" i="2" l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 l="1"/>
  <c r="T27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T40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<sst xmlns="http://schemas.openxmlformats.org/spreadsheetml/2006/main" count="138" uniqueCount="92">
  <si>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</si>
  <si>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</si>
  <si>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</si>
  <si>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</si>
  <si>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</si>
  <si>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</si>
  <si>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</si>
  <si>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</si>
  <si>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</si>
  <si>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</si>
  <si>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</si>
  <si>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</si>
  <si>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</si>
  <si>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</si>
  <si>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</si>
  <si>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</si>
  <si>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</si>
  <si>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</si>
  <si>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</si>
  <si>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</si>
  <si>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</si>
  <si>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</si>
  <si>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</si>
  <si>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</si>
  <si>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</si>
  <si>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</si>
  <si>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</si>
  <si>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</si>
  <si>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</si>
  <si>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</si>
  <si>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</si>
  <si>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</si>
  <si>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</si>
  <si>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</si>
  <si>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</si>
  <si>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</si>
  <si>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</si>
  <si>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</si>
  <si>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</si>
  <si>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</si>
  <si>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</si>
  <si>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</si>
  <si>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</si>
  <si>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</si>
  <si>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</si>
  <si>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</si>
  <si>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</si>
  <si>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</si>
  <si>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</si>
  <si>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</si>
  <si>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</si>
  <si>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</si>
  <si>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</si>
  <si>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</si>
  <si>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</si>
  <si>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</si>
  <si>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</si>
  <si>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</si>
  <si>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</si>
  <si>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</si>
  <si>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DAU</t>
  </si>
  <si>
    <t>ARPU</t>
  </si>
  <si>
    <t>DAU y/y</t>
  </si>
  <si>
    <t>ARPU y/y</t>
  </si>
  <si>
    <t>Subscription</t>
  </si>
  <si>
    <t>Subscription y/y</t>
  </si>
  <si>
    <t>Operating Expenses y/y</t>
  </si>
  <si>
    <t>Q120</t>
  </si>
  <si>
    <t>Q221</t>
  </si>
  <si>
    <t>Q321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</si>
  <si>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</si>
  <si>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</si>
  <si>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</si>
  <si>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</si>
  <si>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</si>
  <si>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</si>
  <si>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</si>
  <si>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</si>
  <si>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</si>
  <si>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</si>
  <si>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Products</t>
  </si>
  <si>
    <t>389-393</t>
  </si>
  <si>
    <t>94-95</t>
  </si>
  <si>
    <t>87-88</t>
  </si>
  <si>
    <t>2019-09-31</t>
  </si>
  <si>
    <t>2018-09-31</t>
  </si>
  <si>
    <t>2017-09-31</t>
  </si>
  <si>
    <t>Cloudflare Inc (NET)</t>
  </si>
  <si>
    <t>Matthew Prince</t>
  </si>
  <si>
    <t>Cloudflare.com</t>
  </si>
  <si>
    <t>Security and threat management platform</t>
  </si>
  <si>
    <t>https://www.cloudflare.com/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</si>
</sst>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152400</xdr:rowOff>
    </xdr:from>
    <xdr:to>
      <xdr:col>5</xdr:col>
      <xdr:colOff>165100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016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0</xdr:row>
      <xdr:rowOff>152400</xdr:rowOff>
    </xdr:from>
    <xdr:to>
      <xdr:col>14</xdr:col>
      <xdr:colOff>215900</xdr:colOff>
      <xdr:row>51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024600" y="152400"/>
          <a:ext cx="0" cy="9105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prince/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cloudflare.net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linkedin.com/in/mprinc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cloudflare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oudfl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64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45" sqref="J45"/>
    </sheetView>
  </sheetViews>
  <sheetFormatPr baseColWidth="10" defaultRowHeight="13" x14ac:dyDescent="0.15"/>
  <cols>
    <col min="1" max="1" width="20.33203125" style="3" customWidth="1"/>
    <col min="2" max="16384" width="10.83203125" style="3"/>
  </cols>
  <sheetData>
    <row r="1" spans="1:116" x14ac:dyDescent="0.15">
      <c r="A1" s="69" t="s">
        <v>58</v>
      </c>
      <c r="B1" s="2" t="s">
        <v>87</v>
      </c>
    </row>
    <row r="2" spans="1:116" x14ac:dyDescent="0.15">
      <c r="B2" s="3" t="s">
        <v>40</v>
      </c>
      <c r="C2" s="4">
        <v>28.04</v>
      </c>
      <c r="D2" s="74">
        <v>43970</v>
      </c>
      <c r="E2" s="6" t="s">
        <v>25</v>
      </c>
      <c r="F2" s="7">
        <v>-5.0000000000000001E-3</v>
      </c>
      <c r="I2" s="16"/>
      <c r="L2" s="2"/>
    </row>
    <row r="3" spans="1:116" x14ac:dyDescent="0.15">
      <c r="A3" s="2" t="s">
        <v>38</v>
      </c>
      <c r="B3" s="3" t="s">
        <v>17</v>
      </c>
      <c r="C3" s="8">
        <f>Reports!N21</f>
        <v>296.077</v>
      </c>
      <c r="D3" s="75" t="s">
        <v>67</v>
      </c>
      <c r="E3" s="6" t="s">
        <v>26</v>
      </c>
      <c r="F3" s="7">
        <v>0.02</v>
      </c>
      <c r="G3" s="5" t="s">
        <v>59</v>
      </c>
      <c r="I3" s="16"/>
    </row>
    <row r="4" spans="1:116" x14ac:dyDescent="0.15">
      <c r="A4" s="76" t="s">
        <v>88</v>
      </c>
      <c r="B4" s="3" t="s">
        <v>41</v>
      </c>
      <c r="C4" s="10">
        <f>C2*C3</f>
        <v>8301.9990799999996</v>
      </c>
      <c r="D4" s="75"/>
      <c r="E4" s="6" t="s">
        <v>27</v>
      </c>
      <c r="F4" s="7">
        <f>6%</f>
        <v>0.06</v>
      </c>
      <c r="G4" s="5" t="s">
        <v>73</v>
      </c>
      <c r="I4" s="20"/>
      <c r="L4" s="9" t="s">
        <v>74</v>
      </c>
    </row>
    <row r="5" spans="1:116" x14ac:dyDescent="0.15">
      <c r="B5" s="3" t="s">
        <v>22</v>
      </c>
      <c r="C5" s="8">
        <f>Reports!N33</f>
        <v>588</v>
      </c>
      <c r="D5" s="75" t="s">
        <v>67</v>
      </c>
      <c r="E5" s="6" t="s">
        <v>28</v>
      </c>
      <c r="F5" s="11">
        <f>NPV(F4,F26:GQ26)</f>
        <v>9883.1406910934184</v>
      </c>
      <c r="G5" s="5" t="s">
        <v>75</v>
      </c>
      <c r="I5" s="20"/>
    </row>
    <row r="6" spans="1:116" x14ac:dyDescent="0.15">
      <c r="A6" s="2" t="s">
        <v>39</v>
      </c>
      <c r="B6" s="3" t="s">
        <v>42</v>
      </c>
      <c r="C6" s="10">
        <f>C4-C5</f>
        <v>7713.9990799999996</v>
      </c>
      <c r="D6" s="75"/>
      <c r="E6" s="12" t="s">
        <v>29</v>
      </c>
      <c r="F6" s="13">
        <f>F5+C5</f>
        <v>10471.140691093418</v>
      </c>
      <c r="I6" s="20"/>
    </row>
    <row r="7" spans="1:116" x14ac:dyDescent="0.15">
      <c r="A7" s="76" t="s">
        <v>88</v>
      </c>
      <c r="B7" s="5" t="s">
        <v>43</v>
      </c>
      <c r="C7" s="50">
        <f>C6/C3</f>
        <v>26.054030134052965</v>
      </c>
      <c r="D7" s="75"/>
      <c r="E7" s="14" t="s">
        <v>43</v>
      </c>
      <c r="F7" s="46">
        <f>F6/C3</f>
        <v>35.366275296944437</v>
      </c>
      <c r="G7" s="20">
        <f>F7/C2-1</f>
        <v>0.26127943284395294</v>
      </c>
    </row>
    <row r="8" spans="1:116" x14ac:dyDescent="0.15">
      <c r="A8" s="9"/>
      <c r="D8" s="6"/>
      <c r="E8" s="15"/>
    </row>
    <row r="9" spans="1:116" x14ac:dyDescent="0.15">
      <c r="B9" s="42">
        <v>2016</v>
      </c>
      <c r="C9" s="42">
        <v>2017</v>
      </c>
      <c r="D9" s="42">
        <f>C9+1</f>
        <v>2018</v>
      </c>
      <c r="E9" s="42">
        <f t="shared" ref="E9:T9" si="0">D9+1</f>
        <v>2019</v>
      </c>
      <c r="F9" s="42">
        <f t="shared" si="0"/>
        <v>2020</v>
      </c>
      <c r="G9" s="42">
        <f t="shared" si="0"/>
        <v>2021</v>
      </c>
      <c r="H9" s="42">
        <f t="shared" si="0"/>
        <v>2022</v>
      </c>
      <c r="I9" s="42">
        <f t="shared" si="0"/>
        <v>2023</v>
      </c>
      <c r="J9" s="42">
        <f t="shared" si="0"/>
        <v>2024</v>
      </c>
      <c r="K9" s="42">
        <f t="shared" si="0"/>
        <v>2025</v>
      </c>
      <c r="L9" s="42">
        <f t="shared" si="0"/>
        <v>2026</v>
      </c>
      <c r="M9" s="42">
        <f t="shared" si="0"/>
        <v>2027</v>
      </c>
      <c r="N9" s="42">
        <f t="shared" si="0"/>
        <v>2028</v>
      </c>
      <c r="O9" s="42">
        <f t="shared" si="0"/>
        <v>2029</v>
      </c>
      <c r="P9" s="42">
        <f t="shared" si="0"/>
        <v>2030</v>
      </c>
      <c r="Q9" s="42">
        <f t="shared" si="0"/>
        <v>2031</v>
      </c>
      <c r="R9" s="42">
        <f t="shared" si="0"/>
        <v>2032</v>
      </c>
      <c r="S9" s="42">
        <f t="shared" si="0"/>
        <v>2033</v>
      </c>
      <c r="T9" s="42">
        <f t="shared" si="0"/>
        <v>2034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</row>
    <row r="10" spans="1:116" x14ac:dyDescent="0.15">
      <c r="A10" s="8" t="s">
        <v>64</v>
      </c>
      <c r="B10" s="24">
        <v>84.790999999999997</v>
      </c>
      <c r="C10" s="41">
        <f>SUM(Reports!B3:E3)</f>
        <v>134.51</v>
      </c>
      <c r="D10" s="41">
        <f>SUM(Reports!F3:I3)</f>
        <v>192.85</v>
      </c>
      <c r="E10" s="41">
        <f>SUM(Reports!J3:M3)</f>
        <v>287.02200000000005</v>
      </c>
      <c r="F10" s="41">
        <f>E10*1.35</f>
        <v>387.47970000000009</v>
      </c>
      <c r="G10" s="41">
        <f t="shared" ref="G10:J10" si="1">F10*1.35</f>
        <v>523.09759500000018</v>
      </c>
      <c r="H10" s="41">
        <f t="shared" si="1"/>
        <v>706.18175325000027</v>
      </c>
      <c r="I10" s="41">
        <f t="shared" si="1"/>
        <v>953.3453668875004</v>
      </c>
      <c r="J10" s="41">
        <f t="shared" si="1"/>
        <v>1287.0162452981256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</row>
    <row r="11" spans="1:116" x14ac:dyDescent="0.15">
      <c r="B11" s="24"/>
      <c r="C11" s="41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</row>
    <row r="12" spans="1:116" s="16" customFormat="1" x14ac:dyDescent="0.15">
      <c r="A12" s="16" t="s">
        <v>60</v>
      </c>
      <c r="B12" s="2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</row>
    <row r="13" spans="1:116" s="47" customFormat="1" x14ac:dyDescent="0.15">
      <c r="A13" s="47" t="s">
        <v>61</v>
      </c>
      <c r="B13" s="48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</row>
    <row r="14" spans="1:116" s="66" customFormat="1" x14ac:dyDescent="0.15">
      <c r="E14" s="55"/>
      <c r="F14" s="55" t="s">
        <v>81</v>
      </c>
      <c r="G14" s="55"/>
      <c r="H14" s="55"/>
    </row>
    <row r="15" spans="1:116" x14ac:dyDescent="0.15">
      <c r="A15" s="2" t="s">
        <v>4</v>
      </c>
      <c r="B15" s="26">
        <f>SUM(B10:B10)</f>
        <v>84.790999999999997</v>
      </c>
      <c r="C15" s="26">
        <f>SUM(C10:C10)</f>
        <v>134.51</v>
      </c>
      <c r="D15" s="26">
        <f>SUM(D10:D10)</f>
        <v>192.85</v>
      </c>
      <c r="E15" s="26">
        <f>SUM(E10:E10)</f>
        <v>287.02200000000005</v>
      </c>
      <c r="F15" s="53">
        <f>SUM(F10:F10)</f>
        <v>387.47970000000009</v>
      </c>
      <c r="G15" s="53">
        <f>SUM(G10:G10)</f>
        <v>523.09759500000018</v>
      </c>
      <c r="H15" s="53">
        <f>SUM(H10:H10)</f>
        <v>706.18175325000027</v>
      </c>
      <c r="I15" s="53">
        <f>SUM(I10:I10)</f>
        <v>953.3453668875004</v>
      </c>
      <c r="J15" s="53">
        <f>SUM(J10:J10)</f>
        <v>1287.0162452981256</v>
      </c>
      <c r="K15" s="53">
        <f t="shared" ref="K15:T15" si="2">J15*1.1</f>
        <v>1415.7178698279383</v>
      </c>
      <c r="L15" s="53">
        <f t="shared" si="2"/>
        <v>1557.2896568107324</v>
      </c>
      <c r="M15" s="53">
        <f t="shared" si="2"/>
        <v>1713.0186224918057</v>
      </c>
      <c r="N15" s="53">
        <f t="shared" si="2"/>
        <v>1884.3204847409863</v>
      </c>
      <c r="O15" s="53">
        <f t="shared" si="2"/>
        <v>2072.7525332150854</v>
      </c>
      <c r="P15" s="53">
        <f t="shared" si="2"/>
        <v>2280.0277865365942</v>
      </c>
      <c r="Q15" s="53">
        <f t="shared" si="2"/>
        <v>2508.030565190254</v>
      </c>
      <c r="R15" s="53">
        <f t="shared" si="2"/>
        <v>2758.8336217092797</v>
      </c>
      <c r="S15" s="53">
        <f t="shared" si="2"/>
        <v>3034.7169838802079</v>
      </c>
      <c r="T15" s="53">
        <f t="shared" si="2"/>
        <v>3338.1886822682291</v>
      </c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</row>
    <row r="16" spans="1:116" x14ac:dyDescent="0.15">
      <c r="A16" s="3" t="s">
        <v>5</v>
      </c>
      <c r="B16" s="24">
        <v>23.962</v>
      </c>
      <c r="C16" s="41">
        <f>SUM(Reports!B9:E9)</f>
        <v>28.788</v>
      </c>
      <c r="D16" s="41">
        <f>SUM(Reports!F9:I9)</f>
        <v>43.53</v>
      </c>
      <c r="E16" s="41">
        <f>SUM(Reports!J9:M9)</f>
        <v>63.591000000000001</v>
      </c>
      <c r="F16" s="24">
        <f>F15-F17</f>
        <v>85.847849999999994</v>
      </c>
      <c r="G16" s="24">
        <f t="shared" ref="G16" si="3">G15-G17</f>
        <v>115.89459750000003</v>
      </c>
      <c r="H16" s="24">
        <f t="shared" ref="H16:O16" si="4">H15-H17</f>
        <v>156.45770662500001</v>
      </c>
      <c r="I16" s="24">
        <f t="shared" si="4"/>
        <v>211.21790394375</v>
      </c>
      <c r="J16" s="24">
        <f>J15-J17</f>
        <v>285.14417032406243</v>
      </c>
      <c r="K16" s="24">
        <f t="shared" si="4"/>
        <v>313.65858735646884</v>
      </c>
      <c r="L16" s="24">
        <f t="shared" si="4"/>
        <v>345.0244460921158</v>
      </c>
      <c r="M16" s="24">
        <f t="shared" si="4"/>
        <v>379.52689070132737</v>
      </c>
      <c r="N16" s="24">
        <f t="shared" si="4"/>
        <v>417.47957977146029</v>
      </c>
      <c r="O16" s="24">
        <f t="shared" si="4"/>
        <v>459.22753774860644</v>
      </c>
      <c r="P16" s="24">
        <f t="shared" ref="P16:T16" si="5">P15-P17</f>
        <v>505.15029152346733</v>
      </c>
      <c r="Q16" s="24">
        <f t="shared" si="5"/>
        <v>555.66532067581397</v>
      </c>
      <c r="R16" s="24">
        <f t="shared" si="5"/>
        <v>611.23185274339539</v>
      </c>
      <c r="S16" s="24">
        <f t="shared" si="5"/>
        <v>672.3550380177353</v>
      </c>
      <c r="T16" s="24">
        <f t="shared" si="5"/>
        <v>739.59054181950887</v>
      </c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</row>
    <row r="17" spans="1:199" x14ac:dyDescent="0.15">
      <c r="A17" s="3" t="s">
        <v>6</v>
      </c>
      <c r="B17" s="29">
        <f>B15-B16</f>
        <v>60.828999999999994</v>
      </c>
      <c r="C17" s="29">
        <f>C15-C16</f>
        <v>105.72199999999999</v>
      </c>
      <c r="D17" s="29">
        <f>D15-D16</f>
        <v>149.32</v>
      </c>
      <c r="E17" s="29">
        <f>E15-E16</f>
        <v>223.43100000000004</v>
      </c>
      <c r="F17" s="24">
        <f>F15*E30</f>
        <v>301.6318500000001</v>
      </c>
      <c r="G17" s="24">
        <f t="shared" ref="G17:T17" si="6">G15*F30</f>
        <v>407.20299750000015</v>
      </c>
      <c r="H17" s="24">
        <f t="shared" si="6"/>
        <v>549.72404662500026</v>
      </c>
      <c r="I17" s="24">
        <f t="shared" si="6"/>
        <v>742.1274629437504</v>
      </c>
      <c r="J17" s="24">
        <f>J15*I30</f>
        <v>1001.8720749740631</v>
      </c>
      <c r="K17" s="24">
        <f t="shared" si="6"/>
        <v>1102.0592824714695</v>
      </c>
      <c r="L17" s="24">
        <f t="shared" si="6"/>
        <v>1212.2652107186166</v>
      </c>
      <c r="M17" s="24">
        <f t="shared" si="6"/>
        <v>1333.4917317904783</v>
      </c>
      <c r="N17" s="24">
        <f t="shared" si="6"/>
        <v>1466.840904969526</v>
      </c>
      <c r="O17" s="24">
        <f t="shared" si="6"/>
        <v>1613.5249954664789</v>
      </c>
      <c r="P17" s="24">
        <f t="shared" si="6"/>
        <v>1774.8774950131269</v>
      </c>
      <c r="Q17" s="24">
        <f t="shared" si="6"/>
        <v>1952.3652445144401</v>
      </c>
      <c r="R17" s="24">
        <f t="shared" si="6"/>
        <v>2147.6017689658843</v>
      </c>
      <c r="S17" s="24">
        <f t="shared" si="6"/>
        <v>2362.3619458624726</v>
      </c>
      <c r="T17" s="24">
        <f t="shared" si="6"/>
        <v>2598.5981404487202</v>
      </c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</row>
    <row r="18" spans="1:199" x14ac:dyDescent="0.15">
      <c r="A18" s="3" t="s">
        <v>7</v>
      </c>
      <c r="B18" s="24">
        <v>24</v>
      </c>
      <c r="C18" s="41">
        <f>SUM(Reports!B11:E11)</f>
        <v>32</v>
      </c>
      <c r="D18" s="41">
        <f>SUM(Reports!F11:I11)</f>
        <v>54</v>
      </c>
      <c r="E18" s="41">
        <f>SUM(Reports!J11:M11)</f>
        <v>91</v>
      </c>
      <c r="F18" s="24">
        <f>E18*1.25</f>
        <v>113.75</v>
      </c>
      <c r="G18" s="24">
        <f t="shared" ref="G18:J18" si="7">F18*1.25</f>
        <v>142.1875</v>
      </c>
      <c r="H18" s="24">
        <f t="shared" si="7"/>
        <v>177.734375</v>
      </c>
      <c r="I18" s="24">
        <f t="shared" si="7"/>
        <v>222.16796875</v>
      </c>
      <c r="J18" s="24">
        <f t="shared" si="7"/>
        <v>277.7099609375</v>
      </c>
      <c r="K18" s="24">
        <f>J18*1.1</f>
        <v>305.48095703125</v>
      </c>
      <c r="L18" s="24">
        <f t="shared" ref="L18:T18" si="8">K18*1.1</f>
        <v>336.029052734375</v>
      </c>
      <c r="M18" s="24">
        <f t="shared" si="8"/>
        <v>369.63195800781256</v>
      </c>
      <c r="N18" s="24">
        <f t="shared" si="8"/>
        <v>406.59515380859386</v>
      </c>
      <c r="O18" s="24">
        <f t="shared" si="8"/>
        <v>447.2546691894533</v>
      </c>
      <c r="P18" s="24">
        <f t="shared" si="8"/>
        <v>491.98013610839865</v>
      </c>
      <c r="Q18" s="24">
        <f t="shared" si="8"/>
        <v>541.1781497192386</v>
      </c>
      <c r="R18" s="24">
        <f t="shared" si="8"/>
        <v>595.29596469116257</v>
      </c>
      <c r="S18" s="24">
        <f t="shared" si="8"/>
        <v>654.82556116027888</v>
      </c>
      <c r="T18" s="24">
        <f t="shared" si="8"/>
        <v>720.3081172763068</v>
      </c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</row>
    <row r="19" spans="1:199" x14ac:dyDescent="0.15">
      <c r="A19" s="3" t="s">
        <v>8</v>
      </c>
      <c r="B19" s="24">
        <v>40</v>
      </c>
      <c r="C19" s="41">
        <f>SUM(Reports!B12:E12)</f>
        <v>62</v>
      </c>
      <c r="D19" s="41">
        <f>SUM(Reports!F12:I12)</f>
        <v>94</v>
      </c>
      <c r="E19" s="41">
        <f>SUM(Reports!J12:M12)</f>
        <v>160</v>
      </c>
      <c r="F19" s="24">
        <f>E19*1.2</f>
        <v>192</v>
      </c>
      <c r="G19" s="24">
        <f t="shared" ref="G19:J19" si="9">F19*1.2</f>
        <v>230.39999999999998</v>
      </c>
      <c r="H19" s="24">
        <f t="shared" si="9"/>
        <v>276.47999999999996</v>
      </c>
      <c r="I19" s="24">
        <f t="shared" si="9"/>
        <v>331.77599999999995</v>
      </c>
      <c r="J19" s="24">
        <f t="shared" si="9"/>
        <v>398.13119999999992</v>
      </c>
      <c r="K19" s="24">
        <f>J19*1.05</f>
        <v>418.03775999999993</v>
      </c>
      <c r="L19" s="24">
        <f t="shared" ref="L19:T19" si="10">K19*1.05</f>
        <v>438.93964799999998</v>
      </c>
      <c r="M19" s="24">
        <f t="shared" si="10"/>
        <v>460.8866304</v>
      </c>
      <c r="N19" s="24">
        <f t="shared" si="10"/>
        <v>483.93096192000002</v>
      </c>
      <c r="O19" s="24">
        <f t="shared" si="10"/>
        <v>508.12751001600003</v>
      </c>
      <c r="P19" s="24">
        <f t="shared" si="10"/>
        <v>533.53388551680007</v>
      </c>
      <c r="Q19" s="24">
        <f t="shared" si="10"/>
        <v>560.21057979264015</v>
      </c>
      <c r="R19" s="24">
        <f t="shared" si="10"/>
        <v>588.22110878227215</v>
      </c>
      <c r="S19" s="24">
        <f t="shared" si="10"/>
        <v>617.63216422138578</v>
      </c>
      <c r="T19" s="24">
        <f t="shared" si="10"/>
        <v>648.51377243245508</v>
      </c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</row>
    <row r="20" spans="1:199" x14ac:dyDescent="0.15">
      <c r="A20" s="3" t="s">
        <v>9</v>
      </c>
      <c r="B20" s="24">
        <v>14</v>
      </c>
      <c r="C20" s="41">
        <f>SUM(Reports!B13:E13)</f>
        <v>20</v>
      </c>
      <c r="D20" s="41">
        <f>SUM(Reports!F13:I13)</f>
        <v>86</v>
      </c>
      <c r="E20" s="41">
        <f>SUM(Reports!J13:M13)</f>
        <v>82</v>
      </c>
      <c r="F20" s="24">
        <f>E20*1.15</f>
        <v>94.3</v>
      </c>
      <c r="G20" s="24">
        <f t="shared" ref="G20:J20" si="11">F20*1.15</f>
        <v>108.44499999999999</v>
      </c>
      <c r="H20" s="24">
        <f t="shared" si="11"/>
        <v>124.71174999999998</v>
      </c>
      <c r="I20" s="24">
        <f t="shared" si="11"/>
        <v>143.41851249999996</v>
      </c>
      <c r="J20" s="24">
        <f t="shared" si="11"/>
        <v>164.93128937499995</v>
      </c>
      <c r="K20" s="24">
        <f t="shared" ref="K20:T20" si="12">J20*0.98</f>
        <v>161.63266358749993</v>
      </c>
      <c r="L20" s="24">
        <f t="shared" si="12"/>
        <v>158.40001031574994</v>
      </c>
      <c r="M20" s="24">
        <f t="shared" si="12"/>
        <v>155.23201010943492</v>
      </c>
      <c r="N20" s="24">
        <f t="shared" si="12"/>
        <v>152.12736990724622</v>
      </c>
      <c r="O20" s="24">
        <f t="shared" si="12"/>
        <v>149.08482250910129</v>
      </c>
      <c r="P20" s="24">
        <f t="shared" si="12"/>
        <v>146.10312605891926</v>
      </c>
      <c r="Q20" s="24">
        <f t="shared" si="12"/>
        <v>143.18106353774087</v>
      </c>
      <c r="R20" s="24">
        <f t="shared" si="12"/>
        <v>140.31744226698603</v>
      </c>
      <c r="S20" s="24">
        <f t="shared" si="12"/>
        <v>137.51109342164631</v>
      </c>
      <c r="T20" s="24">
        <f t="shared" si="12"/>
        <v>134.76087155321338</v>
      </c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</row>
    <row r="21" spans="1:199" x14ac:dyDescent="0.15">
      <c r="A21" s="3" t="s">
        <v>10</v>
      </c>
      <c r="B21" s="29">
        <f>SUM(B18:B20)</f>
        <v>78</v>
      </c>
      <c r="C21" s="29">
        <f>SUM(C18:C20)</f>
        <v>114</v>
      </c>
      <c r="D21" s="29">
        <f>SUM(D18:D20)</f>
        <v>234</v>
      </c>
      <c r="E21" s="29">
        <f>SUM(E18:E20)</f>
        <v>333</v>
      </c>
      <c r="F21" s="24">
        <f t="shared" ref="F21:G21" si="13">SUM(F18:F20)</f>
        <v>400.05</v>
      </c>
      <c r="G21" s="24">
        <f t="shared" si="13"/>
        <v>481.03249999999997</v>
      </c>
      <c r="H21" s="24">
        <f t="shared" ref="H21:O21" si="14">SUM(H18:H20)</f>
        <v>578.92612499999996</v>
      </c>
      <c r="I21" s="24">
        <f t="shared" si="14"/>
        <v>697.36248124999997</v>
      </c>
      <c r="J21" s="24">
        <f t="shared" si="14"/>
        <v>840.77245031249981</v>
      </c>
      <c r="K21" s="24">
        <f t="shared" si="14"/>
        <v>885.15138061874984</v>
      </c>
      <c r="L21" s="24">
        <f t="shared" si="14"/>
        <v>933.36871105012494</v>
      </c>
      <c r="M21" s="24">
        <f t="shared" si="14"/>
        <v>985.75059851724745</v>
      </c>
      <c r="N21" s="24">
        <f t="shared" si="14"/>
        <v>1042.6534856358401</v>
      </c>
      <c r="O21" s="24">
        <f t="shared" si="14"/>
        <v>1104.4670017145545</v>
      </c>
      <c r="P21" s="24">
        <f t="shared" ref="P21:T21" si="15">SUM(P18:P20)</f>
        <v>1171.617147684118</v>
      </c>
      <c r="Q21" s="24">
        <f t="shared" si="15"/>
        <v>1244.5697930496196</v>
      </c>
      <c r="R21" s="24">
        <f t="shared" si="15"/>
        <v>1323.8345157404208</v>
      </c>
      <c r="S21" s="24">
        <f t="shared" si="15"/>
        <v>1409.968818803311</v>
      </c>
      <c r="T21" s="24">
        <f t="shared" si="15"/>
        <v>1503.5827612619751</v>
      </c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</row>
    <row r="22" spans="1:199" x14ac:dyDescent="0.15">
      <c r="A22" s="3" t="s">
        <v>11</v>
      </c>
      <c r="B22" s="29">
        <f>B17-B21</f>
        <v>-17.171000000000006</v>
      </c>
      <c r="C22" s="29">
        <f>C17-C21</f>
        <v>-8.2780000000000058</v>
      </c>
      <c r="D22" s="29">
        <f>D17-D21</f>
        <v>-84.68</v>
      </c>
      <c r="E22" s="29">
        <f>E17-E21</f>
        <v>-109.56899999999996</v>
      </c>
      <c r="F22" s="24">
        <f t="shared" ref="F22:G22" si="16">F17-F21</f>
        <v>-98.418149999999912</v>
      </c>
      <c r="G22" s="24">
        <f t="shared" si="16"/>
        <v>-73.829502499999819</v>
      </c>
      <c r="H22" s="24">
        <f t="shared" ref="H22:O22" si="17">H17-H21</f>
        <v>-29.202078374999701</v>
      </c>
      <c r="I22" s="24">
        <f t="shared" si="17"/>
        <v>44.764981693750428</v>
      </c>
      <c r="J22" s="24">
        <f t="shared" si="17"/>
        <v>161.09962466156333</v>
      </c>
      <c r="K22" s="24">
        <f t="shared" si="17"/>
        <v>216.90790185271965</v>
      </c>
      <c r="L22" s="24">
        <f t="shared" si="17"/>
        <v>278.89649966849163</v>
      </c>
      <c r="M22" s="24">
        <f t="shared" si="17"/>
        <v>347.74113327323084</v>
      </c>
      <c r="N22" s="24">
        <f t="shared" si="17"/>
        <v>424.18741933368597</v>
      </c>
      <c r="O22" s="24">
        <f t="shared" si="17"/>
        <v>509.05799375192441</v>
      </c>
      <c r="P22" s="24">
        <f t="shared" ref="P22:T22" si="18">P17-P21</f>
        <v>603.26034732900894</v>
      </c>
      <c r="Q22" s="24">
        <f t="shared" si="18"/>
        <v>707.79545146482042</v>
      </c>
      <c r="R22" s="24">
        <f t="shared" si="18"/>
        <v>823.76725322546349</v>
      </c>
      <c r="S22" s="24">
        <f t="shared" si="18"/>
        <v>952.39312705916154</v>
      </c>
      <c r="T22" s="24">
        <f t="shared" si="18"/>
        <v>1095.0153791867451</v>
      </c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</row>
    <row r="23" spans="1:199" x14ac:dyDescent="0.15">
      <c r="A23" s="3" t="s">
        <v>12</v>
      </c>
      <c r="B23" s="24">
        <v>0</v>
      </c>
      <c r="C23" s="41">
        <f>SUM(Reports!B16:E16)</f>
        <v>0</v>
      </c>
      <c r="D23" s="41">
        <f>SUM(Reports!F16:I16)</f>
        <v>1.7690000000000001</v>
      </c>
      <c r="E23" s="41">
        <f>SUM(Reports!J16:M16)</f>
        <v>2</v>
      </c>
      <c r="F23" s="24">
        <f>E40*$F$3</f>
        <v>12.74</v>
      </c>
      <c r="G23" s="24">
        <f>F40*$F$3</f>
        <v>11.197793300000001</v>
      </c>
      <c r="H23" s="24">
        <f>G40*$F$3</f>
        <v>10.070422534400004</v>
      </c>
      <c r="I23" s="24">
        <f>H40*$F$3</f>
        <v>9.7260527292692096</v>
      </c>
      <c r="J23" s="24">
        <f>I40*$F$3</f>
        <v>10.706891348883564</v>
      </c>
      <c r="K23" s="24">
        <f>J40*$F$3</f>
        <v>13.799408637071608</v>
      </c>
      <c r="L23" s="24">
        <f>K40*$F$3</f>
        <v>17.952140225887852</v>
      </c>
      <c r="M23" s="24">
        <f>L40*$F$3</f>
        <v>23.295415743986684</v>
      </c>
      <c r="N23" s="24">
        <f>M40*$F$3</f>
        <v>29.974073626296594</v>
      </c>
      <c r="O23" s="24">
        <f>N40*$F$3</f>
        <v>38.148980499576282</v>
      </c>
      <c r="P23" s="24">
        <f>O40*$F$3</f>
        <v>47.998706036103293</v>
      </c>
      <c r="Q23" s="24">
        <f>P40*$F$3</f>
        <v>59.721368996675324</v>
      </c>
      <c r="R23" s="24">
        <f>Q40*$F$3</f>
        <v>73.536671764982245</v>
      </c>
      <c r="S23" s="24">
        <f>R40*$F$3</f>
        <v>89.688142414810258</v>
      </c>
      <c r="T23" s="24">
        <f>S40*$F$3</f>
        <v>108.44560526534177</v>
      </c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</row>
    <row r="24" spans="1:199" x14ac:dyDescent="0.15">
      <c r="A24" s="3" t="s">
        <v>13</v>
      </c>
      <c r="B24" s="29">
        <f>B22+B23</f>
        <v>-17.171000000000006</v>
      </c>
      <c r="C24" s="29">
        <f>C22+C23</f>
        <v>-8.2780000000000058</v>
      </c>
      <c r="D24" s="29">
        <f>D22+D23</f>
        <v>-82.911000000000001</v>
      </c>
      <c r="E24" s="29">
        <f>E22+E23</f>
        <v>-107.56899999999996</v>
      </c>
      <c r="F24" s="24">
        <f t="shared" ref="F24:G24" si="19">F22+F23</f>
        <v>-85.678149999999917</v>
      </c>
      <c r="G24" s="24">
        <f t="shared" si="19"/>
        <v>-62.631709199999818</v>
      </c>
      <c r="H24" s="24">
        <f t="shared" ref="H24" si="20">H22+H23</f>
        <v>-19.131655840599699</v>
      </c>
      <c r="I24" s="24">
        <f t="shared" ref="I24" si="21">I22+I23</f>
        <v>54.491034423019642</v>
      </c>
      <c r="J24" s="24">
        <f t="shared" ref="J24" si="22">J22+J23</f>
        <v>171.8065160104469</v>
      </c>
      <c r="K24" s="24">
        <f t="shared" ref="K24" si="23">K22+K23</f>
        <v>230.70731048979127</v>
      </c>
      <c r="L24" s="24">
        <f t="shared" ref="L24" si="24">L22+L23</f>
        <v>296.84863989437946</v>
      </c>
      <c r="M24" s="24">
        <f t="shared" ref="M24" si="25">M22+M23</f>
        <v>371.03654901721751</v>
      </c>
      <c r="N24" s="24">
        <f t="shared" ref="N24" si="26">N22+N23</f>
        <v>454.16149295998258</v>
      </c>
      <c r="O24" s="24">
        <f t="shared" ref="O24:P24" si="27">O22+O23</f>
        <v>547.2069742515007</v>
      </c>
      <c r="P24" s="24">
        <f t="shared" si="27"/>
        <v>651.25905336511221</v>
      </c>
      <c r="Q24" s="24">
        <f t="shared" ref="Q24:T24" si="28">Q22+Q23</f>
        <v>767.51682046149574</v>
      </c>
      <c r="R24" s="24">
        <f t="shared" si="28"/>
        <v>897.30392499044569</v>
      </c>
      <c r="S24" s="24">
        <f t="shared" si="28"/>
        <v>1042.0812694739718</v>
      </c>
      <c r="T24" s="24">
        <f t="shared" si="28"/>
        <v>1203.4609844520869</v>
      </c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</row>
    <row r="25" spans="1:199" x14ac:dyDescent="0.15">
      <c r="A25" s="3" t="s">
        <v>14</v>
      </c>
      <c r="B25" s="24">
        <v>0</v>
      </c>
      <c r="C25" s="41">
        <f>SUM(Reports!B18:E18)</f>
        <v>1</v>
      </c>
      <c r="D25" s="41">
        <f>SUM(Reports!F18:I18)</f>
        <v>0</v>
      </c>
      <c r="E25" s="41">
        <f>SUM(Reports!J18:M18)</f>
        <v>1</v>
      </c>
      <c r="F25" s="24">
        <f>F24*0.1</f>
        <v>-8.5678149999999924</v>
      </c>
      <c r="G25" s="24">
        <f t="shared" ref="G25:O25" si="29">G24*0.1</f>
        <v>-6.2631709199999825</v>
      </c>
      <c r="H25" s="24">
        <f t="shared" si="29"/>
        <v>-1.9131655840599699</v>
      </c>
      <c r="I25" s="24">
        <f t="shared" si="29"/>
        <v>5.4491034423019649</v>
      </c>
      <c r="J25" s="24">
        <f t="shared" si="29"/>
        <v>17.180651601044691</v>
      </c>
      <c r="K25" s="24">
        <f t="shared" si="29"/>
        <v>23.070731048979127</v>
      </c>
      <c r="L25" s="24">
        <f t="shared" si="29"/>
        <v>29.684863989437947</v>
      </c>
      <c r="M25" s="24">
        <f t="shared" si="29"/>
        <v>37.103654901721754</v>
      </c>
      <c r="N25" s="24">
        <f t="shared" si="29"/>
        <v>45.41614929599826</v>
      </c>
      <c r="O25" s="24">
        <f t="shared" si="29"/>
        <v>54.720697425150071</v>
      </c>
      <c r="P25" s="24">
        <f t="shared" ref="P25:T25" si="30">P24*0.1</f>
        <v>65.125905336511224</v>
      </c>
      <c r="Q25" s="24">
        <f t="shared" si="30"/>
        <v>76.751682046149583</v>
      </c>
      <c r="R25" s="24">
        <f t="shared" si="30"/>
        <v>89.730392499044569</v>
      </c>
      <c r="S25" s="24">
        <f t="shared" si="30"/>
        <v>104.20812694739719</v>
      </c>
      <c r="T25" s="24">
        <f t="shared" si="30"/>
        <v>120.3460984452087</v>
      </c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</row>
    <row r="26" spans="1:199" s="2" customFormat="1" x14ac:dyDescent="0.15">
      <c r="A26" s="2" t="s">
        <v>15</v>
      </c>
      <c r="B26" s="26">
        <f>B24-B25</f>
        <v>-17.171000000000006</v>
      </c>
      <c r="C26" s="26">
        <f>C24-C25</f>
        <v>-9.2780000000000058</v>
      </c>
      <c r="D26" s="26">
        <f>D24-D25</f>
        <v>-82.911000000000001</v>
      </c>
      <c r="E26" s="26">
        <f t="shared" ref="E26:G26" si="31">E24-E25</f>
        <v>-108.56899999999996</v>
      </c>
      <c r="F26" s="26">
        <f>F24-F25</f>
        <v>-77.110334999999921</v>
      </c>
      <c r="G26" s="26">
        <f t="shared" si="31"/>
        <v>-56.368538279999839</v>
      </c>
      <c r="H26" s="26">
        <f t="shared" ref="H26:O26" si="32">H24-H25</f>
        <v>-17.218490256539727</v>
      </c>
      <c r="I26" s="26">
        <f t="shared" si="32"/>
        <v>49.04193098071768</v>
      </c>
      <c r="J26" s="26">
        <f t="shared" si="32"/>
        <v>154.6258644094022</v>
      </c>
      <c r="K26" s="26">
        <f t="shared" si="32"/>
        <v>207.63657944081214</v>
      </c>
      <c r="L26" s="26">
        <f t="shared" si="32"/>
        <v>267.16377590494153</v>
      </c>
      <c r="M26" s="26">
        <f t="shared" si="32"/>
        <v>333.93289411549574</v>
      </c>
      <c r="N26" s="26">
        <f t="shared" si="32"/>
        <v>408.74534366398433</v>
      </c>
      <c r="O26" s="26">
        <f t="shared" si="32"/>
        <v>492.4862768263506</v>
      </c>
      <c r="P26" s="26">
        <f t="shared" ref="P26:T26" si="33">P24-P25</f>
        <v>586.133148028601</v>
      </c>
      <c r="Q26" s="26">
        <f t="shared" si="33"/>
        <v>690.7651384153462</v>
      </c>
      <c r="R26" s="26">
        <f t="shared" si="33"/>
        <v>807.57353249140112</v>
      </c>
      <c r="S26" s="26">
        <f t="shared" si="33"/>
        <v>937.87314252657461</v>
      </c>
      <c r="T26" s="26">
        <f t="shared" si="33"/>
        <v>1083.1148860068781</v>
      </c>
      <c r="U26" s="26">
        <f>T26*($F$2+1)</f>
        <v>1077.6993115768437</v>
      </c>
      <c r="V26" s="26">
        <f>U26*($F$2+1)</f>
        <v>1072.3108150189594</v>
      </c>
      <c r="W26" s="26">
        <f>V26*($F$2+1)</f>
        <v>1066.9492609438646</v>
      </c>
      <c r="X26" s="26">
        <f>W26*($F$2+1)</f>
        <v>1061.6145146391452</v>
      </c>
      <c r="Y26" s="26">
        <f>X26*($F$2+1)</f>
        <v>1056.3064420659496</v>
      </c>
      <c r="Z26" s="26">
        <f>Y26*($F$2+1)</f>
        <v>1051.0249098556199</v>
      </c>
      <c r="AA26" s="26">
        <f>Z26*($F$2+1)</f>
        <v>1045.7697853063416</v>
      </c>
      <c r="AB26" s="26">
        <f>AA26*($F$2+1)</f>
        <v>1040.5409363798099</v>
      </c>
      <c r="AC26" s="26">
        <f>AB26*($F$2+1)</f>
        <v>1035.3382316979107</v>
      </c>
      <c r="AD26" s="26">
        <f>AC26*($F$2+1)</f>
        <v>1030.1615405394211</v>
      </c>
      <c r="AE26" s="26">
        <f>AD26*($F$2+1)</f>
        <v>1025.0107328367239</v>
      </c>
      <c r="AF26" s="26">
        <f>AE26*($F$2+1)</f>
        <v>1019.8856791725403</v>
      </c>
      <c r="AG26" s="26">
        <f>AF26*($F$2+1)</f>
        <v>1014.7862507766777</v>
      </c>
      <c r="AH26" s="26">
        <f>AG26*($F$2+1)</f>
        <v>1009.7123195227942</v>
      </c>
      <c r="AI26" s="26">
        <f>AH26*($F$2+1)</f>
        <v>1004.6637579251802</v>
      </c>
      <c r="AJ26" s="26">
        <f>AI26*($F$2+1)</f>
        <v>999.64043913555429</v>
      </c>
      <c r="AK26" s="26">
        <f>AJ26*($F$2+1)</f>
        <v>994.64223693987651</v>
      </c>
      <c r="AL26" s="26">
        <f>AK26*($F$2+1)</f>
        <v>989.66902575517713</v>
      </c>
      <c r="AM26" s="26">
        <f>AL26*($F$2+1)</f>
        <v>984.72068062640119</v>
      </c>
      <c r="AN26" s="26">
        <f>AM26*($F$2+1)</f>
        <v>979.79707722326918</v>
      </c>
      <c r="AO26" s="26">
        <f>AN26*($F$2+1)</f>
        <v>974.89809183715283</v>
      </c>
      <c r="AP26" s="26">
        <f>AO26*($F$2+1)</f>
        <v>970.02360137796711</v>
      </c>
      <c r="AQ26" s="26">
        <f>AP26*($F$2+1)</f>
        <v>965.17348337107728</v>
      </c>
      <c r="AR26" s="26">
        <f>AQ26*($F$2+1)</f>
        <v>960.34761595422185</v>
      </c>
      <c r="AS26" s="26">
        <f>AR26*($F$2+1)</f>
        <v>955.54587787445075</v>
      </c>
      <c r="AT26" s="26">
        <f>AS26*($F$2+1)</f>
        <v>950.76814848507854</v>
      </c>
      <c r="AU26" s="26">
        <f>AT26*($F$2+1)</f>
        <v>946.01430774265316</v>
      </c>
      <c r="AV26" s="26">
        <f>AU26*($F$2+1)</f>
        <v>941.28423620393994</v>
      </c>
      <c r="AW26" s="26">
        <f>AV26*($F$2+1)</f>
        <v>936.57781502292028</v>
      </c>
      <c r="AX26" s="26">
        <f>AW26*($F$2+1)</f>
        <v>931.89492594780563</v>
      </c>
      <c r="AY26" s="26">
        <f>AX26*($F$2+1)</f>
        <v>927.23545131806657</v>
      </c>
      <c r="AZ26" s="26">
        <f>AY26*($F$2+1)</f>
        <v>922.59927406147619</v>
      </c>
      <c r="BA26" s="26">
        <f>AZ26*($F$2+1)</f>
        <v>917.98627769116877</v>
      </c>
      <c r="BB26" s="26">
        <f>BA26*($F$2+1)</f>
        <v>913.39634630271291</v>
      </c>
      <c r="BC26" s="26">
        <f>BB26*($F$2+1)</f>
        <v>908.82936457119933</v>
      </c>
      <c r="BD26" s="26">
        <f>BC26*($F$2+1)</f>
        <v>904.28521774834337</v>
      </c>
      <c r="BE26" s="26">
        <f>BD26*($F$2+1)</f>
        <v>899.76379165960168</v>
      </c>
      <c r="BF26" s="26">
        <f>BE26*($F$2+1)</f>
        <v>895.26497270130369</v>
      </c>
      <c r="BG26" s="26">
        <f>BF26*($F$2+1)</f>
        <v>890.78864783779716</v>
      </c>
      <c r="BH26" s="26">
        <f>BG26*($F$2+1)</f>
        <v>886.33470459860814</v>
      </c>
      <c r="BI26" s="26">
        <f>BH26*($F$2+1)</f>
        <v>881.9030310756151</v>
      </c>
      <c r="BJ26" s="26">
        <f>BI26*($F$2+1)</f>
        <v>877.49351592023697</v>
      </c>
      <c r="BK26" s="26">
        <f>BJ26*($F$2+1)</f>
        <v>873.10604834063577</v>
      </c>
      <c r="BL26" s="26">
        <f>BK26*($F$2+1)</f>
        <v>868.74051809893263</v>
      </c>
      <c r="BM26" s="26">
        <f>BL26*($F$2+1)</f>
        <v>864.39681550843795</v>
      </c>
      <c r="BN26" s="26">
        <f>BM26*($F$2+1)</f>
        <v>860.07483143089576</v>
      </c>
      <c r="BO26" s="26">
        <f>BN26*($F$2+1)</f>
        <v>855.77445727374129</v>
      </c>
      <c r="BP26" s="26">
        <f>BO26*($F$2+1)</f>
        <v>851.49558498737258</v>
      </c>
      <c r="BQ26" s="26">
        <f>BP26*($F$2+1)</f>
        <v>847.23810706243569</v>
      </c>
      <c r="BR26" s="26">
        <f>BQ26*($F$2+1)</f>
        <v>843.00191652712351</v>
      </c>
      <c r="BS26" s="26">
        <f>BR26*($F$2+1)</f>
        <v>838.7869069444879</v>
      </c>
      <c r="BT26" s="26">
        <f>BS26*($F$2+1)</f>
        <v>834.59297240976548</v>
      </c>
      <c r="BU26" s="26">
        <f>BT26*($F$2+1)</f>
        <v>830.42000754771664</v>
      </c>
      <c r="BV26" s="26">
        <f>BU26*($F$2+1)</f>
        <v>826.26790750997804</v>
      </c>
      <c r="BW26" s="26">
        <f>BV26*($F$2+1)</f>
        <v>822.13656797242811</v>
      </c>
      <c r="BX26" s="26">
        <f>BW26*($F$2+1)</f>
        <v>818.02588513256592</v>
      </c>
      <c r="BY26" s="26">
        <f>BX26*($F$2+1)</f>
        <v>813.93575570690314</v>
      </c>
      <c r="BZ26" s="26">
        <f>BY26*($F$2+1)</f>
        <v>809.86607692836867</v>
      </c>
      <c r="CA26" s="26">
        <f>BZ26*($F$2+1)</f>
        <v>805.81674654372682</v>
      </c>
      <c r="CB26" s="26">
        <f>CA26*($F$2+1)</f>
        <v>801.7876628110082</v>
      </c>
      <c r="CC26" s="26">
        <f>CB26*($F$2+1)</f>
        <v>797.77872449695315</v>
      </c>
      <c r="CD26" s="26">
        <f>CC26*($F$2+1)</f>
        <v>793.78983087446841</v>
      </c>
      <c r="CE26" s="26">
        <f>CD26*($F$2+1)</f>
        <v>789.82088172009605</v>
      </c>
      <c r="CF26" s="26">
        <f>CE26*($F$2+1)</f>
        <v>785.87177731149552</v>
      </c>
      <c r="CG26" s="26">
        <f>CF26*($F$2+1)</f>
        <v>781.94241842493807</v>
      </c>
      <c r="CH26" s="26">
        <f>CG26*($F$2+1)</f>
        <v>778.0327063328134</v>
      </c>
      <c r="CI26" s="26">
        <f>CH26*($F$2+1)</f>
        <v>774.14254280114938</v>
      </c>
      <c r="CJ26" s="26">
        <f>CI26*($F$2+1)</f>
        <v>770.2718300871436</v>
      </c>
      <c r="CK26" s="26">
        <f>CJ26*($F$2+1)</f>
        <v>766.42047093670783</v>
      </c>
      <c r="CL26" s="26">
        <f>CK26*($F$2+1)</f>
        <v>762.58836858202426</v>
      </c>
      <c r="CM26" s="26">
        <f>CL26*($F$2+1)</f>
        <v>758.7754267391141</v>
      </c>
      <c r="CN26" s="26">
        <f>CM26*($F$2+1)</f>
        <v>754.98154960541854</v>
      </c>
      <c r="CO26" s="26">
        <f>CN26*($F$2+1)</f>
        <v>751.20664185739145</v>
      </c>
      <c r="CP26" s="26">
        <f>CO26*($F$2+1)</f>
        <v>747.45060864810443</v>
      </c>
      <c r="CQ26" s="26">
        <f>CP26*($F$2+1)</f>
        <v>743.71335560486386</v>
      </c>
      <c r="CR26" s="26">
        <f>CQ26*($F$2+1)</f>
        <v>739.99478882683957</v>
      </c>
      <c r="CS26" s="26">
        <f>CR26*($F$2+1)</f>
        <v>736.2948148827054</v>
      </c>
      <c r="CT26" s="26">
        <f>CS26*($F$2+1)</f>
        <v>732.61334080829181</v>
      </c>
      <c r="CU26" s="26">
        <f>CT26*($F$2+1)</f>
        <v>728.9502741042503</v>
      </c>
      <c r="CV26" s="26">
        <f>CU26*($F$2+1)</f>
        <v>725.30552273372905</v>
      </c>
      <c r="CW26" s="26">
        <f>CV26*($F$2+1)</f>
        <v>721.67899512006045</v>
      </c>
      <c r="CX26" s="26">
        <f>CW26*($F$2+1)</f>
        <v>718.07060014446017</v>
      </c>
      <c r="CY26" s="26">
        <f>CX26*($F$2+1)</f>
        <v>714.48024714373787</v>
      </c>
      <c r="CZ26" s="26">
        <f>CY26*($F$2+1)</f>
        <v>710.90784590801923</v>
      </c>
      <c r="DA26" s="26">
        <f>CZ26*($F$2+1)</f>
        <v>707.35330667847916</v>
      </c>
      <c r="DB26" s="26">
        <f>DA26*($F$2+1)</f>
        <v>703.81654014508672</v>
      </c>
      <c r="DC26" s="26">
        <f>DB26*($F$2+1)</f>
        <v>700.29745744436127</v>
      </c>
      <c r="DD26" s="26">
        <f>DC26*($F$2+1)</f>
        <v>696.79597015713944</v>
      </c>
      <c r="DE26" s="26">
        <f>DD26*($F$2+1)</f>
        <v>693.31199030635378</v>
      </c>
      <c r="DF26" s="26">
        <f>DE26*($F$2+1)</f>
        <v>689.84543035482204</v>
      </c>
      <c r="DG26" s="26">
        <f>DF26*($F$2+1)</f>
        <v>686.39620320304789</v>
      </c>
      <c r="DH26" s="26">
        <f>DG26*($F$2+1)</f>
        <v>682.96422218703265</v>
      </c>
      <c r="DI26" s="26">
        <f>DH26*($F$2+1)</f>
        <v>679.54940107609752</v>
      </c>
      <c r="DJ26" s="26">
        <f>DI26*($F$2+1)</f>
        <v>676.15165407071709</v>
      </c>
      <c r="DK26" s="26">
        <f>DJ26*($F$2+1)</f>
        <v>672.77089580036352</v>
      </c>
      <c r="DL26" s="26">
        <f>DK26*($F$2+1)</f>
        <v>669.4070413213617</v>
      </c>
      <c r="DM26" s="26">
        <f>DL26*($F$2+1)</f>
        <v>666.06000611475486</v>
      </c>
      <c r="DN26" s="26">
        <f>DM26*($F$2+1)</f>
        <v>662.72970608418109</v>
      </c>
      <c r="DO26" s="26">
        <f>DN26*($F$2+1)</f>
        <v>659.4160575537602</v>
      </c>
      <c r="DP26" s="26">
        <f>DO26*($F$2+1)</f>
        <v>656.11897726599136</v>
      </c>
      <c r="DQ26" s="26">
        <f>DP26*($F$2+1)</f>
        <v>652.83838237966143</v>
      </c>
      <c r="DR26" s="26">
        <f>DQ26*($F$2+1)</f>
        <v>649.57419046776306</v>
      </c>
      <c r="DS26" s="26">
        <f>DR26*($F$2+1)</f>
        <v>646.32631951542419</v>
      </c>
      <c r="DT26" s="26">
        <f>DS26*($F$2+1)</f>
        <v>643.09468791784707</v>
      </c>
      <c r="DU26" s="26">
        <f>DT26*($F$2+1)</f>
        <v>639.87921447825784</v>
      </c>
      <c r="DV26" s="26">
        <f>DU26*($F$2+1)</f>
        <v>636.67981840586651</v>
      </c>
      <c r="DW26" s="26">
        <f>DV26*($F$2+1)</f>
        <v>633.49641931383712</v>
      </c>
      <c r="DX26" s="26">
        <f>DW26*($F$2+1)</f>
        <v>630.32893721726794</v>
      </c>
      <c r="DY26" s="26">
        <f>DX26*($F$2+1)</f>
        <v>627.17729253118159</v>
      </c>
      <c r="DZ26" s="26">
        <f>DY26*($F$2+1)</f>
        <v>624.0414060685257</v>
      </c>
      <c r="EA26" s="26">
        <f>DZ26*($F$2+1)</f>
        <v>620.92119903818309</v>
      </c>
      <c r="EB26" s="26">
        <f>EA26*($F$2+1)</f>
        <v>617.81659304299217</v>
      </c>
      <c r="EC26" s="26">
        <f>EB26*($F$2+1)</f>
        <v>614.7275100777772</v>
      </c>
      <c r="ED26" s="26">
        <f>EC26*($F$2+1)</f>
        <v>611.65387252738833</v>
      </c>
      <c r="EE26" s="26">
        <f>ED26*($F$2+1)</f>
        <v>608.59560316475142</v>
      </c>
      <c r="EF26" s="26">
        <f>EE26*($F$2+1)</f>
        <v>605.55262514892763</v>
      </c>
      <c r="EG26" s="26">
        <f>EF26*($F$2+1)</f>
        <v>602.524862023183</v>
      </c>
      <c r="EH26" s="26">
        <f>EG26*($F$2+1)</f>
        <v>599.51223771306707</v>
      </c>
      <c r="EI26" s="26">
        <f>EH26*($F$2+1)</f>
        <v>596.51467652450174</v>
      </c>
      <c r="EJ26" s="26">
        <f>EI26*($F$2+1)</f>
        <v>593.53210314187925</v>
      </c>
      <c r="EK26" s="26">
        <f>EJ26*($F$2+1)</f>
        <v>590.56444262616981</v>
      </c>
      <c r="EL26" s="26">
        <f>EK26*($F$2+1)</f>
        <v>587.61162041303896</v>
      </c>
      <c r="EM26" s="26">
        <f>EL26*($F$2+1)</f>
        <v>584.67356231097381</v>
      </c>
      <c r="EN26" s="26">
        <f>EM26*($F$2+1)</f>
        <v>581.75019449941897</v>
      </c>
      <c r="EO26" s="26">
        <f>EN26*($F$2+1)</f>
        <v>578.84144352692192</v>
      </c>
      <c r="EP26" s="26">
        <f>EO26*($F$2+1)</f>
        <v>575.94723630928729</v>
      </c>
      <c r="EQ26" s="26">
        <f>EP26*($F$2+1)</f>
        <v>573.0675001277408</v>
      </c>
      <c r="ER26" s="26">
        <f>EQ26*($F$2+1)</f>
        <v>570.2021626271021</v>
      </c>
      <c r="ES26" s="26">
        <f>ER26*($F$2+1)</f>
        <v>567.35115181396657</v>
      </c>
      <c r="ET26" s="26">
        <f>ES26*($F$2+1)</f>
        <v>564.51439605489668</v>
      </c>
      <c r="EU26" s="26">
        <f>ET26*($F$2+1)</f>
        <v>561.69182407462222</v>
      </c>
      <c r="EV26" s="26">
        <f>EU26*($F$2+1)</f>
        <v>558.88336495424915</v>
      </c>
      <c r="EW26" s="26">
        <f>EV26*($F$2+1)</f>
        <v>556.0889481294779</v>
      </c>
      <c r="EX26" s="26">
        <f>EW26*($F$2+1)</f>
        <v>553.30850338883056</v>
      </c>
      <c r="EY26" s="26">
        <f>EX26*($F$2+1)</f>
        <v>550.54196087188643</v>
      </c>
      <c r="EZ26" s="26">
        <f>EY26*($F$2+1)</f>
        <v>547.78925106752695</v>
      </c>
      <c r="FA26" s="26">
        <f>EZ26*($F$2+1)</f>
        <v>545.05030481218932</v>
      </c>
      <c r="FB26" s="26">
        <f>FA26*($F$2+1)</f>
        <v>542.3250532881284</v>
      </c>
      <c r="FC26" s="26">
        <f>FB26*($F$2+1)</f>
        <v>539.61342802168781</v>
      </c>
      <c r="FD26" s="26">
        <f>FC26*($F$2+1)</f>
        <v>536.91536088157932</v>
      </c>
      <c r="FE26" s="26">
        <f>FD26*($F$2+1)</f>
        <v>534.23078407717139</v>
      </c>
      <c r="FF26" s="26">
        <f>FE26*($F$2+1)</f>
        <v>531.55963015678549</v>
      </c>
      <c r="FG26" s="26">
        <f>FF26*($F$2+1)</f>
        <v>528.90183200600154</v>
      </c>
      <c r="FH26" s="26">
        <f>FG26*($F$2+1)</f>
        <v>526.25732284597154</v>
      </c>
      <c r="FI26" s="26">
        <f>FH26*($F$2+1)</f>
        <v>523.62603623174164</v>
      </c>
      <c r="FJ26" s="26">
        <f>FI26*($F$2+1)</f>
        <v>521.00790605058296</v>
      </c>
      <c r="FK26" s="26">
        <f>FJ26*($F$2+1)</f>
        <v>518.40286652033001</v>
      </c>
      <c r="FL26" s="26">
        <f>FK26*($F$2+1)</f>
        <v>515.8108521877283</v>
      </c>
      <c r="FM26" s="26">
        <f>FL26*($F$2+1)</f>
        <v>513.23179792678968</v>
      </c>
      <c r="FN26" s="26">
        <f>FM26*($F$2+1)</f>
        <v>510.66563893715573</v>
      </c>
      <c r="FO26" s="26">
        <f>FN26*($F$2+1)</f>
        <v>508.11231074246996</v>
      </c>
      <c r="FP26" s="26">
        <f>FO26*($F$2+1)</f>
        <v>505.57174918875762</v>
      </c>
      <c r="FQ26" s="26">
        <f>FP26*($F$2+1)</f>
        <v>503.04389044281385</v>
      </c>
      <c r="FR26" s="26">
        <f>FQ26*($F$2+1)</f>
        <v>500.52867099059978</v>
      </c>
      <c r="FS26" s="26">
        <f>FR26*($F$2+1)</f>
        <v>498.02602763564676</v>
      </c>
      <c r="FT26" s="26">
        <f>FS26*($F$2+1)</f>
        <v>495.53589749746851</v>
      </c>
      <c r="FU26" s="26">
        <f>FT26*($F$2+1)</f>
        <v>493.05821800998115</v>
      </c>
      <c r="FV26" s="26">
        <f>FU26*($F$2+1)</f>
        <v>490.59292691993124</v>
      </c>
      <c r="FW26" s="26">
        <f>FV26*($F$2+1)</f>
        <v>488.13996228533159</v>
      </c>
      <c r="FX26" s="26">
        <f>FW26*($F$2+1)</f>
        <v>485.69926247390492</v>
      </c>
      <c r="FY26" s="26">
        <f>FX26*($F$2+1)</f>
        <v>483.27076616153539</v>
      </c>
      <c r="FZ26" s="26">
        <f>FY26*($F$2+1)</f>
        <v>480.85441233072771</v>
      </c>
      <c r="GA26" s="26">
        <f>FZ26*($F$2+1)</f>
        <v>478.4501402690741</v>
      </c>
      <c r="GB26" s="26">
        <f>GA26*($F$2+1)</f>
        <v>476.05788956772875</v>
      </c>
      <c r="GC26" s="26">
        <f>GB26*($F$2+1)</f>
        <v>473.67760011989009</v>
      </c>
      <c r="GD26" s="26">
        <f>GC26*($F$2+1)</f>
        <v>471.30921211929063</v>
      </c>
      <c r="GE26" s="26">
        <f>GD26*($F$2+1)</f>
        <v>468.95266605869421</v>
      </c>
      <c r="GF26" s="26">
        <f>GE26*($F$2+1)</f>
        <v>466.60790272840075</v>
      </c>
      <c r="GG26" s="26">
        <f>GF26*($F$2+1)</f>
        <v>464.27486321475874</v>
      </c>
      <c r="GH26" s="26">
        <f>GG26*($F$2+1)</f>
        <v>461.95348889868495</v>
      </c>
      <c r="GI26" s="26">
        <f>GH26*($F$2+1)</f>
        <v>459.64372145419151</v>
      </c>
      <c r="GJ26" s="26">
        <f>GI26*($F$2+1)</f>
        <v>457.34550284692057</v>
      </c>
      <c r="GK26" s="26">
        <f>GJ26*($F$2+1)</f>
        <v>455.05877533268597</v>
      </c>
      <c r="GL26" s="26">
        <f>GK26*($F$2+1)</f>
        <v>452.78348145602251</v>
      </c>
      <c r="GM26" s="26">
        <f>GL26*($F$2+1)</f>
        <v>450.51956404874238</v>
      </c>
      <c r="GN26" s="26">
        <f>GM26*($F$2+1)</f>
        <v>448.26696622849869</v>
      </c>
      <c r="GO26" s="26">
        <f>GN26*($F$2+1)</f>
        <v>446.02563139735616</v>
      </c>
      <c r="GP26" s="26">
        <f>GO26*($F$2+1)</f>
        <v>443.79550324036938</v>
      </c>
      <c r="GQ26" s="26">
        <f>GP26*($F$2+1)</f>
        <v>441.57652572416754</v>
      </c>
    </row>
    <row r="27" spans="1:199" x14ac:dyDescent="0.15">
      <c r="A27" s="3" t="s">
        <v>16</v>
      </c>
      <c r="B27" s="24"/>
      <c r="C27" s="24"/>
      <c r="D27" s="31">
        <f t="shared" ref="D27:F27" si="34">D26/D28</f>
        <v>-0.97982698716585126</v>
      </c>
      <c r="E27" s="31">
        <f t="shared" si="34"/>
        <v>-0.36875802430557902</v>
      </c>
      <c r="F27" s="56">
        <f t="shared" si="34"/>
        <v>-0.26190767887832916</v>
      </c>
      <c r="G27" s="56">
        <f t="shared" ref="G27" si="35">G26/G28</f>
        <v>-0.19145751373896921</v>
      </c>
      <c r="H27" s="56">
        <f t="shared" ref="H27:O27" si="36">H26/H28</f>
        <v>-5.8483143885698995E-2</v>
      </c>
      <c r="I27" s="56">
        <f t="shared" si="36"/>
        <v>0.16657246153671881</v>
      </c>
      <c r="J27" s="56">
        <f t="shared" si="36"/>
        <v>0.5251916133164487</v>
      </c>
      <c r="K27" s="56">
        <f t="shared" si="36"/>
        <v>0.70524417474750911</v>
      </c>
      <c r="L27" s="56">
        <f t="shared" si="36"/>
        <v>0.90743017038680218</v>
      </c>
      <c r="M27" s="56">
        <f t="shared" si="36"/>
        <v>1.1342135810836829</v>
      </c>
      <c r="N27" s="56">
        <f t="shared" si="36"/>
        <v>1.3883164197297186</v>
      </c>
      <c r="O27" s="56">
        <f t="shared" si="36"/>
        <v>1.6727451338788748</v>
      </c>
      <c r="P27" s="56">
        <f t="shared" ref="P27:T27" si="37">P26/P28</f>
        <v>1.9908196782418228</v>
      </c>
      <c r="Q27" s="56">
        <f t="shared" si="37"/>
        <v>2.3462055255295065</v>
      </c>
      <c r="R27" s="56">
        <f t="shared" si="37"/>
        <v>2.7429489110428067</v>
      </c>
      <c r="S27" s="56">
        <f t="shared" si="37"/>
        <v>3.1855156360228469</v>
      </c>
      <c r="T27" s="56">
        <f t="shared" si="37"/>
        <v>3.6788337873597339</v>
      </c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</row>
    <row r="28" spans="1:199" s="16" customFormat="1" x14ac:dyDescent="0.15">
      <c r="A28" s="16" t="s">
        <v>17</v>
      </c>
      <c r="B28" s="24"/>
      <c r="C28" s="24"/>
      <c r="D28" s="24">
        <f>Reports!I21</f>
        <v>84.617999999999995</v>
      </c>
      <c r="E28" s="24">
        <f>Reports!M21</f>
        <v>294.41800000000001</v>
      </c>
      <c r="F28" s="24">
        <f t="shared" ref="F28" si="38">E28</f>
        <v>294.41800000000001</v>
      </c>
      <c r="G28" s="24">
        <f t="shared" ref="G28" si="39">F28</f>
        <v>294.41800000000001</v>
      </c>
      <c r="H28" s="24">
        <f t="shared" ref="H28" si="40">G28</f>
        <v>294.41800000000001</v>
      </c>
      <c r="I28" s="24">
        <f t="shared" ref="I28" si="41">H28</f>
        <v>294.41800000000001</v>
      </c>
      <c r="J28" s="24">
        <f t="shared" ref="J28" si="42">I28</f>
        <v>294.41800000000001</v>
      </c>
      <c r="K28" s="24">
        <f t="shared" ref="K28" si="43">J28</f>
        <v>294.41800000000001</v>
      </c>
      <c r="L28" s="24">
        <f t="shared" ref="L28" si="44">K28</f>
        <v>294.41800000000001</v>
      </c>
      <c r="M28" s="24">
        <f t="shared" ref="M28" si="45">L28</f>
        <v>294.41800000000001</v>
      </c>
      <c r="N28" s="24">
        <f t="shared" ref="N28" si="46">M28</f>
        <v>294.41800000000001</v>
      </c>
      <c r="O28" s="24">
        <f t="shared" ref="O28:T28" si="47">N28</f>
        <v>294.41800000000001</v>
      </c>
      <c r="P28" s="24">
        <f t="shared" si="47"/>
        <v>294.41800000000001</v>
      </c>
      <c r="Q28" s="24">
        <f t="shared" si="47"/>
        <v>294.41800000000001</v>
      </c>
      <c r="R28" s="24">
        <f t="shared" si="47"/>
        <v>294.41800000000001</v>
      </c>
      <c r="S28" s="24">
        <f t="shared" si="47"/>
        <v>294.41800000000001</v>
      </c>
      <c r="T28" s="24">
        <f t="shared" si="47"/>
        <v>294.41800000000001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</row>
    <row r="29" spans="1:199" x14ac:dyDescent="0.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</row>
    <row r="30" spans="1:199" x14ac:dyDescent="0.15">
      <c r="A30" s="3" t="s">
        <v>19</v>
      </c>
      <c r="B30" s="37">
        <f t="shared" ref="B30:O30" si="48">IFERROR(B17/B15,0)</f>
        <v>0.71739925227913337</v>
      </c>
      <c r="C30" s="37">
        <f t="shared" si="48"/>
        <v>0.78597873764032411</v>
      </c>
      <c r="D30" s="37">
        <f>IFERROR(D17/D15,0)</f>
        <v>0.77428052890847809</v>
      </c>
      <c r="E30" s="37">
        <f t="shared" si="48"/>
        <v>0.77844555469615573</v>
      </c>
      <c r="F30" s="37">
        <f t="shared" si="48"/>
        <v>0.77844555469615573</v>
      </c>
      <c r="G30" s="37">
        <f>IFERROR(G17/G15,0)</f>
        <v>0.77844555469615573</v>
      </c>
      <c r="H30" s="37">
        <f t="shared" si="48"/>
        <v>0.77844555469615573</v>
      </c>
      <c r="I30" s="37">
        <f t="shared" si="48"/>
        <v>0.77844555469615584</v>
      </c>
      <c r="J30" s="37">
        <f t="shared" si="48"/>
        <v>0.77844555469615584</v>
      </c>
      <c r="K30" s="37">
        <f t="shared" si="48"/>
        <v>0.77844555469615573</v>
      </c>
      <c r="L30" s="37">
        <f t="shared" si="48"/>
        <v>0.77844555469615573</v>
      </c>
      <c r="M30" s="37">
        <f t="shared" si="48"/>
        <v>0.77844555469615573</v>
      </c>
      <c r="N30" s="37">
        <f t="shared" si="48"/>
        <v>0.77844555469615562</v>
      </c>
      <c r="O30" s="37">
        <f t="shared" si="48"/>
        <v>0.77844555469615562</v>
      </c>
      <c r="P30" s="37">
        <f t="shared" ref="P30:T30" si="49">IFERROR(P17/P15,0)</f>
        <v>0.77844555469615562</v>
      </c>
      <c r="Q30" s="37">
        <f t="shared" si="49"/>
        <v>0.77844555469615562</v>
      </c>
      <c r="R30" s="37">
        <f t="shared" si="49"/>
        <v>0.77844555469615562</v>
      </c>
      <c r="S30" s="37">
        <f t="shared" si="49"/>
        <v>0.77844555469615551</v>
      </c>
      <c r="T30" s="37">
        <f t="shared" si="49"/>
        <v>0.77844555469615562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</row>
    <row r="31" spans="1:199" x14ac:dyDescent="0.15">
      <c r="A31" s="3" t="s">
        <v>20</v>
      </c>
      <c r="B31" s="39">
        <f t="shared" ref="B31:O31" si="50">IFERROR(B22/B15,0)</f>
        <v>-0.20250970032196822</v>
      </c>
      <c r="C31" s="39">
        <f t="shared" si="50"/>
        <v>-6.1541892796074686E-2</v>
      </c>
      <c r="D31" s="39">
        <f>IFERROR(D22/D15,0)</f>
        <v>-0.43909774436090232</v>
      </c>
      <c r="E31" s="39">
        <f t="shared" si="50"/>
        <v>-0.38174425653782618</v>
      </c>
      <c r="F31" s="39">
        <f>IFERROR(F22/F15,0)</f>
        <v>-0.25399562867422443</v>
      </c>
      <c r="G31" s="39">
        <f t="shared" si="50"/>
        <v>-0.14113905933748327</v>
      </c>
      <c r="H31" s="39">
        <f t="shared" si="50"/>
        <v>-4.1352071532017726E-2</v>
      </c>
      <c r="I31" s="39">
        <f t="shared" si="50"/>
        <v>4.6955681800709817E-2</v>
      </c>
      <c r="J31" s="39">
        <f t="shared" si="50"/>
        <v>0.12517295352728516</v>
      </c>
      <c r="K31" s="39">
        <f t="shared" si="50"/>
        <v>0.15321407356331662</v>
      </c>
      <c r="L31" s="39">
        <f t="shared" si="50"/>
        <v>0.17909096002066863</v>
      </c>
      <c r="M31" s="39">
        <f t="shared" si="50"/>
        <v>0.20299903848528902</v>
      </c>
      <c r="N31" s="39">
        <f t="shared" si="50"/>
        <v>0.22511426414386915</v>
      </c>
      <c r="O31" s="39">
        <f t="shared" si="50"/>
        <v>0.24559516179305543</v>
      </c>
      <c r="P31" s="39">
        <f t="shared" ref="P31:T31" si="51">IFERROR(P22/P15,0)</f>
        <v>0.26458464712194274</v>
      </c>
      <c r="Q31" s="39">
        <f t="shared" si="51"/>
        <v>0.28221165295532535</v>
      </c>
      <c r="R31" s="39">
        <f t="shared" si="51"/>
        <v>0.29859258156897672</v>
      </c>
      <c r="S31" s="39">
        <f t="shared" si="51"/>
        <v>0.31383260189272272</v>
      </c>
      <c r="T31" s="39">
        <f t="shared" si="51"/>
        <v>0.32802680837163023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</row>
    <row r="32" spans="1:199" x14ac:dyDescent="0.15">
      <c r="A32" s="3" t="s">
        <v>21</v>
      </c>
      <c r="B32" s="39">
        <f t="shared" ref="B32:O32" si="52">IFERROR(B25/B24,0)</f>
        <v>0</v>
      </c>
      <c r="C32" s="39">
        <f t="shared" si="52"/>
        <v>-0.12080212611741958</v>
      </c>
      <c r="D32" s="39">
        <f>IFERROR(D25/D24,0)</f>
        <v>0</v>
      </c>
      <c r="E32" s="39">
        <f t="shared" si="52"/>
        <v>-9.2963586163299864E-3</v>
      </c>
      <c r="F32" s="39">
        <f t="shared" si="52"/>
        <v>0.1</v>
      </c>
      <c r="G32" s="39">
        <f t="shared" si="52"/>
        <v>0.1</v>
      </c>
      <c r="H32" s="39">
        <f t="shared" si="52"/>
        <v>0.1</v>
      </c>
      <c r="I32" s="39">
        <f t="shared" si="52"/>
        <v>0.10000000000000002</v>
      </c>
      <c r="J32" s="39">
        <f t="shared" si="52"/>
        <v>0.1</v>
      </c>
      <c r="K32" s="39">
        <f t="shared" si="52"/>
        <v>0.1</v>
      </c>
      <c r="L32" s="39">
        <f t="shared" si="52"/>
        <v>0.1</v>
      </c>
      <c r="M32" s="39">
        <f t="shared" si="52"/>
        <v>0.1</v>
      </c>
      <c r="N32" s="39">
        <f t="shared" si="52"/>
        <v>0.1</v>
      </c>
      <c r="O32" s="39">
        <f t="shared" si="52"/>
        <v>0.1</v>
      </c>
      <c r="P32" s="39">
        <f t="shared" ref="P32:T32" si="53">IFERROR(P25/P24,0)</f>
        <v>0.1</v>
      </c>
      <c r="Q32" s="39">
        <f t="shared" si="53"/>
        <v>0.1</v>
      </c>
      <c r="R32" s="39">
        <f t="shared" si="53"/>
        <v>0.1</v>
      </c>
      <c r="S32" s="39">
        <f t="shared" si="53"/>
        <v>0.1</v>
      </c>
      <c r="T32" s="39">
        <f t="shared" si="53"/>
        <v>0.1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</row>
    <row r="33" spans="1:116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</row>
    <row r="34" spans="1:116" x14ac:dyDescent="0.15">
      <c r="A34" s="2" t="s">
        <v>18</v>
      </c>
      <c r="B34" s="57"/>
      <c r="C34" s="57">
        <f t="shared" ref="C34:T34" si="54">C15/B15-1</f>
        <v>0.58637119505607904</v>
      </c>
      <c r="D34" s="57">
        <f t="shared" si="54"/>
        <v>0.43372239982157468</v>
      </c>
      <c r="E34" s="57">
        <f>E15/D15-1</f>
        <v>0.48831734508685543</v>
      </c>
      <c r="F34" s="57">
        <f t="shared" si="54"/>
        <v>0.35000000000000009</v>
      </c>
      <c r="G34" s="57">
        <f t="shared" si="54"/>
        <v>0.35000000000000009</v>
      </c>
      <c r="H34" s="57">
        <f t="shared" si="54"/>
        <v>0.35000000000000009</v>
      </c>
      <c r="I34" s="57">
        <f t="shared" si="54"/>
        <v>0.35000000000000009</v>
      </c>
      <c r="J34" s="57">
        <f t="shared" si="54"/>
        <v>0.35000000000000009</v>
      </c>
      <c r="K34" s="57">
        <f t="shared" si="54"/>
        <v>0.10000000000000009</v>
      </c>
      <c r="L34" s="57">
        <f t="shared" si="54"/>
        <v>0.10000000000000009</v>
      </c>
      <c r="M34" s="57">
        <f t="shared" si="54"/>
        <v>0.10000000000000009</v>
      </c>
      <c r="N34" s="57">
        <f t="shared" si="54"/>
        <v>0.10000000000000009</v>
      </c>
      <c r="O34" s="57">
        <f t="shared" si="54"/>
        <v>0.10000000000000031</v>
      </c>
      <c r="P34" s="57">
        <f t="shared" si="54"/>
        <v>0.10000000000000009</v>
      </c>
      <c r="Q34" s="57">
        <f t="shared" si="54"/>
        <v>0.10000000000000009</v>
      </c>
      <c r="R34" s="57">
        <f t="shared" si="54"/>
        <v>0.10000000000000009</v>
      </c>
      <c r="S34" s="57">
        <f t="shared" si="54"/>
        <v>0.10000000000000009</v>
      </c>
      <c r="T34" s="57">
        <f t="shared" si="54"/>
        <v>0.10000000000000009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</row>
    <row r="35" spans="1:116" x14ac:dyDescent="0.15">
      <c r="A35" s="3" t="s">
        <v>34</v>
      </c>
      <c r="B35" s="39"/>
      <c r="C35" s="39">
        <f t="shared" ref="C35:T35" si="55">C18/B18-1</f>
        <v>0.33333333333333326</v>
      </c>
      <c r="D35" s="39">
        <f t="shared" si="55"/>
        <v>0.6875</v>
      </c>
      <c r="E35" s="39">
        <f t="shared" si="55"/>
        <v>0.68518518518518512</v>
      </c>
      <c r="F35" s="39">
        <f t="shared" si="55"/>
        <v>0.25</v>
      </c>
      <c r="G35" s="39">
        <f t="shared" si="55"/>
        <v>0.25</v>
      </c>
      <c r="H35" s="39">
        <f t="shared" si="55"/>
        <v>0.25</v>
      </c>
      <c r="I35" s="39">
        <f t="shared" si="55"/>
        <v>0.25</v>
      </c>
      <c r="J35" s="39">
        <f t="shared" si="55"/>
        <v>0.25</v>
      </c>
      <c r="K35" s="39">
        <f t="shared" si="55"/>
        <v>0.10000000000000009</v>
      </c>
      <c r="L35" s="39">
        <f t="shared" si="55"/>
        <v>0.10000000000000009</v>
      </c>
      <c r="M35" s="39">
        <f t="shared" si="55"/>
        <v>0.10000000000000009</v>
      </c>
      <c r="N35" s="39">
        <f t="shared" si="55"/>
        <v>0.10000000000000009</v>
      </c>
      <c r="O35" s="39">
        <f t="shared" si="55"/>
        <v>0.10000000000000009</v>
      </c>
      <c r="P35" s="39">
        <f t="shared" si="55"/>
        <v>0.10000000000000009</v>
      </c>
      <c r="Q35" s="39">
        <f t="shared" si="55"/>
        <v>0.10000000000000009</v>
      </c>
      <c r="R35" s="39">
        <f t="shared" si="55"/>
        <v>0.10000000000000009</v>
      </c>
      <c r="S35" s="39">
        <f t="shared" si="55"/>
        <v>0.10000000000000009</v>
      </c>
      <c r="T35" s="39">
        <f t="shared" si="55"/>
        <v>0.10000000000000009</v>
      </c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</row>
    <row r="36" spans="1:116" x14ac:dyDescent="0.15">
      <c r="A36" s="3" t="s">
        <v>35</v>
      </c>
      <c r="B36" s="39"/>
      <c r="C36" s="39">
        <f t="shared" ref="C36:T36" si="56">C19/B19-1</f>
        <v>0.55000000000000004</v>
      </c>
      <c r="D36" s="39">
        <f t="shared" si="56"/>
        <v>0.5161290322580645</v>
      </c>
      <c r="E36" s="39">
        <f t="shared" si="56"/>
        <v>0.7021276595744681</v>
      </c>
      <c r="F36" s="39">
        <f t="shared" si="56"/>
        <v>0.19999999999999996</v>
      </c>
      <c r="G36" s="39">
        <f t="shared" si="56"/>
        <v>0.19999999999999996</v>
      </c>
      <c r="H36" s="39">
        <f t="shared" si="56"/>
        <v>0.19999999999999996</v>
      </c>
      <c r="I36" s="39">
        <f t="shared" si="56"/>
        <v>0.19999999999999996</v>
      </c>
      <c r="J36" s="39">
        <f t="shared" si="56"/>
        <v>0.19999999999999996</v>
      </c>
      <c r="K36" s="39">
        <f t="shared" si="56"/>
        <v>5.0000000000000044E-2</v>
      </c>
      <c r="L36" s="39">
        <f t="shared" si="56"/>
        <v>5.0000000000000044E-2</v>
      </c>
      <c r="M36" s="39">
        <f t="shared" si="56"/>
        <v>5.0000000000000044E-2</v>
      </c>
      <c r="N36" s="39">
        <f t="shared" si="56"/>
        <v>5.0000000000000044E-2</v>
      </c>
      <c r="O36" s="39">
        <f t="shared" si="56"/>
        <v>5.0000000000000044E-2</v>
      </c>
      <c r="P36" s="39">
        <f t="shared" si="56"/>
        <v>5.0000000000000044E-2</v>
      </c>
      <c r="Q36" s="39">
        <f t="shared" si="56"/>
        <v>5.0000000000000044E-2</v>
      </c>
      <c r="R36" s="39">
        <f t="shared" si="56"/>
        <v>5.0000000000000044E-2</v>
      </c>
      <c r="S36" s="39">
        <f t="shared" si="56"/>
        <v>5.0000000000000044E-2</v>
      </c>
      <c r="T36" s="39">
        <f t="shared" si="56"/>
        <v>5.0000000000000044E-2</v>
      </c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</row>
    <row r="37" spans="1:116" x14ac:dyDescent="0.15">
      <c r="A37" s="3" t="s">
        <v>36</v>
      </c>
      <c r="B37" s="39"/>
      <c r="C37" s="39">
        <f>C20/B20-1</f>
        <v>0.4285714285714286</v>
      </c>
      <c r="D37" s="39">
        <f t="shared" ref="D37:T37" si="57">D20/C20-1</f>
        <v>3.3</v>
      </c>
      <c r="E37" s="39">
        <f t="shared" si="57"/>
        <v>-4.6511627906976716E-2</v>
      </c>
      <c r="F37" s="39">
        <f t="shared" si="57"/>
        <v>0.14999999999999991</v>
      </c>
      <c r="G37" s="39">
        <f t="shared" si="57"/>
        <v>0.14999999999999991</v>
      </c>
      <c r="H37" s="39">
        <f t="shared" si="57"/>
        <v>0.14999999999999991</v>
      </c>
      <c r="I37" s="39">
        <f t="shared" si="57"/>
        <v>0.14999999999999991</v>
      </c>
      <c r="J37" s="39">
        <f t="shared" si="57"/>
        <v>0.14999999999999991</v>
      </c>
      <c r="K37" s="39">
        <f t="shared" si="57"/>
        <v>-2.0000000000000129E-2</v>
      </c>
      <c r="L37" s="39">
        <f t="shared" si="57"/>
        <v>-2.0000000000000018E-2</v>
      </c>
      <c r="M37" s="39">
        <f t="shared" si="57"/>
        <v>-2.0000000000000129E-2</v>
      </c>
      <c r="N37" s="39">
        <f t="shared" si="57"/>
        <v>-2.0000000000000018E-2</v>
      </c>
      <c r="O37" s="39">
        <f t="shared" si="57"/>
        <v>-2.0000000000000018E-2</v>
      </c>
      <c r="P37" s="39">
        <f t="shared" si="57"/>
        <v>-2.0000000000000018E-2</v>
      </c>
      <c r="Q37" s="39">
        <f t="shared" si="57"/>
        <v>-2.0000000000000018E-2</v>
      </c>
      <c r="R37" s="39">
        <f t="shared" si="57"/>
        <v>-2.0000000000000129E-2</v>
      </c>
      <c r="S37" s="39">
        <f t="shared" si="57"/>
        <v>-2.0000000000000018E-2</v>
      </c>
      <c r="T37" s="39">
        <f t="shared" si="57"/>
        <v>-2.0000000000000018E-2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</row>
    <row r="38" spans="1:116" x14ac:dyDescent="0.15">
      <c r="A38" s="6" t="s">
        <v>66</v>
      </c>
      <c r="B38" s="51"/>
      <c r="C38" s="51">
        <f>C21/B21-1</f>
        <v>0.46153846153846145</v>
      </c>
      <c r="D38" s="51">
        <f>D21/C21-1</f>
        <v>1.0526315789473686</v>
      </c>
      <c r="E38" s="51">
        <f t="shared" ref="E38:T38" si="58">E21/D21-1</f>
        <v>0.42307692307692313</v>
      </c>
      <c r="F38" s="51">
        <f t="shared" si="58"/>
        <v>0.2013513513513514</v>
      </c>
      <c r="G38" s="51">
        <f t="shared" si="58"/>
        <v>0.20243094613173351</v>
      </c>
      <c r="H38" s="51">
        <f t="shared" si="58"/>
        <v>0.20350729940284706</v>
      </c>
      <c r="I38" s="51">
        <f t="shared" si="58"/>
        <v>0.20457939473710929</v>
      </c>
      <c r="J38" s="51">
        <f t="shared" si="58"/>
        <v>0.20564623552078976</v>
      </c>
      <c r="K38" s="51">
        <f>K21/J21-1</f>
        <v>5.2783521022549129E-2</v>
      </c>
      <c r="L38" s="51">
        <f t="shared" si="58"/>
        <v>5.4473541460975383E-2</v>
      </c>
      <c r="M38" s="51">
        <f t="shared" si="58"/>
        <v>5.6121323595889727E-2</v>
      </c>
      <c r="N38" s="51">
        <f t="shared" si="58"/>
        <v>5.7725440090206526E-2</v>
      </c>
      <c r="O38" s="51">
        <f t="shared" si="58"/>
        <v>5.9284812193399761E-2</v>
      </c>
      <c r="P38" s="51">
        <f t="shared" si="58"/>
        <v>6.0798689200601608E-2</v>
      </c>
      <c r="Q38" s="51">
        <f t="shared" si="58"/>
        <v>6.2266624818272609E-2</v>
      </c>
      <c r="R38" s="51">
        <f t="shared" si="58"/>
        <v>6.3688451329495521E-2</v>
      </c>
      <c r="S38" s="51">
        <f t="shared" si="58"/>
        <v>6.5064252396165534E-2</v>
      </c>
      <c r="T38" s="51">
        <f t="shared" si="58"/>
        <v>6.6394335257794923E-2</v>
      </c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</row>
    <row r="39" spans="1:116" x14ac:dyDescent="0.15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</row>
    <row r="40" spans="1:116" x14ac:dyDescent="0.15">
      <c r="A40" s="2" t="s">
        <v>22</v>
      </c>
      <c r="B40" s="51"/>
      <c r="C40" s="51"/>
      <c r="D40" s="26">
        <f>D41-D42</f>
        <v>151</v>
      </c>
      <c r="E40" s="26">
        <f>E41-E42</f>
        <v>637</v>
      </c>
      <c r="F40" s="58">
        <f>E40+F26</f>
        <v>559.88966500000004</v>
      </c>
      <c r="G40" s="58">
        <f>F40+G26</f>
        <v>503.52112672000021</v>
      </c>
      <c r="H40" s="58">
        <f t="shared" ref="H40:T40" si="59">G40+H26</f>
        <v>486.30263646346049</v>
      </c>
      <c r="I40" s="58">
        <f t="shared" si="59"/>
        <v>535.34456744417821</v>
      </c>
      <c r="J40" s="58">
        <f t="shared" si="59"/>
        <v>689.97043185358041</v>
      </c>
      <c r="K40" s="58">
        <f t="shared" si="59"/>
        <v>897.60701129439258</v>
      </c>
      <c r="L40" s="58">
        <f t="shared" si="59"/>
        <v>1164.7707871993341</v>
      </c>
      <c r="M40" s="58">
        <f t="shared" si="59"/>
        <v>1498.7036813148297</v>
      </c>
      <c r="N40" s="58">
        <f t="shared" si="59"/>
        <v>1907.4490249788141</v>
      </c>
      <c r="O40" s="58">
        <f t="shared" si="59"/>
        <v>2399.9353018051647</v>
      </c>
      <c r="P40" s="58">
        <f t="shared" si="59"/>
        <v>2986.068449833766</v>
      </c>
      <c r="Q40" s="58">
        <f t="shared" si="59"/>
        <v>3676.8335882491119</v>
      </c>
      <c r="R40" s="58">
        <f t="shared" si="59"/>
        <v>4484.4071207405132</v>
      </c>
      <c r="S40" s="58">
        <f t="shared" si="59"/>
        <v>5422.2802632670882</v>
      </c>
      <c r="T40" s="58">
        <f t="shared" si="59"/>
        <v>6505.3951492739661</v>
      </c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</row>
    <row r="41" spans="1:116" x14ac:dyDescent="0.15">
      <c r="A41" s="3" t="s">
        <v>23</v>
      </c>
      <c r="B41" s="51"/>
      <c r="C41" s="51"/>
      <c r="D41" s="59">
        <f>Reports!I34</f>
        <v>151</v>
      </c>
      <c r="E41" s="59">
        <f>Reports!M34</f>
        <v>637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</row>
    <row r="42" spans="1:116" x14ac:dyDescent="0.15">
      <c r="A42" s="3" t="s">
        <v>24</v>
      </c>
      <c r="B42" s="51"/>
      <c r="C42" s="51"/>
      <c r="D42" s="59">
        <f>Reports!I35</f>
        <v>0</v>
      </c>
      <c r="E42" s="59">
        <f>Reports!M35</f>
        <v>0</v>
      </c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</row>
    <row r="43" spans="1:116" x14ac:dyDescent="0.15">
      <c r="B43" s="51"/>
      <c r="C43" s="51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</row>
    <row r="44" spans="1:116" x14ac:dyDescent="0.15">
      <c r="A44" s="3" t="s">
        <v>48</v>
      </c>
      <c r="B44" s="51"/>
      <c r="C44" s="51"/>
      <c r="D44" s="59">
        <f>Reports!I37</f>
        <v>4</v>
      </c>
      <c r="E44" s="59">
        <f>Reports!M37</f>
        <v>4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</row>
    <row r="45" spans="1:116" x14ac:dyDescent="0.15">
      <c r="A45" s="3" t="s">
        <v>49</v>
      </c>
      <c r="B45" s="51"/>
      <c r="C45" s="51"/>
      <c r="D45" s="59">
        <f>Reports!I38</f>
        <v>298</v>
      </c>
      <c r="E45" s="59">
        <f>Reports!M38</f>
        <v>831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</row>
    <row r="46" spans="1:116" x14ac:dyDescent="0.15">
      <c r="A46" s="3" t="s">
        <v>50</v>
      </c>
      <c r="B46" s="51"/>
      <c r="C46" s="51"/>
      <c r="D46" s="59">
        <f>Reports!I39</f>
        <v>80</v>
      </c>
      <c r="E46" s="59">
        <f>Reports!M39</f>
        <v>105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</row>
    <row r="47" spans="1:116" x14ac:dyDescent="0.15">
      <c r="B47" s="51"/>
      <c r="C47" s="51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</row>
    <row r="48" spans="1:116" x14ac:dyDescent="0.15">
      <c r="A48" s="3" t="s">
        <v>51</v>
      </c>
      <c r="B48" s="51"/>
      <c r="C48" s="51"/>
      <c r="D48" s="62">
        <f>D45-D44-D41</f>
        <v>143</v>
      </c>
      <c r="E48" s="62">
        <f>E45-E44-E41</f>
        <v>190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</row>
    <row r="49" spans="1:116" x14ac:dyDescent="0.15">
      <c r="A49" s="3" t="s">
        <v>52</v>
      </c>
      <c r="B49" s="51"/>
      <c r="C49" s="51"/>
      <c r="D49" s="62">
        <f>D45-D46</f>
        <v>218</v>
      </c>
      <c r="E49" s="62">
        <f>E45-E46</f>
        <v>726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</row>
    <row r="50" spans="1:116" x14ac:dyDescent="0.15">
      <c r="B50" s="51"/>
      <c r="C50" s="5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</row>
    <row r="51" spans="1:116" x14ac:dyDescent="0.15">
      <c r="A51" s="19" t="s">
        <v>54</v>
      </c>
      <c r="B51" s="51"/>
      <c r="C51" s="51"/>
      <c r="D51" s="63">
        <f>D26/D49</f>
        <v>-0.38032568807339451</v>
      </c>
      <c r="E51" s="63">
        <f>E26/E49</f>
        <v>-0.14954407713498616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</row>
    <row r="52" spans="1:116" x14ac:dyDescent="0.15">
      <c r="A52" s="19" t="s">
        <v>55</v>
      </c>
      <c r="B52" s="51"/>
      <c r="C52" s="51"/>
      <c r="D52" s="63">
        <f>D26/D45</f>
        <v>-0.27822483221476513</v>
      </c>
      <c r="E52" s="63">
        <f>E26/E45</f>
        <v>-0.13064861612515039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</row>
    <row r="53" spans="1:116" x14ac:dyDescent="0.15">
      <c r="A53" s="19" t="s">
        <v>56</v>
      </c>
      <c r="B53" s="51"/>
      <c r="C53" s="51"/>
      <c r="D53" s="63">
        <f>D26/(D49-D44)</f>
        <v>-0.38743457943925236</v>
      </c>
      <c r="E53" s="63">
        <f>E26/(E49-E44)</f>
        <v>-0.15037257617728525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</row>
    <row r="54" spans="1:116" x14ac:dyDescent="0.15">
      <c r="A54" s="19" t="s">
        <v>57</v>
      </c>
      <c r="B54" s="51"/>
      <c r="C54" s="51"/>
      <c r="D54" s="63">
        <f>D26/D48</f>
        <v>-0.57979720279720282</v>
      </c>
      <c r="E54" s="63">
        <f>E26/E48</f>
        <v>-0.57141578947368399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</row>
    <row r="55" spans="1:116" x14ac:dyDescent="0.15">
      <c r="B55" s="51"/>
      <c r="C55" s="5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</row>
    <row r="56" spans="1:116" x14ac:dyDescent="0.15">
      <c r="A56" s="3" t="s">
        <v>71</v>
      </c>
      <c r="B56" s="51"/>
      <c r="C56" s="51"/>
      <c r="D56" s="63">
        <f>(D44/D28)/$C$2</f>
        <v>1.6858511469637703E-3</v>
      </c>
      <c r="E56" s="63">
        <f>(E44/E28)/$C$2</f>
        <v>4.8452659943950545E-4</v>
      </c>
      <c r="F56" s="67" t="s">
        <v>72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</row>
    <row r="57" spans="1:116" x14ac:dyDescent="0.15">
      <c r="B57" s="63"/>
      <c r="C57" s="63"/>
      <c r="D57" s="63"/>
      <c r="E57" s="63"/>
      <c r="F57" s="67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</row>
    <row r="58" spans="1:116" x14ac:dyDescent="0.15">
      <c r="A58" s="3" t="s">
        <v>76</v>
      </c>
      <c r="B58" s="63">
        <f>B26/B18-1</f>
        <v>-1.7154583333333338</v>
      </c>
      <c r="C58" s="63">
        <f t="shared" ref="B58:J58" si="60">C26/C18-1</f>
        <v>-1.2899375000000002</v>
      </c>
      <c r="D58" s="63">
        <f t="shared" si="60"/>
        <v>-2.5353888888888889</v>
      </c>
      <c r="E58" s="63">
        <f t="shared" si="60"/>
        <v>-2.1930659340659338</v>
      </c>
      <c r="F58" s="63">
        <f t="shared" si="60"/>
        <v>-1.6778930549450544</v>
      </c>
      <c r="G58" s="63">
        <f t="shared" si="60"/>
        <v>-1.396438071419779</v>
      </c>
      <c r="H58" s="63">
        <f t="shared" si="60"/>
        <v>-1.0968776594653664</v>
      </c>
      <c r="I58" s="63">
        <f t="shared" si="60"/>
        <v>-0.77925741835492346</v>
      </c>
      <c r="J58" s="63">
        <f t="shared" si="60"/>
        <v>-0.44321095330029769</v>
      </c>
      <c r="K58" s="67" t="s">
        <v>78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</row>
    <row r="59" spans="1:116" x14ac:dyDescent="0.15">
      <c r="A59" s="3" t="s">
        <v>77</v>
      </c>
      <c r="B59" s="68" t="str">
        <f>ROUND($C$4/B18,0)&amp;"x"</f>
        <v>346x</v>
      </c>
      <c r="C59" s="68" t="str">
        <f>ROUND($C$4/C18,0)&amp;"x"</f>
        <v>259x</v>
      </c>
      <c r="D59" s="68" t="str">
        <f>ROUND($C$4/D18,0)&amp;"x"</f>
        <v>154x</v>
      </c>
      <c r="E59" s="68" t="str">
        <f>ROUND($C$4/E18,0)&amp;"x"</f>
        <v>91x</v>
      </c>
      <c r="F59" s="68" t="str">
        <f>ROUND($C$4/F18,0)&amp;"x"</f>
        <v>73x</v>
      </c>
      <c r="G59" s="68" t="str">
        <f>ROUND($C$4/G18,0)&amp;"x"</f>
        <v>58x</v>
      </c>
      <c r="H59" s="68" t="str">
        <f>ROUND($C$4/H18,0)&amp;"x"</f>
        <v>47x</v>
      </c>
      <c r="I59" s="68" t="str">
        <f>ROUND($C$4/I18,0)&amp;"x"</f>
        <v>37x</v>
      </c>
      <c r="J59" s="68" t="str">
        <f>ROUND($C$4/J18,0)&amp;"x"</f>
        <v>30x</v>
      </c>
      <c r="K59" s="67" t="s">
        <v>79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</row>
    <row r="60" spans="1:116" x14ac:dyDescent="0.1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</row>
    <row r="61" spans="1:116" x14ac:dyDescent="0.15">
      <c r="A61" s="6" t="s">
        <v>65</v>
      </c>
      <c r="B61" s="63"/>
      <c r="C61" s="63">
        <f>C10/B10-1</f>
        <v>0.58637119505607904</v>
      </c>
      <c r="D61" s="63">
        <f>D10/C10-1</f>
        <v>0.43372239982157468</v>
      </c>
      <c r="E61" s="63">
        <f>E10/D10-1</f>
        <v>0.48831734508685543</v>
      </c>
      <c r="F61" s="63">
        <f>F10/E10-1</f>
        <v>0.35000000000000009</v>
      </c>
      <c r="G61" s="63">
        <f>G10/F10-1</f>
        <v>0.35000000000000009</v>
      </c>
      <c r="H61" s="63">
        <f>H10/G10-1</f>
        <v>0.35000000000000009</v>
      </c>
      <c r="I61" s="63">
        <f>I10/H10-1</f>
        <v>0.35000000000000009</v>
      </c>
      <c r="J61" s="63">
        <f>J10/I10-1</f>
        <v>0.35000000000000009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</row>
    <row r="62" spans="1:116" x14ac:dyDescent="0.1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</row>
    <row r="63" spans="1:116" s="20" customFormat="1" x14ac:dyDescent="0.15">
      <c r="A63" s="20" t="s">
        <v>62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</row>
    <row r="64" spans="1:116" s="20" customFormat="1" x14ac:dyDescent="0.15">
      <c r="A64" s="20" t="s">
        <v>63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</row>
  </sheetData>
  <hyperlinks>
    <hyperlink ref="A1" r:id="rId1" xr:uid="{00000000-0004-0000-0000-000000000000}"/>
    <hyperlink ref="L4" r:id="rId2" xr:uid="{CBCA994A-BC74-CB48-8009-AD2DE8254A02}"/>
    <hyperlink ref="A4" r:id="rId3" xr:uid="{A56A9D7B-6BD6-D44F-9673-748C22FE360B}"/>
    <hyperlink ref="A7" r:id="rId4" xr:uid="{37EAD5F7-5EDB-5B49-8C94-A612F5F134DD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baseColWidth="10" defaultRowHeight="13" x14ac:dyDescent="0.15"/>
  <cols>
    <col min="1" max="1" width="20.33203125" style="6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6384" width="10.83203125" style="6"/>
  </cols>
  <sheetData>
    <row r="1" spans="1:17" x14ac:dyDescent="0.15">
      <c r="A1" s="69" t="s">
        <v>37</v>
      </c>
      <c r="B1" s="23" t="s">
        <v>0</v>
      </c>
      <c r="C1" s="24" t="s">
        <v>1</v>
      </c>
      <c r="D1" s="24" t="s">
        <v>2</v>
      </c>
      <c r="E1" s="24" t="s">
        <v>3</v>
      </c>
      <c r="F1" s="23" t="s">
        <v>30</v>
      </c>
      <c r="G1" s="24" t="s">
        <v>31</v>
      </c>
      <c r="H1" s="24" t="s">
        <v>32</v>
      </c>
      <c r="I1" s="24" t="s">
        <v>33</v>
      </c>
      <c r="J1" s="23" t="s">
        <v>44</v>
      </c>
      <c r="K1" s="24" t="s">
        <v>45</v>
      </c>
      <c r="L1" s="24" t="s">
        <v>46</v>
      </c>
      <c r="M1" s="24" t="s">
        <v>47</v>
      </c>
      <c r="N1" s="23" t="s">
        <v>67</v>
      </c>
      <c r="O1" s="24" t="s">
        <v>68</v>
      </c>
      <c r="P1" s="24" t="s">
        <v>69</v>
      </c>
      <c r="Q1" s="24" t="s">
        <v>70</v>
      </c>
    </row>
    <row r="2" spans="1:17" s="21" customFormat="1" x14ac:dyDescent="0.15">
      <c r="A2" s="1"/>
      <c r="B2" s="70">
        <v>42825</v>
      </c>
      <c r="C2" s="72">
        <v>42916</v>
      </c>
      <c r="D2" s="73" t="s">
        <v>86</v>
      </c>
      <c r="E2" s="72">
        <v>43100</v>
      </c>
      <c r="F2" s="70">
        <v>43190</v>
      </c>
      <c r="G2" s="72">
        <v>43281</v>
      </c>
      <c r="H2" s="73" t="s">
        <v>85</v>
      </c>
      <c r="I2" s="72">
        <v>43465</v>
      </c>
      <c r="J2" s="70">
        <v>43555</v>
      </c>
      <c r="K2" s="72">
        <v>43646</v>
      </c>
      <c r="L2" s="73" t="s">
        <v>84</v>
      </c>
      <c r="M2" s="72">
        <v>43830</v>
      </c>
      <c r="N2" s="70">
        <v>43921</v>
      </c>
    </row>
    <row r="3" spans="1:17" s="8" customFormat="1" x14ac:dyDescent="0.15">
      <c r="A3" s="71" t="s">
        <v>64</v>
      </c>
      <c r="B3" s="23">
        <v>25.036000000000001</v>
      </c>
      <c r="C3" s="24">
        <v>28.803999999999998</v>
      </c>
      <c r="D3" s="24">
        <v>42</v>
      </c>
      <c r="E3" s="24">
        <v>38.67</v>
      </c>
      <c r="F3" s="23">
        <v>42</v>
      </c>
      <c r="G3" s="24">
        <v>45.280999999999999</v>
      </c>
      <c r="H3" s="24">
        <v>50.07</v>
      </c>
      <c r="I3" s="24">
        <v>55.499000000000002</v>
      </c>
      <c r="J3" s="23">
        <v>61.726999999999997</v>
      </c>
      <c r="K3" s="24">
        <v>67.424000000000007</v>
      </c>
      <c r="L3" s="24">
        <v>73.941000000000003</v>
      </c>
      <c r="M3" s="24">
        <v>83.93</v>
      </c>
      <c r="N3" s="23">
        <v>91.25</v>
      </c>
      <c r="O3" s="24"/>
      <c r="P3" s="24"/>
      <c r="Q3" s="24"/>
    </row>
    <row r="4" spans="1:17" x14ac:dyDescent="0.15">
      <c r="B4" s="23"/>
      <c r="C4" s="24"/>
      <c r="D4" s="24"/>
      <c r="E4" s="24"/>
      <c r="F4" s="23"/>
      <c r="G4" s="24"/>
      <c r="H4" s="24"/>
      <c r="I4" s="24"/>
    </row>
    <row r="5" spans="1:17" s="8" customFormat="1" x14ac:dyDescent="0.15">
      <c r="A5" s="8" t="s">
        <v>60</v>
      </c>
      <c r="B5" s="23"/>
      <c r="C5" s="24"/>
      <c r="D5" s="24"/>
      <c r="E5" s="24"/>
      <c r="F5" s="23"/>
      <c r="G5" s="24"/>
      <c r="H5" s="24"/>
      <c r="I5" s="24"/>
      <c r="J5" s="23"/>
      <c r="K5" s="24"/>
      <c r="L5" s="24"/>
      <c r="M5" s="24"/>
      <c r="N5" s="23"/>
      <c r="O5" s="24"/>
      <c r="P5" s="24"/>
      <c r="Q5" s="24"/>
    </row>
    <row r="6" spans="1:17" s="4" customFormat="1" x14ac:dyDescent="0.15">
      <c r="A6" s="4" t="s">
        <v>61</v>
      </c>
      <c r="B6" s="49"/>
      <c r="C6" s="48"/>
      <c r="D6" s="48"/>
      <c r="E6" s="48"/>
      <c r="F6" s="49"/>
      <c r="G6" s="48"/>
      <c r="H6" s="48"/>
      <c r="I6" s="48"/>
      <c r="J6" s="49"/>
      <c r="K6" s="48"/>
      <c r="L6" s="48"/>
      <c r="M6" s="48"/>
      <c r="N6" s="49"/>
      <c r="O6" s="48"/>
      <c r="P6" s="48"/>
      <c r="Q6" s="48"/>
    </row>
    <row r="7" spans="1:17" s="45" customFormat="1" x14ac:dyDescent="0.15">
      <c r="B7" s="65"/>
      <c r="F7" s="65"/>
      <c r="J7" s="65"/>
      <c r="N7" s="65" t="s">
        <v>83</v>
      </c>
      <c r="O7" s="43" t="s">
        <v>82</v>
      </c>
    </row>
    <row r="8" spans="1:17" s="17" customFormat="1" x14ac:dyDescent="0.15">
      <c r="A8" s="17" t="s">
        <v>4</v>
      </c>
      <c r="B8" s="27">
        <f>SUM(B3:B3)</f>
        <v>25.036000000000001</v>
      </c>
      <c r="C8" s="26">
        <f>SUM(C3:C3)</f>
        <v>28.803999999999998</v>
      </c>
      <c r="D8" s="26">
        <f>SUM(D3:D3)</f>
        <v>42</v>
      </c>
      <c r="E8" s="26">
        <f>SUM(E3:E3)</f>
        <v>38.67</v>
      </c>
      <c r="F8" s="27">
        <f>SUM(F3:F3)</f>
        <v>42</v>
      </c>
      <c r="G8" s="26">
        <f>SUM(G3:G3)</f>
        <v>45.280999999999999</v>
      </c>
      <c r="H8" s="26">
        <f>SUM(H3:H3)</f>
        <v>50.07</v>
      </c>
      <c r="I8" s="26">
        <f>SUM(I3:I3)</f>
        <v>55.499000000000002</v>
      </c>
      <c r="J8" s="27">
        <f>SUM(J3:J3)</f>
        <v>61.726999999999997</v>
      </c>
      <c r="K8" s="26">
        <f>SUM(K3:K3)</f>
        <v>67.424000000000007</v>
      </c>
      <c r="L8" s="26">
        <f>SUM(L3:L3)</f>
        <v>73.941000000000003</v>
      </c>
      <c r="M8" s="26">
        <f>SUM(M3:M3)</f>
        <v>83.93</v>
      </c>
      <c r="N8" s="27">
        <f>SUM(N3:N3)</f>
        <v>91.25</v>
      </c>
      <c r="O8" s="58">
        <v>94</v>
      </c>
      <c r="P8" s="58"/>
      <c r="Q8" s="58"/>
    </row>
    <row r="9" spans="1:17" s="8" customFormat="1" x14ac:dyDescent="0.15">
      <c r="A9" s="8" t="s">
        <v>5</v>
      </c>
      <c r="B9" s="23">
        <v>6.3010000000000002</v>
      </c>
      <c r="C9" s="24">
        <v>6.7880000000000003</v>
      </c>
      <c r="D9" s="24">
        <v>7.2519999999999998</v>
      </c>
      <c r="E9" s="24">
        <v>8.4469999999999992</v>
      </c>
      <c r="F9" s="23">
        <v>9</v>
      </c>
      <c r="G9" s="24">
        <v>10.365</v>
      </c>
      <c r="H9" s="24">
        <v>11.209</v>
      </c>
      <c r="I9" s="24">
        <v>12.956</v>
      </c>
      <c r="J9" s="23">
        <v>14.36</v>
      </c>
      <c r="K9" s="24">
        <v>15</v>
      </c>
      <c r="L9" s="59">
        <v>16.033000000000001</v>
      </c>
      <c r="M9" s="59">
        <v>18.198</v>
      </c>
      <c r="N9" s="23">
        <v>20.821000000000002</v>
      </c>
      <c r="O9" s="59"/>
      <c r="P9" s="59"/>
      <c r="Q9" s="59"/>
    </row>
    <row r="10" spans="1:17" s="8" customFormat="1" x14ac:dyDescent="0.15">
      <c r="A10" s="8" t="s">
        <v>6</v>
      </c>
      <c r="B10" s="30">
        <f t="shared" ref="B10:D10" si="0">B8-B9</f>
        <v>18.734999999999999</v>
      </c>
      <c r="C10" s="29">
        <f t="shared" si="0"/>
        <v>22.015999999999998</v>
      </c>
      <c r="D10" s="29">
        <f t="shared" si="0"/>
        <v>34.747999999999998</v>
      </c>
      <c r="E10" s="29">
        <f t="shared" ref="E10" si="1">E8-E9</f>
        <v>30.223000000000003</v>
      </c>
      <c r="F10" s="30">
        <f>F8-F9</f>
        <v>33</v>
      </c>
      <c r="G10" s="29">
        <f>G8-G9</f>
        <v>34.915999999999997</v>
      </c>
      <c r="H10" s="29">
        <f t="shared" ref="H10:J10" si="2">H8-H9</f>
        <v>38.861000000000004</v>
      </c>
      <c r="I10" s="29">
        <f t="shared" si="2"/>
        <v>42.543000000000006</v>
      </c>
      <c r="J10" s="30">
        <f t="shared" si="2"/>
        <v>47.366999999999997</v>
      </c>
      <c r="K10" s="29">
        <f t="shared" ref="K10:M10" si="3">K8-K9</f>
        <v>52.424000000000007</v>
      </c>
      <c r="L10" s="29">
        <f t="shared" si="3"/>
        <v>57.908000000000001</v>
      </c>
      <c r="M10" s="29">
        <f t="shared" si="3"/>
        <v>65.731999999999999</v>
      </c>
      <c r="N10" s="30">
        <f t="shared" ref="N10" si="4">N8-N9</f>
        <v>70.429000000000002</v>
      </c>
      <c r="O10" s="59"/>
      <c r="P10" s="59"/>
      <c r="Q10" s="59"/>
    </row>
    <row r="11" spans="1:17" s="8" customFormat="1" x14ac:dyDescent="0.15">
      <c r="A11" s="8" t="s">
        <v>7</v>
      </c>
      <c r="B11" s="23">
        <v>7</v>
      </c>
      <c r="C11" s="24">
        <v>8</v>
      </c>
      <c r="D11" s="24">
        <v>8</v>
      </c>
      <c r="E11" s="24">
        <v>9</v>
      </c>
      <c r="F11" s="23">
        <v>11</v>
      </c>
      <c r="G11" s="24">
        <v>13</v>
      </c>
      <c r="H11" s="24">
        <v>15</v>
      </c>
      <c r="I11" s="24">
        <v>15</v>
      </c>
      <c r="J11" s="23">
        <v>18</v>
      </c>
      <c r="K11" s="24">
        <v>19</v>
      </c>
      <c r="L11" s="59">
        <v>28</v>
      </c>
      <c r="M11" s="59">
        <v>26</v>
      </c>
      <c r="N11" s="23">
        <v>33</v>
      </c>
      <c r="O11" s="59"/>
      <c r="P11" s="59"/>
      <c r="Q11" s="59"/>
    </row>
    <row r="12" spans="1:17" s="8" customFormat="1" x14ac:dyDescent="0.15">
      <c r="A12" s="8" t="s">
        <v>8</v>
      </c>
      <c r="B12" s="23">
        <v>13</v>
      </c>
      <c r="C12" s="24">
        <v>15</v>
      </c>
      <c r="D12" s="24">
        <v>17</v>
      </c>
      <c r="E12" s="24">
        <v>17</v>
      </c>
      <c r="F12" s="23">
        <v>19</v>
      </c>
      <c r="G12" s="24">
        <v>23</v>
      </c>
      <c r="H12" s="24">
        <v>24</v>
      </c>
      <c r="I12" s="24">
        <v>28</v>
      </c>
      <c r="J12" s="23">
        <v>31</v>
      </c>
      <c r="K12" s="24">
        <v>36</v>
      </c>
      <c r="L12" s="59">
        <v>46</v>
      </c>
      <c r="M12" s="59">
        <v>47</v>
      </c>
      <c r="N12" s="23">
        <v>47</v>
      </c>
      <c r="O12" s="59"/>
      <c r="P12" s="59"/>
      <c r="Q12" s="59"/>
    </row>
    <row r="13" spans="1:17" s="8" customFormat="1" x14ac:dyDescent="0.15">
      <c r="A13" s="8" t="s">
        <v>9</v>
      </c>
      <c r="B13" s="23">
        <v>4</v>
      </c>
      <c r="C13" s="24">
        <v>4</v>
      </c>
      <c r="D13" s="24">
        <v>5</v>
      </c>
      <c r="E13" s="24">
        <v>7</v>
      </c>
      <c r="F13" s="23">
        <v>14</v>
      </c>
      <c r="G13" s="24">
        <v>20</v>
      </c>
      <c r="H13" s="24">
        <v>36</v>
      </c>
      <c r="I13" s="24">
        <v>16</v>
      </c>
      <c r="J13" s="23">
        <v>16</v>
      </c>
      <c r="K13" s="24">
        <v>18</v>
      </c>
      <c r="L13" s="59">
        <v>26</v>
      </c>
      <c r="M13" s="59">
        <v>22</v>
      </c>
      <c r="N13" s="23">
        <v>26</v>
      </c>
      <c r="O13" s="59"/>
      <c r="P13" s="59"/>
      <c r="Q13" s="59"/>
    </row>
    <row r="14" spans="1:17" s="8" customFormat="1" x14ac:dyDescent="0.15">
      <c r="A14" s="8" t="s">
        <v>10</v>
      </c>
      <c r="B14" s="30">
        <f t="shared" ref="B14:D14" si="5">SUM(B11:B13)</f>
        <v>24</v>
      </c>
      <c r="C14" s="29">
        <f t="shared" si="5"/>
        <v>27</v>
      </c>
      <c r="D14" s="29">
        <f t="shared" si="5"/>
        <v>30</v>
      </c>
      <c r="E14" s="29">
        <f t="shared" ref="E14:F14" si="6">SUM(E11:E13)</f>
        <v>33</v>
      </c>
      <c r="F14" s="30">
        <f t="shared" si="6"/>
        <v>44</v>
      </c>
      <c r="G14" s="29">
        <f t="shared" ref="G14:H14" si="7">SUM(G11:G13)</f>
        <v>56</v>
      </c>
      <c r="H14" s="29">
        <f t="shared" si="7"/>
        <v>75</v>
      </c>
      <c r="I14" s="29">
        <f t="shared" ref="I14:K14" si="8">SUM(I11:I13)</f>
        <v>59</v>
      </c>
      <c r="J14" s="30">
        <f t="shared" si="8"/>
        <v>65</v>
      </c>
      <c r="K14" s="29">
        <f t="shared" si="8"/>
        <v>73</v>
      </c>
      <c r="L14" s="29">
        <f t="shared" ref="L14:M14" si="9">SUM(L11:L13)</f>
        <v>100</v>
      </c>
      <c r="M14" s="29">
        <f t="shared" si="9"/>
        <v>95</v>
      </c>
      <c r="N14" s="30">
        <f t="shared" ref="N14" si="10">SUM(N11:N13)</f>
        <v>106</v>
      </c>
      <c r="O14" s="59"/>
      <c r="P14" s="59"/>
      <c r="Q14" s="59"/>
    </row>
    <row r="15" spans="1:17" s="8" customFormat="1" x14ac:dyDescent="0.15">
      <c r="A15" s="8" t="s">
        <v>11</v>
      </c>
      <c r="B15" s="30">
        <f t="shared" ref="B15:H15" si="11">B10-B14</f>
        <v>-5.2650000000000006</v>
      </c>
      <c r="C15" s="29">
        <f t="shared" si="11"/>
        <v>-4.9840000000000018</v>
      </c>
      <c r="D15" s="29">
        <f t="shared" si="11"/>
        <v>4.7479999999999976</v>
      </c>
      <c r="E15" s="29">
        <f t="shared" si="11"/>
        <v>-2.7769999999999975</v>
      </c>
      <c r="F15" s="30">
        <f t="shared" si="11"/>
        <v>-11</v>
      </c>
      <c r="G15" s="29">
        <f t="shared" si="11"/>
        <v>-21.084000000000003</v>
      </c>
      <c r="H15" s="29">
        <f t="shared" si="11"/>
        <v>-36.138999999999996</v>
      </c>
      <c r="I15" s="29">
        <f t="shared" ref="I15:K15" si="12">I10-I14</f>
        <v>-16.456999999999994</v>
      </c>
      <c r="J15" s="30">
        <f t="shared" si="12"/>
        <v>-17.633000000000003</v>
      </c>
      <c r="K15" s="29">
        <f t="shared" si="12"/>
        <v>-20.575999999999993</v>
      </c>
      <c r="L15" s="29">
        <f t="shared" ref="L15:M15" si="13">L10-L14</f>
        <v>-42.091999999999999</v>
      </c>
      <c r="M15" s="29">
        <f t="shared" si="13"/>
        <v>-29.268000000000001</v>
      </c>
      <c r="N15" s="30">
        <f t="shared" ref="N15" si="14">N10-N14</f>
        <v>-35.570999999999998</v>
      </c>
      <c r="O15" s="59"/>
      <c r="P15" s="59"/>
      <c r="Q15" s="59"/>
    </row>
    <row r="16" spans="1:17" s="8" customFormat="1" x14ac:dyDescent="0.15">
      <c r="A16" s="8" t="s">
        <v>12</v>
      </c>
      <c r="B16" s="23">
        <v>0</v>
      </c>
      <c r="C16" s="24">
        <v>0</v>
      </c>
      <c r="D16" s="24">
        <v>0</v>
      </c>
      <c r="E16" s="24">
        <v>0</v>
      </c>
      <c r="F16" s="23">
        <v>-0.23100000000000001</v>
      </c>
      <c r="G16" s="24">
        <v>0</v>
      </c>
      <c r="H16" s="24">
        <v>1</v>
      </c>
      <c r="I16" s="24">
        <v>1</v>
      </c>
      <c r="J16" s="23">
        <v>0</v>
      </c>
      <c r="K16" s="24">
        <v>0</v>
      </c>
      <c r="L16" s="59">
        <v>0</v>
      </c>
      <c r="M16" s="59">
        <v>2</v>
      </c>
      <c r="N16" s="23">
        <v>3</v>
      </c>
      <c r="O16" s="59"/>
      <c r="P16" s="59"/>
      <c r="Q16" s="59"/>
    </row>
    <row r="17" spans="1:17" s="8" customFormat="1" x14ac:dyDescent="0.15">
      <c r="A17" s="8" t="s">
        <v>13</v>
      </c>
      <c r="B17" s="30">
        <f t="shared" ref="B17:C17" si="15">B15+B16</f>
        <v>-5.2650000000000006</v>
      </c>
      <c r="C17" s="29">
        <f t="shared" si="15"/>
        <v>-4.9840000000000018</v>
      </c>
      <c r="D17" s="29">
        <f t="shared" ref="D17:F17" si="16">D15+D16</f>
        <v>4.7479999999999976</v>
      </c>
      <c r="E17" s="29">
        <f>E15+E16</f>
        <v>-2.7769999999999975</v>
      </c>
      <c r="F17" s="30">
        <f t="shared" si="16"/>
        <v>-11.231</v>
      </c>
      <c r="G17" s="29">
        <f t="shared" ref="G17" si="17">G15+G16</f>
        <v>-21.084000000000003</v>
      </c>
      <c r="H17" s="29">
        <f t="shared" ref="H17:L17" si="18">H15+H16</f>
        <v>-35.138999999999996</v>
      </c>
      <c r="I17" s="29">
        <f t="shared" si="18"/>
        <v>-15.456999999999994</v>
      </c>
      <c r="J17" s="30">
        <f t="shared" si="18"/>
        <v>-17.633000000000003</v>
      </c>
      <c r="K17" s="29">
        <f t="shared" si="18"/>
        <v>-20.575999999999993</v>
      </c>
      <c r="L17" s="29">
        <f t="shared" si="18"/>
        <v>-42.091999999999999</v>
      </c>
      <c r="M17" s="29">
        <f t="shared" ref="M17" si="19">M15+M16</f>
        <v>-27.268000000000001</v>
      </c>
      <c r="N17" s="30">
        <f t="shared" ref="N17" si="20">N15+N16</f>
        <v>-32.570999999999998</v>
      </c>
      <c r="O17" s="59"/>
      <c r="P17" s="59"/>
      <c r="Q17" s="59"/>
    </row>
    <row r="18" spans="1:17" s="8" customFormat="1" x14ac:dyDescent="0.15">
      <c r="A18" s="8" t="s">
        <v>14</v>
      </c>
      <c r="B18" s="23">
        <v>1</v>
      </c>
      <c r="C18" s="24">
        <v>1</v>
      </c>
      <c r="D18" s="24">
        <v>-1</v>
      </c>
      <c r="E18" s="24">
        <v>0</v>
      </c>
      <c r="F18" s="23">
        <v>0</v>
      </c>
      <c r="G18" s="24">
        <v>0</v>
      </c>
      <c r="H18" s="24">
        <v>0</v>
      </c>
      <c r="I18" s="24">
        <v>0</v>
      </c>
      <c r="J18" s="23">
        <v>0</v>
      </c>
      <c r="K18" s="24">
        <v>0</v>
      </c>
      <c r="L18" s="24">
        <v>0</v>
      </c>
      <c r="M18" s="24">
        <v>1</v>
      </c>
      <c r="N18" s="23">
        <v>0</v>
      </c>
      <c r="O18" s="24"/>
      <c r="P18" s="24"/>
      <c r="Q18" s="24"/>
    </row>
    <row r="19" spans="1:17" s="17" customFormat="1" x14ac:dyDescent="0.15">
      <c r="A19" s="17" t="s">
        <v>15</v>
      </c>
      <c r="B19" s="27">
        <f>B17-B18</f>
        <v>-6.2650000000000006</v>
      </c>
      <c r="C19" s="26">
        <f>C17-C18</f>
        <v>-5.9840000000000018</v>
      </c>
      <c r="D19" s="26">
        <f>D17-D18</f>
        <v>5.7479999999999976</v>
      </c>
      <c r="E19" s="26">
        <f>E17-E18</f>
        <v>-2.7769999999999975</v>
      </c>
      <c r="F19" s="27">
        <f>F17-F18</f>
        <v>-11.231</v>
      </c>
      <c r="G19" s="26">
        <f>G17-G18</f>
        <v>-21.084000000000003</v>
      </c>
      <c r="H19" s="26">
        <f>H17-H18</f>
        <v>-35.138999999999996</v>
      </c>
      <c r="I19" s="26">
        <f>I17-I18</f>
        <v>-15.456999999999994</v>
      </c>
      <c r="J19" s="27">
        <f>J17-J18</f>
        <v>-17.633000000000003</v>
      </c>
      <c r="K19" s="26">
        <f>K17-K18</f>
        <v>-20.575999999999993</v>
      </c>
      <c r="L19" s="26">
        <f>L17-L18</f>
        <v>-42.091999999999999</v>
      </c>
      <c r="M19" s="26">
        <f>M17-M18</f>
        <v>-28.268000000000001</v>
      </c>
      <c r="N19" s="27">
        <f>N17-N18</f>
        <v>-32.570999999999998</v>
      </c>
      <c r="O19" s="58"/>
      <c r="P19" s="58"/>
      <c r="Q19" s="58"/>
    </row>
    <row r="20" spans="1:17" x14ac:dyDescent="0.15">
      <c r="A20" s="6" t="s">
        <v>16</v>
      </c>
      <c r="B20" s="32">
        <f t="shared" ref="B20:D20" si="21">IFERROR(B19/B21,0)</f>
        <v>0</v>
      </c>
      <c r="C20" s="31">
        <f t="shared" si="21"/>
        <v>0</v>
      </c>
      <c r="D20" s="31">
        <f t="shared" si="21"/>
        <v>0</v>
      </c>
      <c r="E20" s="31">
        <f t="shared" ref="E20" si="22">IFERROR(E19/E21,0)</f>
        <v>0</v>
      </c>
      <c r="F20" s="32">
        <f t="shared" ref="F20:K20" si="23">IFERROR(F19/F21,0)</f>
        <v>0</v>
      </c>
      <c r="G20" s="31">
        <f t="shared" si="23"/>
        <v>0</v>
      </c>
      <c r="H20" s="31">
        <f t="shared" si="23"/>
        <v>-0.43073585113816054</v>
      </c>
      <c r="I20" s="31">
        <f t="shared" si="23"/>
        <v>-0.18266799026211911</v>
      </c>
      <c r="J20" s="32">
        <f t="shared" si="23"/>
        <v>-0.20725687016620045</v>
      </c>
      <c r="K20" s="31">
        <f t="shared" si="23"/>
        <v>0</v>
      </c>
      <c r="L20" s="31">
        <f t="shared" ref="L20:M20" si="24">IFERROR(L19/L21,0)</f>
        <v>-0.35654265772175914</v>
      </c>
      <c r="M20" s="31">
        <f t="shared" si="24"/>
        <v>-9.6013151369821137E-2</v>
      </c>
      <c r="N20" s="32">
        <f t="shared" ref="N20" si="25">IFERROR(N19/N21,0)</f>
        <v>-0.1100085450744232</v>
      </c>
      <c r="O20" s="64"/>
      <c r="P20" s="64"/>
      <c r="Q20" s="64"/>
    </row>
    <row r="21" spans="1:17" s="8" customFormat="1" x14ac:dyDescent="0.15">
      <c r="A21" s="8" t="s">
        <v>17</v>
      </c>
      <c r="B21" s="23"/>
      <c r="C21" s="24"/>
      <c r="D21" s="24"/>
      <c r="E21" s="24"/>
      <c r="F21" s="23"/>
      <c r="G21" s="24"/>
      <c r="H21" s="24">
        <v>81.578999999999994</v>
      </c>
      <c r="I21" s="24">
        <v>84.617999999999995</v>
      </c>
      <c r="J21" s="23">
        <v>85.078000000000003</v>
      </c>
      <c r="K21" s="24"/>
      <c r="L21" s="59">
        <v>118.056</v>
      </c>
      <c r="M21" s="59">
        <v>294.41800000000001</v>
      </c>
      <c r="N21" s="23">
        <v>296.077</v>
      </c>
      <c r="O21" s="59"/>
      <c r="P21" s="59"/>
      <c r="Q21" s="59"/>
    </row>
    <row r="22" spans="1:17" s="45" customFormat="1" x14ac:dyDescent="0.15">
      <c r="B22" s="44"/>
      <c r="C22" s="43"/>
      <c r="D22" s="43"/>
      <c r="E22" s="43"/>
      <c r="F22" s="65"/>
      <c r="I22" s="43"/>
      <c r="J22" s="65"/>
      <c r="N22" s="65"/>
    </row>
    <row r="23" spans="1:17" x14ac:dyDescent="0.15">
      <c r="A23" s="6" t="s">
        <v>19</v>
      </c>
      <c r="B23" s="38">
        <f>IFERROR(B10/B8,0)</f>
        <v>0.74832241572136116</v>
      </c>
      <c r="C23" s="37">
        <f>IFERROR(C10/C8,0)</f>
        <v>0.76433828634911816</v>
      </c>
      <c r="D23" s="37">
        <f>IFERROR(D10/D8,0)</f>
        <v>0.82733333333333325</v>
      </c>
      <c r="E23" s="37">
        <f>IFERROR(E10/E8,0)</f>
        <v>0.78156193431600729</v>
      </c>
      <c r="F23" s="38">
        <f>IFERROR(F10/F8,0)</f>
        <v>0.7857142857142857</v>
      </c>
      <c r="G23" s="37">
        <f>IFERROR(G10/G8,0)</f>
        <v>0.77109604469865944</v>
      </c>
      <c r="H23" s="37">
        <f>IFERROR(H10/H8,0)</f>
        <v>0.77613341322148999</v>
      </c>
      <c r="I23" s="37">
        <f>IFERROR(I10/I8,0)</f>
        <v>0.76655435233067271</v>
      </c>
      <c r="J23" s="38">
        <f>IFERROR(J10/J8,0)</f>
        <v>0.76736274239797819</v>
      </c>
      <c r="K23" s="37">
        <f>IFERROR(K10/K8,0)</f>
        <v>0.77752728998576182</v>
      </c>
      <c r="L23" s="37">
        <f>IFERROR(L10/L8,0)</f>
        <v>0.78316495584317225</v>
      </c>
      <c r="M23" s="37">
        <f>IFERROR(M10/M8,0)</f>
        <v>0.78317645657095192</v>
      </c>
      <c r="N23" s="38">
        <f>IFERROR(N10/N8,0)</f>
        <v>0.77182465753424656</v>
      </c>
      <c r="O23" s="37"/>
      <c r="P23" s="37"/>
      <c r="Q23" s="37"/>
    </row>
    <row r="24" spans="1:17" x14ac:dyDescent="0.15">
      <c r="A24" s="6" t="s">
        <v>20</v>
      </c>
      <c r="B24" s="40">
        <f>IFERROR(B15/B8,0)</f>
        <v>-0.21029717207221602</v>
      </c>
      <c r="C24" s="39">
        <f>IFERROR(C15/C8,0)</f>
        <v>-0.1730315233995279</v>
      </c>
      <c r="D24" s="39">
        <f>IFERROR(D15/D8,0)</f>
        <v>0.11304761904761899</v>
      </c>
      <c r="E24" s="39">
        <f>IFERROR(E15/E8,0)</f>
        <v>-7.1812774760796408E-2</v>
      </c>
      <c r="F24" s="40">
        <f>IFERROR(F15/F8,0)</f>
        <v>-0.26190476190476192</v>
      </c>
      <c r="G24" s="39">
        <f>IFERROR(G15/G8,0)</f>
        <v>-0.4656257591484288</v>
      </c>
      <c r="H24" s="39">
        <f>IFERROR(H15/H8,0)</f>
        <v>-0.72176952266826433</v>
      </c>
      <c r="I24" s="39">
        <f>IFERROR(I15/I8,0)</f>
        <v>-0.29652786536694342</v>
      </c>
      <c r="J24" s="40">
        <f>IFERROR(J15/J8,0)</f>
        <v>-0.28566105593986429</v>
      </c>
      <c r="K24" s="39">
        <f>IFERROR(K15/K8,0)</f>
        <v>-0.30517323208353098</v>
      </c>
      <c r="L24" s="39">
        <f>IFERROR(L15/L8,0)</f>
        <v>-0.56926468400481456</v>
      </c>
      <c r="M24" s="39">
        <f>IFERROR(M15/M8,0)</f>
        <v>-0.34871917073751935</v>
      </c>
      <c r="N24" s="40">
        <f>IFERROR(N15/N8,0)</f>
        <v>-0.38981917808219174</v>
      </c>
      <c r="O24" s="39"/>
      <c r="P24" s="39"/>
      <c r="Q24" s="39"/>
    </row>
    <row r="25" spans="1:17" x14ac:dyDescent="0.15">
      <c r="A25" s="6" t="s">
        <v>21</v>
      </c>
      <c r="B25" s="40">
        <f>IFERROR(B18/B17,0)</f>
        <v>-0.18993352326685659</v>
      </c>
      <c r="C25" s="39">
        <f>IFERROR(C18/C17,0)</f>
        <v>-0.20064205457463877</v>
      </c>
      <c r="D25" s="39">
        <f>IFERROR(D18/D17,0)</f>
        <v>-0.21061499578770018</v>
      </c>
      <c r="E25" s="39">
        <f>IFERROR(E18/E17,0)</f>
        <v>0</v>
      </c>
      <c r="F25" s="40">
        <f>IFERROR(F18/F17,0)</f>
        <v>0</v>
      </c>
      <c r="G25" s="39">
        <f>IFERROR(G18/G17,0)</f>
        <v>0</v>
      </c>
      <c r="H25" s="39">
        <f>IFERROR(H18/H17,0)</f>
        <v>0</v>
      </c>
      <c r="I25" s="39">
        <f>IFERROR(I18/I17,0)</f>
        <v>0</v>
      </c>
      <c r="J25" s="40">
        <f>IFERROR(J18/J17,0)</f>
        <v>0</v>
      </c>
      <c r="K25" s="39">
        <f>IFERROR(K18/K17,0)</f>
        <v>0</v>
      </c>
      <c r="L25" s="39">
        <f>IFERROR(L18/L17,0)</f>
        <v>0</v>
      </c>
      <c r="M25" s="39">
        <f>IFERROR(M18/M17,0)</f>
        <v>-3.6673023324042833E-2</v>
      </c>
      <c r="N25" s="40">
        <f>IFERROR(N18/N17,0)</f>
        <v>0</v>
      </c>
      <c r="O25" s="39"/>
      <c r="P25" s="39"/>
      <c r="Q25" s="39"/>
    </row>
    <row r="26" spans="1:17" s="45" customFormat="1" x14ac:dyDescent="0.15">
      <c r="B26" s="44"/>
      <c r="C26" s="43"/>
      <c r="D26" s="43"/>
      <c r="E26" s="43"/>
      <c r="F26" s="65"/>
      <c r="I26" s="43"/>
      <c r="J26" s="65"/>
      <c r="N26" s="65"/>
      <c r="O26" s="51"/>
    </row>
    <row r="27" spans="1:17" s="12" customFormat="1" x14ac:dyDescent="0.15">
      <c r="A27" s="12" t="s">
        <v>18</v>
      </c>
      <c r="B27" s="34"/>
      <c r="C27" s="33"/>
      <c r="D27" s="33"/>
      <c r="E27" s="33"/>
      <c r="F27" s="34">
        <f>IFERROR((F8/B8)-1,0)</f>
        <v>0.67758427863876003</v>
      </c>
      <c r="G27" s="33">
        <f>IFERROR((G8/C8)-1,0)</f>
        <v>0.57203860574920151</v>
      </c>
      <c r="H27" s="33">
        <f>IFERROR((H8/D8)-1,0)</f>
        <v>0.19214285714285717</v>
      </c>
      <c r="I27" s="33">
        <f>IFERROR((I8/E8)-1,0)</f>
        <v>0.43519524178950086</v>
      </c>
      <c r="J27" s="34">
        <f>IFERROR((J8/F8)-1,0)</f>
        <v>0.4696904761904761</v>
      </c>
      <c r="K27" s="33">
        <f>IFERROR((K8/G8)-1,0)</f>
        <v>0.48901305183189425</v>
      </c>
      <c r="L27" s="33">
        <f>IFERROR((L8/H8)-1,0)</f>
        <v>0.4767525464349911</v>
      </c>
      <c r="M27" s="33">
        <f>IFERROR((M8/I8)-1,0)</f>
        <v>0.51227950053154125</v>
      </c>
      <c r="N27" s="34">
        <f>IFERROR((N8/J8)-1,0)</f>
        <v>0.47828340920504808</v>
      </c>
      <c r="O27" s="34">
        <f>IFERROR((O8/K8)-1,0)</f>
        <v>0.39416231608922625</v>
      </c>
      <c r="P27" s="33"/>
      <c r="Q27" s="33"/>
    </row>
    <row r="28" spans="1:17" s="12" customFormat="1" x14ac:dyDescent="0.15">
      <c r="A28" s="6" t="s">
        <v>34</v>
      </c>
      <c r="B28" s="36"/>
      <c r="C28" s="35"/>
      <c r="D28" s="35"/>
      <c r="E28" s="35"/>
      <c r="F28" s="36">
        <f>F11/B11-1</f>
        <v>0.5714285714285714</v>
      </c>
      <c r="G28" s="35">
        <f>G11/C11-1</f>
        <v>0.625</v>
      </c>
      <c r="H28" s="35">
        <f>H11/D11-1</f>
        <v>0.875</v>
      </c>
      <c r="I28" s="35">
        <f>I11/E11-1</f>
        <v>0.66666666666666674</v>
      </c>
      <c r="J28" s="36">
        <f>J11/F11-1</f>
        <v>0.63636363636363646</v>
      </c>
      <c r="K28" s="35">
        <f>K11/G11-1</f>
        <v>0.46153846153846145</v>
      </c>
      <c r="L28" s="35">
        <f>L11/H11-1</f>
        <v>0.8666666666666667</v>
      </c>
      <c r="M28" s="35">
        <f>M11/I11-1</f>
        <v>0.73333333333333339</v>
      </c>
      <c r="N28" s="36">
        <f>N11/J11-1</f>
        <v>0.83333333333333326</v>
      </c>
      <c r="O28" s="35"/>
      <c r="P28" s="35"/>
      <c r="Q28" s="35"/>
    </row>
    <row r="29" spans="1:17" s="12" customFormat="1" x14ac:dyDescent="0.15">
      <c r="A29" s="6" t="s">
        <v>35</v>
      </c>
      <c r="B29" s="36"/>
      <c r="C29" s="35"/>
      <c r="D29" s="35"/>
      <c r="E29" s="35"/>
      <c r="F29" s="36">
        <f>F12/B12-1</f>
        <v>0.46153846153846145</v>
      </c>
      <c r="G29" s="35">
        <f>G12/C12-1</f>
        <v>0.53333333333333344</v>
      </c>
      <c r="H29" s="35">
        <f>H12/D12-1</f>
        <v>0.41176470588235303</v>
      </c>
      <c r="I29" s="35">
        <f>I12/E12-1</f>
        <v>0.64705882352941169</v>
      </c>
      <c r="J29" s="36">
        <f>J12/F12-1</f>
        <v>0.63157894736842102</v>
      </c>
      <c r="K29" s="35">
        <f>K12/G12-1</f>
        <v>0.56521739130434789</v>
      </c>
      <c r="L29" s="35">
        <f>L12/H12-1</f>
        <v>0.91666666666666674</v>
      </c>
      <c r="M29" s="35">
        <f>M12/I12-1</f>
        <v>0.6785714285714286</v>
      </c>
      <c r="N29" s="36">
        <f>N12/J12-1</f>
        <v>0.5161290322580645</v>
      </c>
      <c r="O29" s="35"/>
      <c r="P29" s="35"/>
      <c r="Q29" s="35"/>
    </row>
    <row r="30" spans="1:17" s="12" customFormat="1" x14ac:dyDescent="0.15">
      <c r="A30" s="6" t="s">
        <v>36</v>
      </c>
      <c r="B30" s="36"/>
      <c r="C30" s="35"/>
      <c r="D30" s="35"/>
      <c r="E30" s="35"/>
      <c r="F30" s="36">
        <f>F13/B13-1</f>
        <v>2.5</v>
      </c>
      <c r="G30" s="35">
        <f>G13/C13-1</f>
        <v>4</v>
      </c>
      <c r="H30" s="35">
        <f>H13/D13-1</f>
        <v>6.2</v>
      </c>
      <c r="I30" s="35">
        <f>I13/E13-1</f>
        <v>1.2857142857142856</v>
      </c>
      <c r="J30" s="36">
        <f>J13/F13-1</f>
        <v>0.14285714285714279</v>
      </c>
      <c r="K30" s="35">
        <f>K13/G13-1</f>
        <v>-9.9999999999999978E-2</v>
      </c>
      <c r="L30" s="35">
        <f>L13/H13-1</f>
        <v>-0.27777777777777779</v>
      </c>
      <c r="M30" s="35">
        <f>M13/I13-1</f>
        <v>0.375</v>
      </c>
      <c r="N30" s="36">
        <f>N13/J13-1</f>
        <v>0.625</v>
      </c>
      <c r="O30" s="35"/>
      <c r="P30" s="35"/>
      <c r="Q30" s="35"/>
    </row>
    <row r="31" spans="1:17" x14ac:dyDescent="0.15">
      <c r="A31" s="6" t="s">
        <v>66</v>
      </c>
      <c r="B31" s="38"/>
      <c r="C31" s="37"/>
      <c r="D31" s="37"/>
      <c r="E31" s="37"/>
      <c r="F31" s="38">
        <f>F14/B14-1</f>
        <v>0.83333333333333326</v>
      </c>
      <c r="G31" s="37">
        <f>G14/C14-1</f>
        <v>1.074074074074074</v>
      </c>
      <c r="H31" s="37">
        <f>H14/D14-1</f>
        <v>1.5</v>
      </c>
      <c r="I31" s="37">
        <f>I14/E14-1</f>
        <v>0.78787878787878785</v>
      </c>
      <c r="J31" s="38">
        <f>J14/F14-1</f>
        <v>0.47727272727272729</v>
      </c>
      <c r="K31" s="37">
        <f>K14/G14-1</f>
        <v>0.3035714285714286</v>
      </c>
      <c r="L31" s="37">
        <f>L14/H14-1</f>
        <v>0.33333333333333326</v>
      </c>
      <c r="M31" s="37">
        <f>M14/I14-1</f>
        <v>0.61016949152542366</v>
      </c>
      <c r="N31" s="38">
        <f>N14/J14-1</f>
        <v>0.63076923076923075</v>
      </c>
      <c r="O31" s="37"/>
      <c r="P31" s="37"/>
      <c r="Q31" s="37"/>
    </row>
    <row r="32" spans="1:17" x14ac:dyDescent="0.15">
      <c r="B32" s="52"/>
      <c r="C32" s="51"/>
      <c r="D32" s="51"/>
      <c r="E32" s="51"/>
      <c r="F32" s="52"/>
      <c r="G32" s="51"/>
      <c r="H32" s="51"/>
      <c r="I32" s="51"/>
      <c r="K32" s="51"/>
    </row>
    <row r="33" spans="1:17" s="12" customFormat="1" x14ac:dyDescent="0.15">
      <c r="A33" s="12" t="s">
        <v>22</v>
      </c>
      <c r="B33" s="23"/>
      <c r="C33" s="24"/>
      <c r="D33" s="24"/>
      <c r="E33" s="51"/>
      <c r="F33" s="52"/>
      <c r="G33" s="51"/>
      <c r="H33" s="51"/>
      <c r="I33" s="26">
        <f t="shared" ref="I33" si="26">I34-I35</f>
        <v>151</v>
      </c>
      <c r="J33" s="22"/>
      <c r="K33" s="51"/>
      <c r="L33" s="26">
        <f t="shared" ref="L33" si="27">L34-L35</f>
        <v>645</v>
      </c>
      <c r="M33" s="26">
        <f t="shared" ref="M33" si="28">M34-M35</f>
        <v>637</v>
      </c>
      <c r="N33" s="27">
        <f t="shared" ref="N33" si="29">N34-N35</f>
        <v>588</v>
      </c>
      <c r="O33" s="53"/>
      <c r="P33" s="53"/>
      <c r="Q33" s="53"/>
    </row>
    <row r="34" spans="1:17" x14ac:dyDescent="0.15">
      <c r="A34" s="6" t="s">
        <v>23</v>
      </c>
      <c r="B34" s="23"/>
      <c r="C34" s="24"/>
      <c r="D34" s="24"/>
      <c r="E34" s="51"/>
      <c r="F34" s="52"/>
      <c r="G34" s="51"/>
      <c r="H34" s="51"/>
      <c r="I34" s="24">
        <f>25+126</f>
        <v>151</v>
      </c>
      <c r="K34" s="51"/>
      <c r="L34" s="24">
        <f>502+143</f>
        <v>645</v>
      </c>
      <c r="M34" s="24">
        <f>139+498</f>
        <v>637</v>
      </c>
      <c r="N34" s="23">
        <f>109+479</f>
        <v>588</v>
      </c>
    </row>
    <row r="35" spans="1:17" x14ac:dyDescent="0.15">
      <c r="A35" s="6" t="s">
        <v>24</v>
      </c>
      <c r="B35" s="23"/>
      <c r="C35" s="24"/>
      <c r="D35" s="24"/>
      <c r="E35" s="51"/>
      <c r="F35" s="52"/>
      <c r="G35" s="51"/>
      <c r="H35" s="51"/>
      <c r="I35" s="24">
        <v>0</v>
      </c>
      <c r="K35" s="51"/>
      <c r="L35" s="24">
        <v>0</v>
      </c>
      <c r="M35" s="24">
        <v>0</v>
      </c>
      <c r="N35" s="23">
        <v>0</v>
      </c>
    </row>
    <row r="36" spans="1:17" x14ac:dyDescent="0.15">
      <c r="B36" s="23"/>
      <c r="C36" s="24"/>
      <c r="D36" s="24"/>
      <c r="E36" s="51"/>
      <c r="F36" s="52"/>
      <c r="G36" s="51"/>
      <c r="H36" s="51"/>
      <c r="K36" s="51"/>
    </row>
    <row r="37" spans="1:17" x14ac:dyDescent="0.15">
      <c r="A37" s="19" t="s">
        <v>48</v>
      </c>
      <c r="B37" s="23"/>
      <c r="C37" s="24"/>
      <c r="D37" s="24"/>
      <c r="E37" s="51"/>
      <c r="F37" s="52"/>
      <c r="G37" s="51"/>
      <c r="H37" s="51"/>
      <c r="I37" s="24">
        <v>4</v>
      </c>
      <c r="K37" s="51"/>
      <c r="L37" s="24">
        <v>4</v>
      </c>
      <c r="M37" s="24">
        <v>4</v>
      </c>
      <c r="N37" s="23">
        <f>16+5</f>
        <v>21</v>
      </c>
    </row>
    <row r="38" spans="1:17" x14ac:dyDescent="0.15">
      <c r="A38" s="19" t="s">
        <v>49</v>
      </c>
      <c r="B38" s="23"/>
      <c r="C38" s="24"/>
      <c r="D38" s="24"/>
      <c r="E38" s="51"/>
      <c r="F38" s="52"/>
      <c r="G38" s="51"/>
      <c r="H38" s="51"/>
      <c r="I38" s="24">
        <v>298</v>
      </c>
      <c r="K38" s="51"/>
      <c r="L38" s="24">
        <v>840</v>
      </c>
      <c r="M38" s="24">
        <v>831</v>
      </c>
      <c r="N38" s="23">
        <v>859</v>
      </c>
    </row>
    <row r="39" spans="1:17" x14ac:dyDescent="0.15">
      <c r="A39" s="19" t="s">
        <v>50</v>
      </c>
      <c r="B39" s="23"/>
      <c r="C39" s="24"/>
      <c r="D39" s="24"/>
      <c r="E39" s="51"/>
      <c r="F39" s="52"/>
      <c r="G39" s="51"/>
      <c r="H39" s="51"/>
      <c r="I39" s="24">
        <v>80</v>
      </c>
      <c r="K39" s="51"/>
      <c r="L39" s="24">
        <v>99</v>
      </c>
      <c r="M39" s="24">
        <v>105</v>
      </c>
      <c r="N39" s="23">
        <v>152</v>
      </c>
    </row>
    <row r="40" spans="1:17" x14ac:dyDescent="0.15">
      <c r="B40" s="23"/>
      <c r="C40" s="24"/>
      <c r="D40" s="24"/>
      <c r="E40" s="51"/>
      <c r="F40" s="52"/>
      <c r="G40" s="51"/>
      <c r="H40" s="51"/>
      <c r="K40" s="51"/>
    </row>
    <row r="41" spans="1:17" x14ac:dyDescent="0.15">
      <c r="A41" s="19" t="s">
        <v>51</v>
      </c>
      <c r="B41" s="23"/>
      <c r="C41" s="24"/>
      <c r="D41" s="24"/>
      <c r="E41" s="51"/>
      <c r="F41" s="52"/>
      <c r="G41" s="51"/>
      <c r="H41" s="51"/>
      <c r="I41" s="29">
        <f t="shared" ref="I41:N41" si="30">I38-I34-I37</f>
        <v>143</v>
      </c>
      <c r="K41" s="51"/>
      <c r="L41" s="29">
        <f t="shared" si="30"/>
        <v>191</v>
      </c>
      <c r="M41" s="29">
        <f t="shared" si="30"/>
        <v>190</v>
      </c>
      <c r="N41" s="30">
        <f t="shared" si="30"/>
        <v>250</v>
      </c>
    </row>
    <row r="42" spans="1:17" x14ac:dyDescent="0.15">
      <c r="A42" s="19" t="s">
        <v>52</v>
      </c>
      <c r="B42" s="23"/>
      <c r="C42" s="24"/>
      <c r="D42" s="24"/>
      <c r="E42" s="51"/>
      <c r="F42" s="52"/>
      <c r="G42" s="51"/>
      <c r="H42" s="51"/>
      <c r="I42" s="29">
        <f t="shared" ref="I42" si="31">I38-I39</f>
        <v>218</v>
      </c>
      <c r="K42" s="51"/>
      <c r="L42" s="29">
        <f>L38-L39</f>
        <v>741</v>
      </c>
      <c r="M42" s="29">
        <f>M38-M39</f>
        <v>726</v>
      </c>
      <c r="N42" s="30">
        <f t="shared" ref="N42" si="32">N38-N39</f>
        <v>707</v>
      </c>
    </row>
    <row r="43" spans="1:17" x14ac:dyDescent="0.15">
      <c r="B43" s="23"/>
      <c r="C43" s="24"/>
      <c r="D43" s="24"/>
      <c r="E43" s="51"/>
      <c r="F43" s="52"/>
      <c r="G43" s="51"/>
      <c r="H43" s="51"/>
      <c r="K43" s="51"/>
    </row>
    <row r="44" spans="1:17" s="12" customFormat="1" x14ac:dyDescent="0.15">
      <c r="A44" s="25" t="s">
        <v>53</v>
      </c>
      <c r="B44" s="23"/>
      <c r="C44" s="24"/>
      <c r="D44" s="24"/>
      <c r="E44" s="51"/>
      <c r="F44" s="52"/>
      <c r="G44" s="51"/>
      <c r="H44" s="51"/>
      <c r="I44" s="26">
        <f t="shared" ref="I44:M44" si="33">SUM(F19:I19)</f>
        <v>-82.911000000000001</v>
      </c>
      <c r="J44" s="22"/>
      <c r="K44" s="51"/>
      <c r="L44" s="26">
        <f t="shared" si="33"/>
        <v>-95.757999999999981</v>
      </c>
      <c r="M44" s="26">
        <f t="shared" si="33"/>
        <v>-108.56899999999999</v>
      </c>
      <c r="N44" s="27">
        <f t="shared" ref="N44" si="34">SUM(K19:N19)</f>
        <v>-123.50699999999999</v>
      </c>
      <c r="O44" s="28"/>
      <c r="P44" s="28"/>
      <c r="Q44" s="28"/>
    </row>
    <row r="45" spans="1:17" x14ac:dyDescent="0.15">
      <c r="A45" s="19" t="s">
        <v>54</v>
      </c>
      <c r="B45" s="23"/>
      <c r="C45" s="24"/>
      <c r="D45" s="24"/>
      <c r="E45" s="51"/>
      <c r="F45" s="52"/>
      <c r="G45" s="51"/>
      <c r="H45" s="51"/>
      <c r="I45" s="37">
        <f t="shared" ref="I45:N45" si="35">I44/I42</f>
        <v>-0.38032568807339451</v>
      </c>
      <c r="K45" s="51"/>
      <c r="L45" s="37">
        <f t="shared" si="35"/>
        <v>-0.12922807017543858</v>
      </c>
      <c r="M45" s="37">
        <f t="shared" si="35"/>
        <v>-0.14954407713498621</v>
      </c>
      <c r="N45" s="38">
        <f t="shared" si="35"/>
        <v>-0.17469165487977367</v>
      </c>
    </row>
    <row r="46" spans="1:17" x14ac:dyDescent="0.15">
      <c r="A46" s="19" t="s">
        <v>55</v>
      </c>
      <c r="B46" s="23"/>
      <c r="C46" s="24"/>
      <c r="D46" s="24"/>
      <c r="E46" s="51"/>
      <c r="F46" s="52"/>
      <c r="G46" s="51"/>
      <c r="H46" s="51"/>
      <c r="I46" s="37">
        <f t="shared" ref="I46:N46" si="36">I44/I38</f>
        <v>-0.27822483221476513</v>
      </c>
      <c r="K46" s="51"/>
      <c r="L46" s="37">
        <f t="shared" si="36"/>
        <v>-0.11399761904761903</v>
      </c>
      <c r="M46" s="37">
        <f t="shared" si="36"/>
        <v>-0.13064861612515041</v>
      </c>
      <c r="N46" s="38">
        <f t="shared" si="36"/>
        <v>-0.1437799767171129</v>
      </c>
    </row>
    <row r="47" spans="1:17" x14ac:dyDescent="0.15">
      <c r="A47" s="19" t="s">
        <v>56</v>
      </c>
      <c r="B47" s="23"/>
      <c r="C47" s="24"/>
      <c r="D47" s="24"/>
      <c r="E47" s="51"/>
      <c r="F47" s="52"/>
      <c r="G47" s="51"/>
      <c r="H47" s="51"/>
      <c r="I47" s="37">
        <f t="shared" ref="I47:N47" si="37">I44/(I42-I37)</f>
        <v>-0.38743457943925236</v>
      </c>
      <c r="K47" s="51"/>
      <c r="L47" s="37">
        <f t="shared" si="37"/>
        <v>-0.12992944369063769</v>
      </c>
      <c r="M47" s="37">
        <f t="shared" si="37"/>
        <v>-0.15037257617728531</v>
      </c>
      <c r="N47" s="38">
        <f t="shared" si="37"/>
        <v>-0.18003935860058307</v>
      </c>
    </row>
    <row r="48" spans="1:17" x14ac:dyDescent="0.15">
      <c r="A48" s="19" t="s">
        <v>57</v>
      </c>
      <c r="B48" s="23"/>
      <c r="C48" s="24"/>
      <c r="D48" s="24"/>
      <c r="E48" s="51"/>
      <c r="F48" s="52"/>
      <c r="G48" s="51"/>
      <c r="H48" s="51"/>
      <c r="I48" s="37">
        <f t="shared" ref="I48:N48" si="38">I44/I41</f>
        <v>-0.57979720279720282</v>
      </c>
      <c r="K48" s="51"/>
      <c r="L48" s="37">
        <f t="shared" si="38"/>
        <v>-0.50135078534031408</v>
      </c>
      <c r="M48" s="37">
        <f t="shared" si="38"/>
        <v>-0.5714157894736841</v>
      </c>
      <c r="N48" s="38">
        <f t="shared" si="38"/>
        <v>-0.49402799999999997</v>
      </c>
    </row>
    <row r="50" spans="1:17" x14ac:dyDescent="0.15">
      <c r="A50" s="6" t="s">
        <v>65</v>
      </c>
      <c r="B50" s="38"/>
      <c r="C50" s="37"/>
      <c r="D50" s="37"/>
      <c r="E50" s="37"/>
      <c r="F50" s="38">
        <f>F3/B3-1</f>
        <v>0.67758427863876003</v>
      </c>
      <c r="G50" s="37">
        <f>G3/C3-1</f>
        <v>0.57203860574920151</v>
      </c>
      <c r="H50" s="37">
        <f>H3/D3-1</f>
        <v>0.19214285714285717</v>
      </c>
      <c r="I50" s="37">
        <f>I3/E3-1</f>
        <v>0.43519524178950086</v>
      </c>
      <c r="J50" s="38">
        <f>J3/F3-1</f>
        <v>0.4696904761904761</v>
      </c>
      <c r="K50" s="37">
        <f>K3/G3-1</f>
        <v>0.48901305183189425</v>
      </c>
      <c r="L50" s="37">
        <f>L3/H3-1</f>
        <v>0.4767525464349911</v>
      </c>
      <c r="M50" s="37">
        <f>M3/I3-1</f>
        <v>0.51227950053154125</v>
      </c>
      <c r="N50" s="38">
        <f>N3/J3-1</f>
        <v>0.47828340920504808</v>
      </c>
      <c r="O50" s="37"/>
      <c r="P50" s="37"/>
      <c r="Q50" s="37"/>
    </row>
    <row r="52" spans="1:17" s="18" customFormat="1" x14ac:dyDescent="0.15">
      <c r="A52" s="18" t="s">
        <v>62</v>
      </c>
      <c r="B52" s="38"/>
      <c r="C52" s="37"/>
      <c r="D52" s="37"/>
      <c r="E52" s="37"/>
      <c r="F52" s="38"/>
      <c r="G52" s="37"/>
      <c r="H52" s="37"/>
      <c r="I52" s="37"/>
      <c r="J52" s="38"/>
      <c r="K52" s="37"/>
      <c r="L52" s="37"/>
      <c r="M52" s="37"/>
      <c r="N52" s="38"/>
      <c r="O52" s="37"/>
      <c r="P52" s="37"/>
      <c r="Q52" s="37"/>
    </row>
    <row r="53" spans="1:17" s="18" customFormat="1" x14ac:dyDescent="0.15">
      <c r="A53" s="18" t="s">
        <v>63</v>
      </c>
      <c r="B53" s="38"/>
      <c r="C53" s="37"/>
      <c r="D53" s="37"/>
      <c r="E53" s="37"/>
      <c r="F53" s="38"/>
      <c r="G53" s="37"/>
      <c r="H53" s="37"/>
      <c r="I53" s="37"/>
      <c r="J53" s="38"/>
      <c r="K53" s="37"/>
      <c r="L53" s="37"/>
      <c r="M53" s="37"/>
      <c r="N53" s="38"/>
      <c r="O53" s="37"/>
      <c r="P53" s="37"/>
      <c r="Q53" s="3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workbookViewId="0">
      <selection activeCell="C10" sqref="C10:C11"/>
    </sheetView>
  </sheetViews>
  <sheetFormatPr baseColWidth="10" defaultRowHeight="13" x14ac:dyDescent="0.15"/>
  <cols>
    <col min="1" max="1" width="10.83203125" style="3"/>
    <col min="2" max="2" width="14.6640625" style="3" customWidth="1"/>
    <col min="3" max="3" width="33.83203125" style="3" bestFit="1" customWidth="1"/>
    <col min="4" max="4" width="22.5" style="3" bestFit="1" customWidth="1"/>
    <col min="5" max="16384" width="10.83203125" style="3"/>
  </cols>
  <sheetData>
    <row r="4" spans="2:4" x14ac:dyDescent="0.15">
      <c r="B4" s="2" t="s">
        <v>80</v>
      </c>
    </row>
    <row r="6" spans="2:4" x14ac:dyDescent="0.15">
      <c r="B6" s="77" t="s">
        <v>89</v>
      </c>
      <c r="C6" s="77" t="s">
        <v>90</v>
      </c>
      <c r="D6" s="76" t="s">
        <v>91</v>
      </c>
    </row>
  </sheetData>
  <hyperlinks>
    <hyperlink ref="D6" r:id="rId1" xr:uid="{54214917-DB52-F64D-A790-E2C24013AC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2020-05-20T10:20:31Z</dcterms:modified>
</cp:coreProperties>
</file>