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B3104887-A44B-4B4D-888A-2F0640F03977}" xr6:coauthVersionLast="45" xr6:coauthVersionMax="45" xr10:uidLastSave="{00000000-0000-0000-0000-000000000000}"/>
  <bookViews>
    <workbookView xWindow="0" yWindow="460" windowWidth="20000" windowHeight="20320" tabRatio="500" xr2:uid="{00000000-000D-0000-FFFF-FFFF00000000}"/>
  </bookViews>
  <sheets>
    <sheet name="Main" sheetId="1" r:id="rId1"/>
    <sheet name="Reports JPY" sheetId="2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" i="1" l="1"/>
  <c r="J58" i="1"/>
  <c r="P16" i="1"/>
  <c r="Q16" i="1" s="1"/>
  <c r="R16" i="1" s="1"/>
  <c r="S16" i="1" s="1"/>
  <c r="T16" i="1" s="1"/>
  <c r="U16" i="1" s="1"/>
  <c r="V16" i="1" s="1"/>
  <c r="W16" i="1" s="1"/>
  <c r="X16" i="1" s="1"/>
  <c r="O16" i="1"/>
  <c r="N16" i="1"/>
  <c r="M16" i="1"/>
  <c r="L16" i="1"/>
  <c r="K16" i="1"/>
  <c r="J16" i="1"/>
  <c r="J18" i="1" s="1"/>
  <c r="J21" i="1" s="1"/>
  <c r="J34" i="1" s="1"/>
  <c r="K14" i="1"/>
  <c r="L14" i="1" s="1"/>
  <c r="M14" i="1" s="1"/>
  <c r="N14" i="1" s="1"/>
  <c r="J14" i="1"/>
  <c r="J13" i="1"/>
  <c r="K12" i="1"/>
  <c r="L12" i="1" s="1"/>
  <c r="J12" i="1"/>
  <c r="C5" i="1"/>
  <c r="C9" i="1"/>
  <c r="C3" i="1"/>
  <c r="C4" i="1" s="1"/>
  <c r="H63" i="1"/>
  <c r="F59" i="1"/>
  <c r="F58" i="1"/>
  <c r="G59" i="1"/>
  <c r="G58" i="1"/>
  <c r="H61" i="1" s="1"/>
  <c r="F25" i="1"/>
  <c r="F26" i="1" s="1"/>
  <c r="F23" i="1"/>
  <c r="F22" i="1"/>
  <c r="F20" i="1"/>
  <c r="F21" i="1" s="1"/>
  <c r="F18" i="1"/>
  <c r="G26" i="1"/>
  <c r="G25" i="1"/>
  <c r="G23" i="1"/>
  <c r="G22" i="1"/>
  <c r="G20" i="1"/>
  <c r="G21" i="1" s="1"/>
  <c r="G18" i="1"/>
  <c r="F16" i="1"/>
  <c r="G29" i="1"/>
  <c r="H29" i="1"/>
  <c r="G16" i="1"/>
  <c r="J55" i="1"/>
  <c r="N54" i="1"/>
  <c r="M54" i="1"/>
  <c r="L54" i="1"/>
  <c r="K54" i="1"/>
  <c r="J54" i="1"/>
  <c r="K53" i="1"/>
  <c r="J53" i="1"/>
  <c r="K13" i="1"/>
  <c r="L13" i="1" s="1"/>
  <c r="M13" i="1" s="1"/>
  <c r="N13" i="1" s="1"/>
  <c r="H38" i="1"/>
  <c r="I55" i="1"/>
  <c r="I54" i="1"/>
  <c r="I53" i="1"/>
  <c r="I38" i="1"/>
  <c r="H22" i="1"/>
  <c r="I22" i="1"/>
  <c r="H16" i="1"/>
  <c r="I16" i="1"/>
  <c r="R15" i="2"/>
  <c r="N49" i="2"/>
  <c r="N48" i="2"/>
  <c r="N47" i="2"/>
  <c r="R49" i="2"/>
  <c r="R48" i="2"/>
  <c r="R47" i="2"/>
  <c r="N9" i="2"/>
  <c r="R9" i="2"/>
  <c r="K55" i="1" l="1"/>
  <c r="L53" i="1"/>
  <c r="M12" i="1"/>
  <c r="G61" i="1"/>
  <c r="L55" i="1"/>
  <c r="I37" i="1"/>
  <c r="J22" i="1" s="1"/>
  <c r="N12" i="1" l="1"/>
  <c r="N53" i="1" s="1"/>
  <c r="M53" i="1"/>
  <c r="N55" i="1"/>
  <c r="M55" i="1"/>
  <c r="I63" i="1"/>
  <c r="I46" i="1"/>
  <c r="I45" i="1"/>
  <c r="J19" i="1" l="1"/>
  <c r="K19" i="1" s="1"/>
  <c r="L19" i="1" s="1"/>
  <c r="M19" i="1" s="1"/>
  <c r="N19" i="1" s="1"/>
  <c r="I20" i="1" l="1"/>
  <c r="R34" i="2"/>
  <c r="R32" i="2"/>
  <c r="R31" i="2"/>
  <c r="R30" i="2" s="1"/>
  <c r="R39" i="2"/>
  <c r="R24" i="2"/>
  <c r="R23" i="2"/>
  <c r="R13" i="2"/>
  <c r="R11" i="2"/>
  <c r="F48" i="2"/>
  <c r="F47" i="2"/>
  <c r="J48" i="2"/>
  <c r="J47" i="2"/>
  <c r="F24" i="2"/>
  <c r="F23" i="2"/>
  <c r="J24" i="2"/>
  <c r="J23" i="2"/>
  <c r="B9" i="2"/>
  <c r="B11" i="2" s="1"/>
  <c r="B13" i="2"/>
  <c r="F9" i="2"/>
  <c r="F13" i="2"/>
  <c r="J27" i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R22" i="2"/>
  <c r="J15" i="2"/>
  <c r="J9" i="2"/>
  <c r="J13" i="2"/>
  <c r="N32" i="2"/>
  <c r="N31" i="2"/>
  <c r="N15" i="2"/>
  <c r="N11" i="2"/>
  <c r="N13" i="2"/>
  <c r="N39" i="2"/>
  <c r="N34" i="2"/>
  <c r="N38" i="2"/>
  <c r="N30" i="2"/>
  <c r="N24" i="2"/>
  <c r="N23" i="2"/>
  <c r="M11" i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R38" i="2" l="1"/>
  <c r="R14" i="2"/>
  <c r="I18" i="1"/>
  <c r="I21" i="1" s="1"/>
  <c r="I23" i="1" s="1"/>
  <c r="I35" i="1" s="1"/>
  <c r="N22" i="2"/>
  <c r="F22" i="2"/>
  <c r="R26" i="2"/>
  <c r="J22" i="2"/>
  <c r="H20" i="1"/>
  <c r="I31" i="1" s="1"/>
  <c r="I58" i="1"/>
  <c r="I30" i="1"/>
  <c r="B26" i="2"/>
  <c r="B14" i="2"/>
  <c r="H45" i="1"/>
  <c r="H37" i="1"/>
  <c r="N26" i="2"/>
  <c r="N14" i="2"/>
  <c r="R27" i="2"/>
  <c r="R16" i="2"/>
  <c r="F11" i="2"/>
  <c r="I29" i="1"/>
  <c r="H46" i="1"/>
  <c r="J11" i="2"/>
  <c r="H58" i="1" l="1"/>
  <c r="R28" i="2"/>
  <c r="R18" i="2"/>
  <c r="R19" i="2" s="1"/>
  <c r="N27" i="2"/>
  <c r="N16" i="2"/>
  <c r="B16" i="2"/>
  <c r="B27" i="2"/>
  <c r="F14" i="2"/>
  <c r="F26" i="2"/>
  <c r="J14" i="2"/>
  <c r="J26" i="2"/>
  <c r="J30" i="1"/>
  <c r="H18" i="1"/>
  <c r="J20" i="1"/>
  <c r="J31" i="1" s="1"/>
  <c r="J29" i="1" l="1"/>
  <c r="I61" i="1"/>
  <c r="T29" i="1"/>
  <c r="T58" i="1"/>
  <c r="U58" i="1"/>
  <c r="U29" i="1"/>
  <c r="K20" i="1"/>
  <c r="K31" i="1" s="1"/>
  <c r="B28" i="2"/>
  <c r="B18" i="2"/>
  <c r="B19" i="2" s="1"/>
  <c r="J16" i="2"/>
  <c r="J27" i="2"/>
  <c r="N28" i="2"/>
  <c r="N18" i="2"/>
  <c r="H21" i="1"/>
  <c r="H33" i="1"/>
  <c r="K30" i="1"/>
  <c r="N41" i="2"/>
  <c r="F27" i="2"/>
  <c r="F16" i="2"/>
  <c r="V29" i="1" l="1"/>
  <c r="V58" i="1"/>
  <c r="J28" i="2"/>
  <c r="J18" i="2"/>
  <c r="N45" i="2"/>
  <c r="N44" i="2"/>
  <c r="N43" i="2"/>
  <c r="N42" i="2"/>
  <c r="L20" i="1"/>
  <c r="L31" i="1" s="1"/>
  <c r="N19" i="2"/>
  <c r="F28" i="2"/>
  <c r="F18" i="2"/>
  <c r="F19" i="2" s="1"/>
  <c r="K58" i="1"/>
  <c r="H34" i="1"/>
  <c r="H23" i="1"/>
  <c r="L30" i="1"/>
  <c r="W58" i="1" l="1"/>
  <c r="W29" i="1"/>
  <c r="K29" i="1"/>
  <c r="M30" i="1"/>
  <c r="J19" i="2"/>
  <c r="M20" i="1"/>
  <c r="M31" i="1" s="1"/>
  <c r="I33" i="1"/>
  <c r="J17" i="1" s="1"/>
  <c r="H25" i="1"/>
  <c r="H59" i="1" s="1"/>
  <c r="H35" i="1"/>
  <c r="R41" i="2"/>
  <c r="X58" i="1" l="1"/>
  <c r="X29" i="1"/>
  <c r="N20" i="1"/>
  <c r="N31" i="1" s="1"/>
  <c r="R45" i="2"/>
  <c r="R44" i="2"/>
  <c r="R43" i="2"/>
  <c r="R42" i="2"/>
  <c r="I34" i="1"/>
  <c r="H50" i="1"/>
  <c r="H26" i="1"/>
  <c r="H48" i="1"/>
  <c r="H51" i="1"/>
  <c r="H49" i="1"/>
  <c r="J33" i="1"/>
  <c r="K18" i="1" s="1"/>
  <c r="O19" i="1"/>
  <c r="P19" i="1" s="1"/>
  <c r="Q19" i="1" s="1"/>
  <c r="R19" i="1" s="1"/>
  <c r="S19" i="1" s="1"/>
  <c r="T19" i="1" s="1"/>
  <c r="N30" i="1"/>
  <c r="L58" i="1"/>
  <c r="L29" i="1"/>
  <c r="U19" i="1" l="1"/>
  <c r="T30" i="1"/>
  <c r="T20" i="1"/>
  <c r="O30" i="1"/>
  <c r="O20" i="1"/>
  <c r="O31" i="1" s="1"/>
  <c r="K21" i="1"/>
  <c r="K33" i="1"/>
  <c r="L18" i="1" s="1"/>
  <c r="K17" i="1"/>
  <c r="M58" i="1"/>
  <c r="M29" i="1"/>
  <c r="U20" i="1" l="1"/>
  <c r="U31" i="1" s="1"/>
  <c r="V19" i="1"/>
  <c r="U30" i="1"/>
  <c r="K34" i="1"/>
  <c r="N58" i="1"/>
  <c r="N29" i="1"/>
  <c r="L21" i="1"/>
  <c r="L33" i="1"/>
  <c r="M18" i="1" s="1"/>
  <c r="L17" i="1"/>
  <c r="P30" i="1"/>
  <c r="P20" i="1"/>
  <c r="P31" i="1" s="1"/>
  <c r="I25" i="1"/>
  <c r="W19" i="1" l="1"/>
  <c r="V30" i="1"/>
  <c r="V20" i="1"/>
  <c r="V31" i="1" s="1"/>
  <c r="I59" i="1"/>
  <c r="I49" i="1"/>
  <c r="I51" i="1"/>
  <c r="I50" i="1"/>
  <c r="I48" i="1"/>
  <c r="I26" i="1"/>
  <c r="Q20" i="1"/>
  <c r="Q31" i="1" s="1"/>
  <c r="C6" i="1"/>
  <c r="C7" i="1" s="1"/>
  <c r="M33" i="1"/>
  <c r="N18" i="1" s="1"/>
  <c r="M21" i="1"/>
  <c r="M17" i="1"/>
  <c r="Q30" i="1"/>
  <c r="L34" i="1"/>
  <c r="O58" i="1"/>
  <c r="O29" i="1"/>
  <c r="W20" i="1" l="1"/>
  <c r="W31" i="1" s="1"/>
  <c r="X19" i="1"/>
  <c r="X30" i="1" s="1"/>
  <c r="W30" i="1"/>
  <c r="R30" i="1"/>
  <c r="J23" i="1"/>
  <c r="J25" i="1" s="1"/>
  <c r="M34" i="1"/>
  <c r="N21" i="1"/>
  <c r="N33" i="1"/>
  <c r="O18" i="1" s="1"/>
  <c r="N17" i="1"/>
  <c r="R20" i="1"/>
  <c r="R31" i="1" s="1"/>
  <c r="P29" i="1"/>
  <c r="P58" i="1"/>
  <c r="J59" i="1" l="1"/>
  <c r="J37" i="1"/>
  <c r="X20" i="1"/>
  <c r="X31" i="1" s="1"/>
  <c r="Q29" i="1"/>
  <c r="Q58" i="1"/>
  <c r="O21" i="1"/>
  <c r="O33" i="1"/>
  <c r="P18" i="1" s="1"/>
  <c r="O17" i="1"/>
  <c r="S20" i="1"/>
  <c r="N34" i="1"/>
  <c r="J35" i="1"/>
  <c r="S30" i="1"/>
  <c r="S31" i="1" l="1"/>
  <c r="T31" i="1"/>
  <c r="O34" i="1"/>
  <c r="P33" i="1"/>
  <c r="Q18" i="1" s="1"/>
  <c r="P21" i="1"/>
  <c r="P17" i="1"/>
  <c r="R29" i="1"/>
  <c r="R58" i="1"/>
  <c r="P34" i="1" l="1"/>
  <c r="Q33" i="1"/>
  <c r="R18" i="1" s="1"/>
  <c r="Q21" i="1"/>
  <c r="Q17" i="1"/>
  <c r="S29" i="1"/>
  <c r="S58" i="1"/>
  <c r="J26" i="1"/>
  <c r="K22" i="1" l="1"/>
  <c r="K23" i="1" s="1"/>
  <c r="K24" i="1" s="1"/>
  <c r="Q34" i="1"/>
  <c r="R21" i="1"/>
  <c r="R33" i="1"/>
  <c r="S18" i="1" s="1"/>
  <c r="R17" i="1"/>
  <c r="S21" i="1" l="1"/>
  <c r="S33" i="1"/>
  <c r="T18" i="1" s="1"/>
  <c r="S17" i="1"/>
  <c r="K35" i="1"/>
  <c r="R34" i="1"/>
  <c r="T33" i="1" l="1"/>
  <c r="U18" i="1" s="1"/>
  <c r="T21" i="1"/>
  <c r="T17" i="1"/>
  <c r="K25" i="1"/>
  <c r="S34" i="1"/>
  <c r="T34" i="1" l="1"/>
  <c r="U33" i="1"/>
  <c r="V18" i="1" s="1"/>
  <c r="U21" i="1"/>
  <c r="U34" i="1" s="1"/>
  <c r="U17" i="1"/>
  <c r="K26" i="1"/>
  <c r="K59" i="1"/>
  <c r="K37" i="1"/>
  <c r="V21" i="1" l="1"/>
  <c r="V34" i="1" s="1"/>
  <c r="V33" i="1"/>
  <c r="W18" i="1" s="1"/>
  <c r="V17" i="1"/>
  <c r="L22" i="1"/>
  <c r="L23" i="1" s="1"/>
  <c r="L24" i="1" s="1"/>
  <c r="W33" i="1" l="1"/>
  <c r="X18" i="1" s="1"/>
  <c r="W21" i="1"/>
  <c r="W34" i="1" s="1"/>
  <c r="W17" i="1"/>
  <c r="L35" i="1"/>
  <c r="X21" i="1" l="1"/>
  <c r="X34" i="1" s="1"/>
  <c r="X33" i="1"/>
  <c r="X17" i="1"/>
  <c r="L25" i="1"/>
  <c r="L59" i="1" l="1"/>
  <c r="L37" i="1"/>
  <c r="M22" i="1" s="1"/>
  <c r="M23" i="1" s="1"/>
  <c r="M24" i="1" s="1"/>
  <c r="L26" i="1"/>
  <c r="M35" i="1" l="1"/>
  <c r="M25" i="1" l="1"/>
  <c r="M26" i="1" l="1"/>
  <c r="M59" i="1"/>
  <c r="M37" i="1"/>
  <c r="N22" i="1" l="1"/>
  <c r="N23" i="1" s="1"/>
  <c r="N24" i="1" s="1"/>
  <c r="N35" i="1" l="1"/>
  <c r="N25" i="1" l="1"/>
  <c r="N26" i="1" l="1"/>
  <c r="N59" i="1"/>
  <c r="N37" i="1"/>
  <c r="O22" i="1" l="1"/>
  <c r="O23" i="1" s="1"/>
  <c r="O24" i="1" s="1"/>
  <c r="O35" i="1" l="1"/>
  <c r="O25" i="1" l="1"/>
  <c r="O26" i="1"/>
  <c r="O59" i="1"/>
  <c r="O37" i="1"/>
  <c r="P22" i="1" l="1"/>
  <c r="P23" i="1" s="1"/>
  <c r="P24" i="1" s="1"/>
  <c r="P35" i="1" l="1"/>
  <c r="P25" i="1"/>
  <c r="P59" i="1" l="1"/>
  <c r="P26" i="1"/>
  <c r="P37" i="1"/>
  <c r="Q22" i="1" l="1"/>
  <c r="Q23" i="1" s="1"/>
  <c r="Q24" i="1" s="1"/>
  <c r="Q35" i="1" l="1"/>
  <c r="Q25" i="1"/>
  <c r="Q59" i="1" l="1"/>
  <c r="Q26" i="1"/>
  <c r="Q37" i="1"/>
  <c r="R22" i="1" l="1"/>
  <c r="R23" i="1" s="1"/>
  <c r="R24" i="1" s="1"/>
  <c r="R35" i="1" l="1"/>
  <c r="R25" i="1" l="1"/>
  <c r="R59" i="1" l="1"/>
  <c r="R26" i="1"/>
  <c r="R37" i="1"/>
  <c r="S22" i="1" l="1"/>
  <c r="S23" i="1" s="1"/>
  <c r="S24" i="1" s="1"/>
  <c r="S35" i="1" l="1"/>
  <c r="S25" i="1"/>
  <c r="S26" i="1" l="1"/>
  <c r="S59" i="1"/>
  <c r="S37" i="1"/>
  <c r="T22" i="1" l="1"/>
  <c r="T23" i="1" s="1"/>
  <c r="T24" i="1" s="1"/>
  <c r="T35" i="1" l="1"/>
  <c r="T25" i="1"/>
  <c r="T26" i="1" l="1"/>
  <c r="T59" i="1"/>
  <c r="T37" i="1"/>
  <c r="U22" i="1" l="1"/>
  <c r="U23" i="1" s="1"/>
  <c r="U24" i="1" s="1"/>
  <c r="U35" i="1" l="1"/>
  <c r="U25" i="1"/>
  <c r="U59" i="1" l="1"/>
  <c r="U26" i="1"/>
  <c r="U37" i="1"/>
  <c r="V22" i="1" l="1"/>
  <c r="V23" i="1" s="1"/>
  <c r="V24" i="1" s="1"/>
  <c r="V35" i="1" l="1"/>
  <c r="V25" i="1"/>
  <c r="V26" i="1" l="1"/>
  <c r="V59" i="1"/>
  <c r="V37" i="1"/>
  <c r="W22" i="1" l="1"/>
  <c r="W23" i="1" s="1"/>
  <c r="W24" i="1" s="1"/>
  <c r="W35" i="1" l="1"/>
  <c r="W25" i="1" l="1"/>
  <c r="W26" i="1" s="1"/>
  <c r="W37" i="1"/>
  <c r="W59" i="1" l="1"/>
  <c r="X22" i="1"/>
  <c r="X23" i="1" s="1"/>
  <c r="X24" i="1" s="1"/>
  <c r="X35" i="1" l="1"/>
  <c r="X25" i="1" l="1"/>
  <c r="Y25" i="1" s="1"/>
  <c r="X59" i="1"/>
  <c r="X26" i="1"/>
  <c r="Z25" i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DY25" i="1" s="1"/>
  <c r="DZ25" i="1" s="1"/>
  <c r="EA25" i="1" s="1"/>
  <c r="EB25" i="1" s="1"/>
  <c r="EC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FE25" i="1" s="1"/>
  <c r="FF25" i="1" s="1"/>
  <c r="FG25" i="1" s="1"/>
  <c r="FH25" i="1" s="1"/>
  <c r="FI25" i="1" s="1"/>
  <c r="FJ25" i="1" s="1"/>
  <c r="FK25" i="1" s="1"/>
  <c r="FL25" i="1" s="1"/>
  <c r="FM25" i="1" s="1"/>
  <c r="FN25" i="1" s="1"/>
  <c r="FO25" i="1" s="1"/>
  <c r="FP25" i="1" s="1"/>
  <c r="FQ25" i="1" s="1"/>
  <c r="FR25" i="1" s="1"/>
  <c r="FS25" i="1" s="1"/>
  <c r="FT25" i="1" s="1"/>
  <c r="FU25" i="1" s="1"/>
  <c r="FV25" i="1" s="1"/>
  <c r="FW25" i="1" s="1"/>
  <c r="FX25" i="1" s="1"/>
  <c r="FY25" i="1" s="1"/>
  <c r="FZ25" i="1" s="1"/>
  <c r="GA25" i="1" s="1"/>
  <c r="GB25" i="1" s="1"/>
  <c r="GC25" i="1" s="1"/>
  <c r="GD25" i="1" s="1"/>
  <c r="GE25" i="1" s="1"/>
  <c r="GF25" i="1" s="1"/>
  <c r="GG25" i="1" s="1"/>
  <c r="GH25" i="1" s="1"/>
  <c r="GI25" i="1" s="1"/>
  <c r="GJ25" i="1" s="1"/>
  <c r="GK25" i="1" s="1"/>
  <c r="GL25" i="1" s="1"/>
  <c r="GM25" i="1" s="1"/>
  <c r="GN25" i="1" s="1"/>
  <c r="GO25" i="1" s="1"/>
  <c r="GP25" i="1" s="1"/>
  <c r="GQ25" i="1" s="1"/>
  <c r="GR25" i="1" s="1"/>
  <c r="GS25" i="1" s="1"/>
  <c r="GT25" i="1" s="1"/>
  <c r="GU25" i="1" s="1"/>
  <c r="GV25" i="1" s="1"/>
  <c r="GW25" i="1" s="1"/>
  <c r="GX25" i="1" s="1"/>
  <c r="GY25" i="1" s="1"/>
  <c r="GZ25" i="1" s="1"/>
  <c r="HA25" i="1" s="1"/>
  <c r="HB25" i="1" s="1"/>
  <c r="HC25" i="1" s="1"/>
  <c r="HD25" i="1" s="1"/>
  <c r="HE25" i="1" s="1"/>
  <c r="HF25" i="1" s="1"/>
  <c r="HG25" i="1" s="1"/>
  <c r="HH25" i="1" s="1"/>
  <c r="HI25" i="1" s="1"/>
  <c r="HJ25" i="1" s="1"/>
  <c r="HK25" i="1" s="1"/>
  <c r="HL25" i="1" s="1"/>
  <c r="HM25" i="1" s="1"/>
  <c r="HN25" i="1" s="1"/>
  <c r="HO25" i="1" s="1"/>
  <c r="HP25" i="1" s="1"/>
  <c r="HQ25" i="1" s="1"/>
  <c r="HR25" i="1" s="1"/>
  <c r="HS25" i="1" s="1"/>
  <c r="HT25" i="1" s="1"/>
  <c r="HU25" i="1" s="1"/>
  <c r="HV25" i="1" s="1"/>
  <c r="HW25" i="1" s="1"/>
  <c r="HX25" i="1" s="1"/>
  <c r="HY25" i="1" s="1"/>
  <c r="HZ25" i="1" s="1"/>
  <c r="IA25" i="1" s="1"/>
  <c r="IB25" i="1" s="1"/>
  <c r="IC25" i="1" s="1"/>
  <c r="ID25" i="1" s="1"/>
  <c r="IE25" i="1" s="1"/>
  <c r="IF25" i="1" s="1"/>
  <c r="IG25" i="1" s="1"/>
  <c r="IH25" i="1" s="1"/>
  <c r="II25" i="1" s="1"/>
  <c r="IJ25" i="1" s="1"/>
  <c r="IK25" i="1" s="1"/>
  <c r="IL25" i="1" s="1"/>
  <c r="IM25" i="1" s="1"/>
  <c r="IN25" i="1" s="1"/>
  <c r="IO25" i="1" s="1"/>
  <c r="IP25" i="1" s="1"/>
  <c r="IQ25" i="1" s="1"/>
  <c r="IR25" i="1" s="1"/>
  <c r="F5" i="1" s="1"/>
  <c r="F6" i="1" s="1"/>
  <c r="X37" i="1"/>
  <c r="F7" i="1" l="1"/>
  <c r="G7" i="1" s="1"/>
</calcChain>
</file>

<file path=xl/sharedStrings.xml><?xml version="1.0" encoding="utf-8"?>
<sst xmlns="http://schemas.openxmlformats.org/spreadsheetml/2006/main" count="153" uniqueCount="111">
  <si>
    <t>Price</t>
  </si>
  <si>
    <t>Shares</t>
  </si>
  <si>
    <t>Market Cap</t>
  </si>
  <si>
    <t>Net Cash</t>
  </si>
  <si>
    <t>EV</t>
  </si>
  <si>
    <t>per share</t>
  </si>
  <si>
    <t>CEO</t>
  </si>
  <si>
    <t>Founder</t>
  </si>
  <si>
    <t>Revenue</t>
  </si>
  <si>
    <t>Net income</t>
  </si>
  <si>
    <t>Revenue y/y</t>
  </si>
  <si>
    <t>Other</t>
  </si>
  <si>
    <t>COGS</t>
  </si>
  <si>
    <t>Gross Profit</t>
  </si>
  <si>
    <t>Operating Expenses</t>
  </si>
  <si>
    <t>Operating Income</t>
  </si>
  <si>
    <t>Interest Income</t>
  </si>
  <si>
    <t>Pretax Income</t>
  </si>
  <si>
    <t>Taxes</t>
  </si>
  <si>
    <t>EPS</t>
  </si>
  <si>
    <t>R&amp;D y/y</t>
  </si>
  <si>
    <t>Gross Margin</t>
  </si>
  <si>
    <t>Operating Margin</t>
  </si>
  <si>
    <t>Tax Rate</t>
  </si>
  <si>
    <t>ROIC</t>
  </si>
  <si>
    <t>Intangibles</t>
  </si>
  <si>
    <t>Total assets</t>
  </si>
  <si>
    <t>ROE</t>
  </si>
  <si>
    <t>ROA</t>
  </si>
  <si>
    <t>ROTB</t>
  </si>
  <si>
    <t>ROTWC</t>
  </si>
  <si>
    <t>Cash</t>
  </si>
  <si>
    <t>Debt</t>
  </si>
  <si>
    <t>TWC</t>
  </si>
  <si>
    <t>Equity</t>
  </si>
  <si>
    <t>S&amp;G&amp;A</t>
  </si>
  <si>
    <t>S&amp;G&amp;A y/y</t>
  </si>
  <si>
    <t>Maturity</t>
  </si>
  <si>
    <t>Discount</t>
  </si>
  <si>
    <t>NPV</t>
  </si>
  <si>
    <t>Value</t>
  </si>
  <si>
    <t>Investor Relations</t>
  </si>
  <si>
    <t>Q418</t>
  </si>
  <si>
    <t>Other y/y</t>
  </si>
  <si>
    <t>Q318</t>
  </si>
  <si>
    <t>Q218</t>
  </si>
  <si>
    <t>Q118</t>
  </si>
  <si>
    <t>Q417</t>
  </si>
  <si>
    <t>Q317</t>
  </si>
  <si>
    <t>Q217</t>
  </si>
  <si>
    <t>Q117</t>
  </si>
  <si>
    <t>Total liabilities</t>
  </si>
  <si>
    <t>Net income TTM</t>
  </si>
  <si>
    <t>Net Income</t>
  </si>
  <si>
    <t>Baidu Knows</t>
  </si>
  <si>
    <t>Baidu Encyclopedia</t>
  </si>
  <si>
    <t>Baidu Maps</t>
  </si>
  <si>
    <t>Baidu Cloud</t>
  </si>
  <si>
    <t>Revenue USD</t>
  </si>
  <si>
    <t>Net Income USD</t>
  </si>
  <si>
    <t>Q116</t>
  </si>
  <si>
    <t>Q216</t>
  </si>
  <si>
    <t>Q316</t>
  </si>
  <si>
    <t>Q416</t>
  </si>
  <si>
    <t>Q415</t>
  </si>
  <si>
    <t>Q315</t>
  </si>
  <si>
    <t>Q215</t>
  </si>
  <si>
    <t>Q115</t>
  </si>
  <si>
    <t>Q119</t>
  </si>
  <si>
    <t>Q219</t>
  </si>
  <si>
    <t>Q319</t>
  </si>
  <si>
    <t>Q419</t>
  </si>
  <si>
    <t>OE y/y</t>
  </si>
  <si>
    <t>Expected return on invested capital (innovation grade)</t>
  </si>
  <si>
    <t>Risk-free rate + market premium (opportunity cost)</t>
  </si>
  <si>
    <t>http://www.worldgovernmentbonds.com/country/united-states/</t>
  </si>
  <si>
    <t>Net present value on future net income (terminal value)</t>
  </si>
  <si>
    <t>Products</t>
  </si>
  <si>
    <t>Baidu App</t>
  </si>
  <si>
    <t>Baidu Search</t>
  </si>
  <si>
    <t>Baidu Feed</t>
  </si>
  <si>
    <t>Mobile search</t>
  </si>
  <si>
    <t>Social media</t>
  </si>
  <si>
    <t>Haokan</t>
  </si>
  <si>
    <t>Short video app</t>
  </si>
  <si>
    <t>Baidu Post Bar</t>
  </si>
  <si>
    <t>Q&amp;A community</t>
  </si>
  <si>
    <t>Online encyclopedia</t>
  </si>
  <si>
    <t>Map app</t>
  </si>
  <si>
    <t>Baidu IME</t>
  </si>
  <si>
    <t>Chinese-language mobile keyboard</t>
  </si>
  <si>
    <t>AI businesses</t>
  </si>
  <si>
    <t>Duer OS</t>
  </si>
  <si>
    <t>Voice assistant</t>
  </si>
  <si>
    <t>Apollo</t>
  </si>
  <si>
    <t>Autonomous driving</t>
  </si>
  <si>
    <t>https://dueros.baidu.com/en/index.html</t>
  </si>
  <si>
    <t>SaaS</t>
  </si>
  <si>
    <t>https://haokan.baidu.com/</t>
  </si>
  <si>
    <t>https://map.baidu.com/</t>
  </si>
  <si>
    <t>https://cloud.baidu.com/</t>
  </si>
  <si>
    <t>http://apollo.auto/</t>
  </si>
  <si>
    <t>Net Cash USD</t>
  </si>
  <si>
    <t>Revenue y/y USD</t>
  </si>
  <si>
    <t>Nintendo Company LTD (NTDOY)</t>
  </si>
  <si>
    <t>USD/JPY</t>
  </si>
  <si>
    <t>FILINGS</t>
  </si>
  <si>
    <t>Video game platform</t>
  </si>
  <si>
    <t>Mobile and IP</t>
  </si>
  <si>
    <t>Video game platform y/y</t>
  </si>
  <si>
    <t>Mobile and IP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</si>
</sst>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#,##0.0"/>
  </numFmts>
  <fonts count="6" x14ac:knownFonts="1"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1" applyFont="1"/>
    <xf numFmtId="0" fontId="2" fillId="0" borderId="0" xfId="0" applyFont="1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0" fontId="4" fillId="0" borderId="0" xfId="0" applyFont="1"/>
    <xf numFmtId="0" fontId="3" fillId="0" borderId="0" xfId="0" applyFont="1" applyBorder="1"/>
    <xf numFmtId="10" fontId="3" fillId="0" borderId="0" xfId="0" applyNumberFormat="1" applyFont="1"/>
    <xf numFmtId="0" fontId="2" fillId="0" borderId="0" xfId="0" applyFont="1" applyBorder="1"/>
    <xf numFmtId="0" fontId="4" fillId="0" borderId="0" xfId="0" applyFont="1" applyBorder="1"/>
    <xf numFmtId="3" fontId="3" fillId="2" borderId="0" xfId="0" applyNumberFormat="1" applyFont="1" applyFill="1"/>
    <xf numFmtId="4" fontId="3" fillId="2" borderId="0" xfId="0" applyNumberFormat="1" applyFont="1" applyFill="1"/>
    <xf numFmtId="0" fontId="3" fillId="0" borderId="0" xfId="0" applyFont="1" applyFill="1" applyBorder="1"/>
    <xf numFmtId="0" fontId="1" fillId="0" borderId="0" xfId="1" applyFont="1" applyAlignment="1">
      <alignment horizontal="left"/>
    </xf>
    <xf numFmtId="9" fontId="3" fillId="0" borderId="0" xfId="0" applyNumberFormat="1" applyFont="1"/>
    <xf numFmtId="3" fontId="2" fillId="2" borderId="0" xfId="0" applyNumberFormat="1" applyFont="1" applyFill="1"/>
    <xf numFmtId="164" fontId="3" fillId="2" borderId="0" xfId="0" applyNumberFormat="1" applyFont="1" applyFill="1"/>
    <xf numFmtId="164" fontId="2" fillId="2" borderId="0" xfId="0" applyNumberFormat="1" applyFont="1" applyFill="1"/>
    <xf numFmtId="2" fontId="3" fillId="2" borderId="0" xfId="0" applyNumberFormat="1" applyFont="1" applyFill="1"/>
    <xf numFmtId="0" fontId="3" fillId="0" borderId="0" xfId="0" applyFont="1" applyFill="1"/>
    <xf numFmtId="165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165" fontId="3" fillId="0" borderId="1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2" fillId="0" borderId="0" xfId="0" applyNumberFormat="1" applyFont="1"/>
    <xf numFmtId="3" fontId="2" fillId="2" borderId="0" xfId="0" applyNumberFormat="1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9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9" fontId="2" fillId="0" borderId="0" xfId="0" applyNumberFormat="1" applyFont="1" applyAlignment="1">
      <alignment horizontal="right"/>
    </xf>
    <xf numFmtId="9" fontId="3" fillId="0" borderId="1" xfId="0" applyNumberFormat="1" applyFont="1" applyBorder="1" applyAlignment="1">
      <alignment horizontal="right"/>
    </xf>
    <xf numFmtId="4" fontId="3" fillId="2" borderId="0" xfId="0" applyNumberFormat="1" applyFont="1" applyFill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4" fontId="3" fillId="2" borderId="1" xfId="0" applyNumberFormat="1" applyFont="1" applyFill="1" applyBorder="1" applyAlignment="1">
      <alignment horizontal="right"/>
    </xf>
    <xf numFmtId="9" fontId="2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5" fillId="0" borderId="0" xfId="0" applyFont="1"/>
    <xf numFmtId="3" fontId="4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4" fontId="2" fillId="0" borderId="0" xfId="0" applyNumberFormat="1" applyFont="1"/>
    <xf numFmtId="3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3" fontId="2" fillId="0" borderId="0" xfId="0" applyNumberFormat="1" applyFont="1" applyFill="1" applyAlignment="1">
      <alignment horizontal="right"/>
    </xf>
    <xf numFmtId="4" fontId="3" fillId="0" borderId="0" xfId="0" applyNumberFormat="1" applyFont="1" applyFill="1" applyAlignment="1">
      <alignment horizontal="right"/>
    </xf>
    <xf numFmtId="3" fontId="4" fillId="0" borderId="0" xfId="0" applyNumberFormat="1" applyFont="1" applyFill="1" applyAlignment="1">
      <alignment horizontal="right"/>
    </xf>
    <xf numFmtId="9" fontId="2" fillId="0" borderId="0" xfId="0" applyNumberFormat="1" applyFont="1" applyFill="1" applyAlignment="1">
      <alignment horizontal="right"/>
    </xf>
    <xf numFmtId="9" fontId="3" fillId="0" borderId="0" xfId="0" applyNumberFormat="1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9" fontId="4" fillId="0" borderId="0" xfId="0" applyNumberFormat="1" applyFont="1" applyAlignment="1">
      <alignment horizontal="right"/>
    </xf>
    <xf numFmtId="0" fontId="4" fillId="0" borderId="0" xfId="0" applyFont="1" applyFill="1" applyAlignment="1">
      <alignment horizontal="right"/>
    </xf>
    <xf numFmtId="0" fontId="1" fillId="0" borderId="0" xfId="1" applyAlignment="1">
      <alignment horizontal="left"/>
    </xf>
    <xf numFmtId="14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2">
    <cellStyle name="Hyperlink" xfId="1" builtinId="8" customBuilti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10</xdr:row>
      <xdr:rowOff>12700</xdr:rowOff>
    </xdr:from>
    <xdr:to>
      <xdr:col>9</xdr:col>
      <xdr:colOff>114300</xdr:colOff>
      <xdr:row>64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8267700" y="1663700"/>
          <a:ext cx="0" cy="89027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228600</xdr:colOff>
      <xdr:row>1</xdr:row>
      <xdr:rowOff>12700</xdr:rowOff>
    </xdr:from>
    <xdr:to>
      <xdr:col>21</xdr:col>
      <xdr:colOff>228600</xdr:colOff>
      <xdr:row>58</xdr:row>
      <xdr:rowOff>152400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5DC75-4F2A-C04B-B2FE-F6A7256CBCA9}"/>
            </a:ext>
          </a:extLst>
        </xdr:cNvPr>
        <xdr:cNvCxnSpPr/>
      </xdr:nvCxnSpPr>
      <xdr:spPr>
        <a:xfrm>
          <a:off x="18110200" y="177800"/>
          <a:ext cx="0" cy="92202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nintendo.co.jp/ir/en/" TargetMode="External"/><Relationship Id="rId1" Type="http://schemas.openxmlformats.org/officeDocument/2006/relationships/hyperlink" Target="http://www.worldgovernmentbonds.com/country/united-state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BIDU&amp;owner=exclude&amp;action=getcompany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baidu.com/" TargetMode="External"/><Relationship Id="rId2" Type="http://schemas.openxmlformats.org/officeDocument/2006/relationships/hyperlink" Target="https://haokan.baidu.com/" TargetMode="External"/><Relationship Id="rId1" Type="http://schemas.openxmlformats.org/officeDocument/2006/relationships/hyperlink" Target="https://dueros.baidu.com/en/index.html" TargetMode="External"/><Relationship Id="rId5" Type="http://schemas.openxmlformats.org/officeDocument/2006/relationships/hyperlink" Target="http://apollo.auto/" TargetMode="External"/><Relationship Id="rId4" Type="http://schemas.openxmlformats.org/officeDocument/2006/relationships/hyperlink" Target="https://cloud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64"/>
  <sheetViews>
    <sheetView tabSelected="1" workbookViewId="0">
      <pane xSplit="1" ySplit="11" topLeftCell="B18" activePane="bottomRight" state="frozen"/>
      <selection pane="topRight" activeCell="B1" sqref="B1"/>
      <selection pane="bottomLeft" activeCell="A10" sqref="A10"/>
      <selection pane="bottomRight" activeCell="C23" sqref="C23"/>
    </sheetView>
  </sheetViews>
  <sheetFormatPr baseColWidth="10" defaultRowHeight="13" x14ac:dyDescent="0.15"/>
  <cols>
    <col min="1" max="1" width="20" style="3" bestFit="1" customWidth="1"/>
    <col min="2" max="8" width="10.83203125" style="3"/>
    <col min="9" max="9" width="11.1640625" style="3" bestFit="1" customWidth="1"/>
    <col min="10" max="16384" width="10.83203125" style="3"/>
  </cols>
  <sheetData>
    <row r="1" spans="1:24" x14ac:dyDescent="0.15">
      <c r="A1" s="59" t="s">
        <v>41</v>
      </c>
      <c r="B1" s="2" t="s">
        <v>104</v>
      </c>
    </row>
    <row r="2" spans="1:24" x14ac:dyDescent="0.15">
      <c r="B2" s="3" t="s">
        <v>0</v>
      </c>
      <c r="C2" s="4">
        <v>52.1</v>
      </c>
      <c r="D2" s="62">
        <v>43964</v>
      </c>
      <c r="E2" s="7" t="s">
        <v>37</v>
      </c>
      <c r="F2" s="8">
        <v>-0.02</v>
      </c>
      <c r="I2" s="5"/>
    </row>
    <row r="3" spans="1:24" x14ac:dyDescent="0.15">
      <c r="A3" s="2" t="s">
        <v>6</v>
      </c>
      <c r="B3" s="3" t="s">
        <v>1</v>
      </c>
      <c r="C3" s="5">
        <f>I27</f>
        <v>953</v>
      </c>
      <c r="D3" s="63" t="s">
        <v>71</v>
      </c>
      <c r="E3" s="7" t="s">
        <v>24</v>
      </c>
      <c r="F3" s="8">
        <v>0.02</v>
      </c>
      <c r="G3" s="6" t="s">
        <v>73</v>
      </c>
      <c r="I3" s="5"/>
    </row>
    <row r="4" spans="1:24" x14ac:dyDescent="0.15">
      <c r="A4" s="1"/>
      <c r="B4" s="3" t="s">
        <v>2</v>
      </c>
      <c r="C4" s="11">
        <f>C3*C2</f>
        <v>49651.3</v>
      </c>
      <c r="D4" s="63"/>
      <c r="E4" s="7" t="s">
        <v>38</v>
      </c>
      <c r="F4" s="8">
        <v>0.08</v>
      </c>
      <c r="G4" s="6" t="s">
        <v>74</v>
      </c>
      <c r="I4" s="15"/>
      <c r="L4" s="1" t="s">
        <v>75</v>
      </c>
    </row>
    <row r="5" spans="1:24" x14ac:dyDescent="0.15">
      <c r="B5" s="3" t="s">
        <v>3</v>
      </c>
      <c r="C5" s="5">
        <f>I37/C9</f>
        <v>10287.934522714733</v>
      </c>
      <c r="D5" s="63" t="s">
        <v>71</v>
      </c>
      <c r="E5" s="7" t="s">
        <v>39</v>
      </c>
      <c r="F5" s="17">
        <f>NPV(F4,J25:IR25)</f>
        <v>4886401.1288087983</v>
      </c>
      <c r="G5" s="6" t="s">
        <v>76</v>
      </c>
      <c r="I5" s="15"/>
    </row>
    <row r="6" spans="1:24" x14ac:dyDescent="0.15">
      <c r="A6" s="2" t="s">
        <v>7</v>
      </c>
      <c r="B6" s="3" t="s">
        <v>4</v>
      </c>
      <c r="C6" s="11">
        <f>C4-C5</f>
        <v>39363.365477285268</v>
      </c>
      <c r="D6" s="63"/>
      <c r="E6" s="9" t="s">
        <v>40</v>
      </c>
      <c r="F6" s="18">
        <f>F5/C9+C5</f>
        <v>55224.490792797485</v>
      </c>
      <c r="I6" s="15"/>
    </row>
    <row r="7" spans="1:24" x14ac:dyDescent="0.15">
      <c r="A7" s="1"/>
      <c r="B7" s="6" t="s">
        <v>5</v>
      </c>
      <c r="C7" s="12">
        <f>C6/C3</f>
        <v>41.304685705440995</v>
      </c>
      <c r="D7" s="63"/>
      <c r="E7" s="10" t="s">
        <v>5</v>
      </c>
      <c r="F7" s="19">
        <f>F6/C3</f>
        <v>57.94804910052202</v>
      </c>
      <c r="G7" s="15">
        <f>F7/C2-1</f>
        <v>0.1122466238104034</v>
      </c>
    </row>
    <row r="8" spans="1:24" x14ac:dyDescent="0.15">
      <c r="A8" s="1"/>
    </row>
    <row r="9" spans="1:24" x14ac:dyDescent="0.15">
      <c r="A9" s="1"/>
      <c r="B9" s="2" t="s">
        <v>105</v>
      </c>
      <c r="C9" s="4">
        <f>I57</f>
        <v>108.74</v>
      </c>
    </row>
    <row r="10" spans="1:24" x14ac:dyDescent="0.15">
      <c r="A10" s="1"/>
    </row>
    <row r="11" spans="1:24" x14ac:dyDescent="0.15">
      <c r="B11" s="22">
        <v>2012</v>
      </c>
      <c r="C11" s="22">
        <v>2013</v>
      </c>
      <c r="D11" s="22">
        <v>2014</v>
      </c>
      <c r="E11" s="22">
        <v>2015</v>
      </c>
      <c r="F11" s="22">
        <v>2016</v>
      </c>
      <c r="G11" s="22">
        <v>2017</v>
      </c>
      <c r="H11" s="22">
        <v>2018</v>
      </c>
      <c r="I11" s="22">
        <v>2019</v>
      </c>
      <c r="J11" s="22">
        <v>2020</v>
      </c>
      <c r="K11" s="22">
        <v>2021</v>
      </c>
      <c r="L11" s="22">
        <v>2022</v>
      </c>
      <c r="M11" s="22">
        <f>L11+1</f>
        <v>2023</v>
      </c>
      <c r="N11" s="22">
        <f t="shared" ref="N11:S11" si="0">M11+1</f>
        <v>2024</v>
      </c>
      <c r="O11" s="22">
        <f t="shared" si="0"/>
        <v>2025</v>
      </c>
      <c r="P11" s="22">
        <f t="shared" si="0"/>
        <v>2026</v>
      </c>
      <c r="Q11" s="22">
        <f t="shared" si="0"/>
        <v>2027</v>
      </c>
      <c r="R11" s="22">
        <f t="shared" si="0"/>
        <v>2028</v>
      </c>
      <c r="S11" s="22">
        <f t="shared" si="0"/>
        <v>2029</v>
      </c>
      <c r="T11" s="22">
        <f t="shared" ref="T11" si="1">S11+1</f>
        <v>2030</v>
      </c>
      <c r="U11" s="22">
        <f t="shared" ref="U11" si="2">T11+1</f>
        <v>2031</v>
      </c>
      <c r="V11" s="22">
        <f t="shared" ref="V11" si="3">U11+1</f>
        <v>2032</v>
      </c>
      <c r="W11" s="22">
        <f t="shared" ref="W11" si="4">V11+1</f>
        <v>2033</v>
      </c>
      <c r="X11" s="22">
        <f t="shared" ref="X11" si="5">W11+1</f>
        <v>2034</v>
      </c>
    </row>
    <row r="12" spans="1:24" s="5" customFormat="1" x14ac:dyDescent="0.15">
      <c r="A12" s="5" t="s">
        <v>107</v>
      </c>
      <c r="B12" s="26"/>
      <c r="C12" s="26"/>
      <c r="D12" s="26"/>
      <c r="E12" s="26"/>
      <c r="F12" s="26">
        <v>463131</v>
      </c>
      <c r="G12" s="26">
        <v>1014631</v>
      </c>
      <c r="H12" s="26">
        <v>1152602</v>
      </c>
      <c r="I12" s="26">
        <v>1254162</v>
      </c>
      <c r="J12" s="26">
        <f>I12*1.05</f>
        <v>1316870.1000000001</v>
      </c>
      <c r="K12" s="26">
        <f t="shared" ref="K12:N12" si="6">J12*1.05</f>
        <v>1382713.6050000002</v>
      </c>
      <c r="L12" s="26">
        <f t="shared" si="6"/>
        <v>1451849.2852500002</v>
      </c>
      <c r="M12" s="26">
        <f t="shared" si="6"/>
        <v>1524441.7495125004</v>
      </c>
      <c r="N12" s="26">
        <f t="shared" si="6"/>
        <v>1600663.8369881255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</row>
    <row r="13" spans="1:24" s="5" customFormat="1" x14ac:dyDescent="0.15">
      <c r="A13" s="5" t="s">
        <v>108</v>
      </c>
      <c r="B13" s="26"/>
      <c r="C13" s="26"/>
      <c r="D13" s="26"/>
      <c r="E13" s="26"/>
      <c r="F13" s="26">
        <v>24250</v>
      </c>
      <c r="G13" s="26">
        <v>39320</v>
      </c>
      <c r="H13" s="49">
        <v>46008</v>
      </c>
      <c r="I13" s="26">
        <v>51295</v>
      </c>
      <c r="J13" s="26">
        <f>I13*1.1</f>
        <v>56424.500000000007</v>
      </c>
      <c r="K13" s="26">
        <f t="shared" ref="K13:N13" si="7">J13*1.1</f>
        <v>62066.950000000012</v>
      </c>
      <c r="L13" s="26">
        <f t="shared" si="7"/>
        <v>68273.645000000019</v>
      </c>
      <c r="M13" s="26">
        <f t="shared" si="7"/>
        <v>75101.009500000029</v>
      </c>
      <c r="N13" s="26">
        <f t="shared" si="7"/>
        <v>82611.110450000037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</row>
    <row r="14" spans="1:24" s="5" customFormat="1" x14ac:dyDescent="0.15">
      <c r="A14" s="5" t="s">
        <v>11</v>
      </c>
      <c r="B14" s="26"/>
      <c r="C14" s="26"/>
      <c r="D14" s="26"/>
      <c r="E14" s="26"/>
      <c r="F14" s="26">
        <v>1714</v>
      </c>
      <c r="G14" s="26">
        <v>1729</v>
      </c>
      <c r="H14" s="49">
        <v>1949</v>
      </c>
      <c r="I14" s="26">
        <v>3062</v>
      </c>
      <c r="J14" s="26">
        <f>I14*1.45</f>
        <v>4439.8999999999996</v>
      </c>
      <c r="K14" s="26">
        <f t="shared" ref="K14:N14" si="8">J14*1.45</f>
        <v>6437.8549999999996</v>
      </c>
      <c r="L14" s="26">
        <f t="shared" si="8"/>
        <v>9334.8897499999985</v>
      </c>
      <c r="M14" s="26">
        <f t="shared" si="8"/>
        <v>13535.590137499998</v>
      </c>
      <c r="N14" s="26">
        <f t="shared" si="8"/>
        <v>19626.605699374995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</row>
    <row r="15" spans="1:24" x14ac:dyDescent="0.15">
      <c r="B15" s="26"/>
      <c r="C15" s="26"/>
      <c r="D15" s="26"/>
      <c r="E15" s="26"/>
      <c r="F15" s="26"/>
      <c r="G15" s="26"/>
      <c r="H15" s="50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s="2" customFormat="1" x14ac:dyDescent="0.15">
      <c r="A16" s="2" t="s">
        <v>8</v>
      </c>
      <c r="B16" s="26"/>
      <c r="C16" s="26"/>
      <c r="D16" s="26"/>
      <c r="E16" s="26"/>
      <c r="F16" s="29">
        <f>SUM(F12:F14)</f>
        <v>489095</v>
      </c>
      <c r="G16" s="29">
        <f>SUM(G12:G14)</f>
        <v>1055680</v>
      </c>
      <c r="H16" s="29">
        <f>SUM(H12:H14)</f>
        <v>1200559</v>
      </c>
      <c r="I16" s="29">
        <f>SUM(I12:I14)</f>
        <v>1308519</v>
      </c>
      <c r="J16" s="51">
        <f>SUM(J12:J14)</f>
        <v>1377734.5</v>
      </c>
      <c r="K16" s="51">
        <f t="shared" ref="K16:N16" si="9">SUM(K12:K14)</f>
        <v>1451218.4100000001</v>
      </c>
      <c r="L16" s="51">
        <f t="shared" si="9"/>
        <v>1529457.8200000003</v>
      </c>
      <c r="M16" s="51">
        <f t="shared" si="9"/>
        <v>1613078.3491500004</v>
      </c>
      <c r="N16" s="51">
        <f t="shared" si="9"/>
        <v>1702901.5531375005</v>
      </c>
      <c r="O16" s="51">
        <f>N16*1.01</f>
        <v>1719930.5686688756</v>
      </c>
      <c r="P16" s="51">
        <f t="shared" ref="P16:X16" si="10">O16*1.01</f>
        <v>1737129.8743555644</v>
      </c>
      <c r="Q16" s="51">
        <f t="shared" si="10"/>
        <v>1754501.1730991199</v>
      </c>
      <c r="R16" s="51">
        <f t="shared" si="10"/>
        <v>1772046.1848301112</v>
      </c>
      <c r="S16" s="51">
        <f t="shared" si="10"/>
        <v>1789766.6466784123</v>
      </c>
      <c r="T16" s="51">
        <f t="shared" si="10"/>
        <v>1807664.3131451965</v>
      </c>
      <c r="U16" s="51">
        <f t="shared" si="10"/>
        <v>1825740.9562766484</v>
      </c>
      <c r="V16" s="51">
        <f t="shared" si="10"/>
        <v>1843998.365839415</v>
      </c>
      <c r="W16" s="51">
        <f t="shared" si="10"/>
        <v>1862438.3494978091</v>
      </c>
      <c r="X16" s="51">
        <f t="shared" si="10"/>
        <v>1881062.7329927871</v>
      </c>
    </row>
    <row r="17" spans="1:252" s="2" customFormat="1" x14ac:dyDescent="0.15">
      <c r="A17" s="3" t="s">
        <v>12</v>
      </c>
      <c r="B17" s="26"/>
      <c r="C17" s="26"/>
      <c r="D17" s="26"/>
      <c r="E17" s="26"/>
      <c r="F17" s="26">
        <v>290197</v>
      </c>
      <c r="G17" s="26">
        <v>652141</v>
      </c>
      <c r="H17" s="49">
        <v>699370</v>
      </c>
      <c r="I17" s="26">
        <v>666817</v>
      </c>
      <c r="J17" s="49">
        <f>J16-J18</f>
        <v>702088.99227791117</v>
      </c>
      <c r="K17" s="49">
        <f t="shared" ref="K17:S17" si="11">K16-K18</f>
        <v>739536.15232256474</v>
      </c>
      <c r="L17" s="49">
        <f t="shared" si="11"/>
        <v>779406.69960385759</v>
      </c>
      <c r="M17" s="49">
        <f t="shared" si="11"/>
        <v>822019.44759316125</v>
      </c>
      <c r="N17" s="49">
        <f t="shared" si="11"/>
        <v>867793.05838011415</v>
      </c>
      <c r="O17" s="49">
        <f t="shared" si="11"/>
        <v>876470.98896391538</v>
      </c>
      <c r="P17" s="49">
        <f t="shared" si="11"/>
        <v>885235.69885355455</v>
      </c>
      <c r="Q17" s="49">
        <f t="shared" si="11"/>
        <v>894088.05584209005</v>
      </c>
      <c r="R17" s="49">
        <f t="shared" si="11"/>
        <v>903028.93640051095</v>
      </c>
      <c r="S17" s="49">
        <f t="shared" si="11"/>
        <v>912059.22576451604</v>
      </c>
      <c r="T17" s="49">
        <f t="shared" ref="T17:X17" si="12">T16-T18</f>
        <v>921179.81802216126</v>
      </c>
      <c r="U17" s="49">
        <f t="shared" si="12"/>
        <v>930391.61620238284</v>
      </c>
      <c r="V17" s="49">
        <f t="shared" si="12"/>
        <v>939695.53236440674</v>
      </c>
      <c r="W17" s="49">
        <f t="shared" si="12"/>
        <v>949092.48768805072</v>
      </c>
      <c r="X17" s="49">
        <f t="shared" si="12"/>
        <v>958583.4125649312</v>
      </c>
    </row>
    <row r="18" spans="1:252" s="2" customFormat="1" x14ac:dyDescent="0.15">
      <c r="A18" s="3" t="s">
        <v>13</v>
      </c>
      <c r="B18" s="26"/>
      <c r="C18" s="26"/>
      <c r="D18" s="26"/>
      <c r="E18" s="26"/>
      <c r="F18" s="30">
        <f t="shared" ref="F18:I18" si="13">F16-F17</f>
        <v>198898</v>
      </c>
      <c r="G18" s="30">
        <f t="shared" si="13"/>
        <v>403539</v>
      </c>
      <c r="H18" s="30">
        <f t="shared" si="13"/>
        <v>501189</v>
      </c>
      <c r="I18" s="30">
        <f t="shared" si="13"/>
        <v>641702</v>
      </c>
      <c r="J18" s="49">
        <f>J16*I33</f>
        <v>675645.50772208883</v>
      </c>
      <c r="K18" s="49">
        <f>K16*J33</f>
        <v>711682.25767743541</v>
      </c>
      <c r="L18" s="49">
        <f>L16*K33</f>
        <v>750051.12039614271</v>
      </c>
      <c r="M18" s="49">
        <f>M16*L33</f>
        <v>791058.90155683912</v>
      </c>
      <c r="N18" s="49">
        <f>N16*M33</f>
        <v>835108.49475738639</v>
      </c>
      <c r="O18" s="49">
        <f>O16*N33</f>
        <v>843459.57970496023</v>
      </c>
      <c r="P18" s="49">
        <f>P16*O33</f>
        <v>851894.17550200981</v>
      </c>
      <c r="Q18" s="49">
        <f>Q16*P33</f>
        <v>860413.11725702987</v>
      </c>
      <c r="R18" s="49">
        <f>R16*Q33</f>
        <v>869017.24842960027</v>
      </c>
      <c r="S18" s="49">
        <f>S16*R33</f>
        <v>877707.42091389629</v>
      </c>
      <c r="T18" s="49">
        <f>T16*S33</f>
        <v>886484.49512303527</v>
      </c>
      <c r="U18" s="49">
        <f>U16*T33</f>
        <v>895349.34007426561</v>
      </c>
      <c r="V18" s="49">
        <f>V16*U33</f>
        <v>904302.83347500826</v>
      </c>
      <c r="W18" s="49">
        <f>W16*V33</f>
        <v>913345.86180975835</v>
      </c>
      <c r="X18" s="49">
        <f>X16*W33</f>
        <v>922479.32042785594</v>
      </c>
    </row>
    <row r="19" spans="1:252" s="2" customFormat="1" x14ac:dyDescent="0.15">
      <c r="A19" s="3" t="s">
        <v>35</v>
      </c>
      <c r="B19" s="26"/>
      <c r="C19" s="26"/>
      <c r="D19" s="26"/>
      <c r="E19" s="26"/>
      <c r="F19" s="26">
        <v>169535</v>
      </c>
      <c r="G19" s="26">
        <v>225983</v>
      </c>
      <c r="H19" s="49">
        <v>251488</v>
      </c>
      <c r="I19" s="26">
        <v>289331</v>
      </c>
      <c r="J19" s="49">
        <f>I19*1.05</f>
        <v>303797.55</v>
      </c>
      <c r="K19" s="49">
        <f t="shared" ref="K19:N19" si="14">J19*1.05</f>
        <v>318987.42749999999</v>
      </c>
      <c r="L19" s="49">
        <f t="shared" si="14"/>
        <v>334936.79887499998</v>
      </c>
      <c r="M19" s="49">
        <f t="shared" si="14"/>
        <v>351683.63881874998</v>
      </c>
      <c r="N19" s="49">
        <f t="shared" si="14"/>
        <v>369267.82075968751</v>
      </c>
      <c r="O19" s="49">
        <f t="shared" ref="O19" si="15">N19*0.98</f>
        <v>361882.46434449375</v>
      </c>
      <c r="P19" s="49">
        <f t="shared" ref="P19" si="16">O19*0.98</f>
        <v>354644.81505760388</v>
      </c>
      <c r="Q19" s="49">
        <f t="shared" ref="Q19" si="17">P19*0.98</f>
        <v>347551.91875645181</v>
      </c>
      <c r="R19" s="49">
        <f t="shared" ref="R19" si="18">Q19*0.98</f>
        <v>340600.88038132276</v>
      </c>
      <c r="S19" s="49">
        <f t="shared" ref="S19" si="19">R19*0.98</f>
        <v>333788.86277369631</v>
      </c>
      <c r="T19" s="49">
        <f t="shared" ref="T19" si="20">S19*0.98</f>
        <v>327113.08551822236</v>
      </c>
      <c r="U19" s="49">
        <f t="shared" ref="U19" si="21">T19*0.98</f>
        <v>320570.82380785793</v>
      </c>
      <c r="V19" s="49">
        <f t="shared" ref="V19" si="22">U19*0.98</f>
        <v>314159.40733170079</v>
      </c>
      <c r="W19" s="49">
        <f t="shared" ref="W19" si="23">V19*0.98</f>
        <v>307876.21918506676</v>
      </c>
      <c r="X19" s="49">
        <f t="shared" ref="X19" si="24">W19*0.98</f>
        <v>301718.69480136543</v>
      </c>
    </row>
    <row r="20" spans="1:252" s="2" customFormat="1" x14ac:dyDescent="0.15">
      <c r="A20" s="3" t="s">
        <v>14</v>
      </c>
      <c r="B20" s="26"/>
      <c r="C20" s="26"/>
      <c r="D20" s="26"/>
      <c r="E20" s="26"/>
      <c r="F20" s="30">
        <f>SUM(F19:F19)</f>
        <v>169535</v>
      </c>
      <c r="G20" s="30">
        <f>SUM(G19:G19)</f>
        <v>225983</v>
      </c>
      <c r="H20" s="30">
        <f>SUM(H19:H19)</f>
        <v>251488</v>
      </c>
      <c r="I20" s="30">
        <f>SUM(I19:I19)</f>
        <v>289331</v>
      </c>
      <c r="J20" s="49">
        <f>SUM(J19:J19)</f>
        <v>303797.55</v>
      </c>
      <c r="K20" s="49">
        <f>SUM(K19:K19)</f>
        <v>318987.42749999999</v>
      </c>
      <c r="L20" s="49">
        <f>SUM(L19:L19)</f>
        <v>334936.79887499998</v>
      </c>
      <c r="M20" s="49">
        <f>SUM(M19:M19)</f>
        <v>351683.63881874998</v>
      </c>
      <c r="N20" s="49">
        <f>SUM(N19:N19)</f>
        <v>369267.82075968751</v>
      </c>
      <c r="O20" s="49">
        <f>SUM(O19:O19)</f>
        <v>361882.46434449375</v>
      </c>
      <c r="P20" s="49">
        <f>SUM(P19:P19)</f>
        <v>354644.81505760388</v>
      </c>
      <c r="Q20" s="49">
        <f>SUM(Q19:Q19)</f>
        <v>347551.91875645181</v>
      </c>
      <c r="R20" s="49">
        <f>SUM(R19:R19)</f>
        <v>340600.88038132276</v>
      </c>
      <c r="S20" s="49">
        <f>SUM(S19:S19)</f>
        <v>333788.86277369631</v>
      </c>
      <c r="T20" s="49">
        <f>SUM(T19:T19)</f>
        <v>327113.08551822236</v>
      </c>
      <c r="U20" s="49">
        <f>SUM(U19:U19)</f>
        <v>320570.82380785793</v>
      </c>
      <c r="V20" s="49">
        <f>SUM(V19:V19)</f>
        <v>314159.40733170079</v>
      </c>
      <c r="W20" s="49">
        <f>SUM(W19:W19)</f>
        <v>307876.21918506676</v>
      </c>
      <c r="X20" s="49">
        <f>SUM(X19:X19)</f>
        <v>301718.69480136543</v>
      </c>
    </row>
    <row r="21" spans="1:252" s="2" customFormat="1" x14ac:dyDescent="0.15">
      <c r="A21" s="3" t="s">
        <v>15</v>
      </c>
      <c r="B21" s="26"/>
      <c r="C21" s="26"/>
      <c r="D21" s="26"/>
      <c r="E21" s="26"/>
      <c r="F21" s="30">
        <f>F18-F20</f>
        <v>29363</v>
      </c>
      <c r="G21" s="30">
        <f>G18-G20</f>
        <v>177556</v>
      </c>
      <c r="H21" s="30">
        <f>H18-H20</f>
        <v>249701</v>
      </c>
      <c r="I21" s="30">
        <f>I18-I20</f>
        <v>352371</v>
      </c>
      <c r="J21" s="49">
        <f>J18-J20</f>
        <v>371847.95772208885</v>
      </c>
      <c r="K21" s="49">
        <f>K18-K20</f>
        <v>392694.83017743542</v>
      </c>
      <c r="L21" s="49">
        <f>L18-L20</f>
        <v>415114.32152114273</v>
      </c>
      <c r="M21" s="49">
        <f>M18-M20</f>
        <v>439375.26273808914</v>
      </c>
      <c r="N21" s="49">
        <f>N18-N20</f>
        <v>465840.67399769888</v>
      </c>
      <c r="O21" s="49">
        <f>O18-O20</f>
        <v>481577.11536046647</v>
      </c>
      <c r="P21" s="49">
        <f>P18-P20</f>
        <v>497249.36044440593</v>
      </c>
      <c r="Q21" s="49">
        <f>Q18-Q20</f>
        <v>512861.19850057806</v>
      </c>
      <c r="R21" s="49">
        <f>R18-R20</f>
        <v>528416.36804827745</v>
      </c>
      <c r="S21" s="49">
        <f>S18-S20</f>
        <v>543918.55814019998</v>
      </c>
      <c r="T21" s="49">
        <f>T18-T20</f>
        <v>559371.40960481297</v>
      </c>
      <c r="U21" s="49">
        <f>U18-U20</f>
        <v>574778.51626640768</v>
      </c>
      <c r="V21" s="49">
        <f>V18-V20</f>
        <v>590143.42614330747</v>
      </c>
      <c r="W21" s="49">
        <f>W18-W20</f>
        <v>605469.64262469159</v>
      </c>
      <c r="X21" s="49">
        <f>X18-X20</f>
        <v>620760.62562649045</v>
      </c>
    </row>
    <row r="22" spans="1:252" s="2" customFormat="1" x14ac:dyDescent="0.15">
      <c r="A22" s="3" t="s">
        <v>16</v>
      </c>
      <c r="B22" s="26"/>
      <c r="C22" s="26"/>
      <c r="D22" s="26"/>
      <c r="E22" s="26"/>
      <c r="F22" s="26">
        <f>28593-7591+64775-409</f>
        <v>85368</v>
      </c>
      <c r="G22" s="26">
        <f>23509-1710+3240-1507</f>
        <v>23532</v>
      </c>
      <c r="H22" s="49">
        <f>28315-662+1-5584</f>
        <v>22070</v>
      </c>
      <c r="I22" s="26">
        <f>25582-17490+1041-229</f>
        <v>8904</v>
      </c>
      <c r="J22" s="49">
        <f t="shared" ref="J22:X22" si="25">I37*$F$3</f>
        <v>22374.2</v>
      </c>
      <c r="K22" s="49">
        <f t="shared" si="25"/>
        <v>27893.310208109244</v>
      </c>
      <c r="L22" s="49">
        <f t="shared" si="25"/>
        <v>33781.544173506874</v>
      </c>
      <c r="M22" s="49">
        <f t="shared" si="25"/>
        <v>40066.086293231965</v>
      </c>
      <c r="N22" s="49">
        <f t="shared" si="25"/>
        <v>46778.265179670467</v>
      </c>
      <c r="O22" s="49">
        <f t="shared" si="25"/>
        <v>53954.930328153634</v>
      </c>
      <c r="P22" s="49">
        <f t="shared" si="25"/>
        <v>61452.378967794313</v>
      </c>
      <c r="Q22" s="49">
        <f t="shared" si="25"/>
        <v>69274.203319565117</v>
      </c>
      <c r="R22" s="49">
        <f t="shared" si="25"/>
        <v>77424.098945047124</v>
      </c>
      <c r="S22" s="49">
        <f t="shared" si="25"/>
        <v>85905.865482953654</v>
      </c>
      <c r="T22" s="49">
        <f t="shared" si="25"/>
        <v>94723.407413677793</v>
      </c>
      <c r="U22" s="49">
        <f t="shared" si="25"/>
        <v>103880.73485193666</v>
      </c>
      <c r="V22" s="49">
        <f t="shared" si="25"/>
        <v>113381.96436759349</v>
      </c>
      <c r="W22" s="49">
        <f t="shared" si="25"/>
        <v>123231.3198347461</v>
      </c>
      <c r="X22" s="49">
        <f t="shared" si="25"/>
        <v>133433.13330917823</v>
      </c>
    </row>
    <row r="23" spans="1:252" s="2" customFormat="1" x14ac:dyDescent="0.15">
      <c r="A23" s="3" t="s">
        <v>17</v>
      </c>
      <c r="B23" s="26"/>
      <c r="C23" s="26"/>
      <c r="D23" s="26"/>
      <c r="E23" s="26"/>
      <c r="F23" s="30">
        <f t="shared" ref="F23:I23" si="26">F21+F22</f>
        <v>114731</v>
      </c>
      <c r="G23" s="30">
        <f t="shared" si="26"/>
        <v>201088</v>
      </c>
      <c r="H23" s="30">
        <f t="shared" si="26"/>
        <v>271771</v>
      </c>
      <c r="I23" s="30">
        <f t="shared" si="26"/>
        <v>361275</v>
      </c>
      <c r="J23" s="49">
        <f t="shared" ref="J23:S23" si="27">J21+J22</f>
        <v>394222.15772208886</v>
      </c>
      <c r="K23" s="49">
        <f t="shared" si="27"/>
        <v>420588.14038554468</v>
      </c>
      <c r="L23" s="49">
        <f t="shared" si="27"/>
        <v>448895.86569464963</v>
      </c>
      <c r="M23" s="49">
        <f t="shared" si="27"/>
        <v>479441.34903132112</v>
      </c>
      <c r="N23" s="49">
        <f t="shared" si="27"/>
        <v>512618.93917736935</v>
      </c>
      <c r="O23" s="49">
        <f t="shared" si="27"/>
        <v>535532.04568862007</v>
      </c>
      <c r="P23" s="49">
        <f t="shared" si="27"/>
        <v>558701.73941220029</v>
      </c>
      <c r="Q23" s="49">
        <f t="shared" si="27"/>
        <v>582135.40182014322</v>
      </c>
      <c r="R23" s="49">
        <f t="shared" si="27"/>
        <v>605840.46699332458</v>
      </c>
      <c r="S23" s="49">
        <f t="shared" si="27"/>
        <v>629824.42362315359</v>
      </c>
      <c r="T23" s="49">
        <f t="shared" ref="T23:X23" si="28">T21+T22</f>
        <v>654094.81701849075</v>
      </c>
      <c r="U23" s="49">
        <f t="shared" si="28"/>
        <v>678659.25111834437</v>
      </c>
      <c r="V23" s="49">
        <f t="shared" si="28"/>
        <v>703525.39051090099</v>
      </c>
      <c r="W23" s="49">
        <f t="shared" si="28"/>
        <v>728700.96245943767</v>
      </c>
      <c r="X23" s="49">
        <f t="shared" si="28"/>
        <v>754193.75893566874</v>
      </c>
    </row>
    <row r="24" spans="1:252" s="2" customFormat="1" x14ac:dyDescent="0.15">
      <c r="A24" s="3" t="s">
        <v>18</v>
      </c>
      <c r="B24" s="26"/>
      <c r="C24" s="26"/>
      <c r="D24" s="26"/>
      <c r="E24" s="26"/>
      <c r="F24" s="26">
        <v>12147</v>
      </c>
      <c r="G24" s="26">
        <v>60144</v>
      </c>
      <c r="H24" s="49">
        <v>77204</v>
      </c>
      <c r="I24" s="26">
        <v>102589</v>
      </c>
      <c r="J24" s="49">
        <f>J23*0.3</f>
        <v>118266.64731662665</v>
      </c>
      <c r="K24" s="49">
        <f t="shared" ref="K24:X24" si="29">K23*0.3</f>
        <v>126176.44211566341</v>
      </c>
      <c r="L24" s="49">
        <f t="shared" si="29"/>
        <v>134668.75970839488</v>
      </c>
      <c r="M24" s="49">
        <f t="shared" si="29"/>
        <v>143832.40470939633</v>
      </c>
      <c r="N24" s="49">
        <f t="shared" si="29"/>
        <v>153785.68175321081</v>
      </c>
      <c r="O24" s="49">
        <f t="shared" si="29"/>
        <v>160659.61370658601</v>
      </c>
      <c r="P24" s="49">
        <f t="shared" si="29"/>
        <v>167610.52182366009</v>
      </c>
      <c r="Q24" s="49">
        <f t="shared" si="29"/>
        <v>174640.62054604295</v>
      </c>
      <c r="R24" s="49">
        <f t="shared" si="29"/>
        <v>181752.14009799736</v>
      </c>
      <c r="S24" s="49">
        <f t="shared" si="29"/>
        <v>188947.32708694608</v>
      </c>
      <c r="T24" s="49">
        <f t="shared" si="29"/>
        <v>196228.44510554723</v>
      </c>
      <c r="U24" s="49">
        <f t="shared" si="29"/>
        <v>203597.77533550331</v>
      </c>
      <c r="V24" s="49">
        <f t="shared" si="29"/>
        <v>211057.61715327029</v>
      </c>
      <c r="W24" s="49">
        <f t="shared" si="29"/>
        <v>218610.28873783129</v>
      </c>
      <c r="X24" s="49">
        <f t="shared" si="29"/>
        <v>226258.12768070062</v>
      </c>
    </row>
    <row r="25" spans="1:252" s="2" customFormat="1" x14ac:dyDescent="0.15">
      <c r="A25" s="2" t="s">
        <v>53</v>
      </c>
      <c r="B25" s="26"/>
      <c r="C25" s="26"/>
      <c r="D25" s="26"/>
      <c r="E25" s="26"/>
      <c r="F25" s="29">
        <f t="shared" ref="F25" si="30">F23-F24</f>
        <v>102584</v>
      </c>
      <c r="G25" s="29">
        <f t="shared" ref="G25:J25" si="31">G23-G24</f>
        <v>140944</v>
      </c>
      <c r="H25" s="29">
        <f t="shared" si="31"/>
        <v>194567</v>
      </c>
      <c r="I25" s="29">
        <f t="shared" si="31"/>
        <v>258686</v>
      </c>
      <c r="J25" s="29">
        <f t="shared" si="31"/>
        <v>275955.51040546224</v>
      </c>
      <c r="K25" s="29">
        <f t="shared" ref="K25:S25" si="32">K23-K24</f>
        <v>294411.69826988131</v>
      </c>
      <c r="L25" s="29">
        <f t="shared" si="32"/>
        <v>314227.10598625476</v>
      </c>
      <c r="M25" s="29">
        <f t="shared" si="32"/>
        <v>335608.94432192482</v>
      </c>
      <c r="N25" s="29">
        <f t="shared" si="32"/>
        <v>358833.25742415851</v>
      </c>
      <c r="O25" s="29">
        <f t="shared" si="32"/>
        <v>374872.43198203406</v>
      </c>
      <c r="P25" s="29">
        <f t="shared" si="32"/>
        <v>391091.21758854017</v>
      </c>
      <c r="Q25" s="29">
        <f t="shared" si="32"/>
        <v>407494.7812741003</v>
      </c>
      <c r="R25" s="29">
        <f t="shared" si="32"/>
        <v>424088.32689532719</v>
      </c>
      <c r="S25" s="29">
        <f t="shared" si="32"/>
        <v>440877.09653620748</v>
      </c>
      <c r="T25" s="29">
        <f t="shared" ref="T25:X25" si="33">T23-T24</f>
        <v>457866.37191294355</v>
      </c>
      <c r="U25" s="29">
        <f t="shared" si="33"/>
        <v>475061.47578284109</v>
      </c>
      <c r="V25" s="29">
        <f t="shared" si="33"/>
        <v>492467.77335763071</v>
      </c>
      <c r="W25" s="29">
        <f t="shared" si="33"/>
        <v>510090.67372160638</v>
      </c>
      <c r="X25" s="29">
        <f t="shared" si="33"/>
        <v>527935.63125496812</v>
      </c>
      <c r="Y25" s="16">
        <f t="shared" ref="Y25:CJ25" si="34">X25*($F$2+1)</f>
        <v>517376.91862986877</v>
      </c>
      <c r="Z25" s="16">
        <f t="shared" si="34"/>
        <v>507029.3802572714</v>
      </c>
      <c r="AA25" s="16">
        <f t="shared" si="34"/>
        <v>496888.79265212599</v>
      </c>
      <c r="AB25" s="16">
        <f t="shared" si="34"/>
        <v>486951.01679908345</v>
      </c>
      <c r="AC25" s="16">
        <f t="shared" si="34"/>
        <v>477211.99646310176</v>
      </c>
      <c r="AD25" s="16">
        <f t="shared" si="34"/>
        <v>467667.75653383974</v>
      </c>
      <c r="AE25" s="16">
        <f t="shared" si="34"/>
        <v>458314.40140316292</v>
      </c>
      <c r="AF25" s="16">
        <f t="shared" si="34"/>
        <v>449148.11337509967</v>
      </c>
      <c r="AG25" s="16">
        <f t="shared" si="34"/>
        <v>440165.15110759769</v>
      </c>
      <c r="AH25" s="16">
        <f t="shared" si="34"/>
        <v>431361.8480854457</v>
      </c>
      <c r="AI25" s="16">
        <f t="shared" si="34"/>
        <v>422734.61112373677</v>
      </c>
      <c r="AJ25" s="16">
        <f t="shared" si="34"/>
        <v>414279.91890126205</v>
      </c>
      <c r="AK25" s="16">
        <f t="shared" si="34"/>
        <v>405994.32052323682</v>
      </c>
      <c r="AL25" s="16">
        <f t="shared" si="34"/>
        <v>397874.43411277205</v>
      </c>
      <c r="AM25" s="16">
        <f t="shared" si="34"/>
        <v>389916.94543051661</v>
      </c>
      <c r="AN25" s="16">
        <f t="shared" si="34"/>
        <v>382118.60652190627</v>
      </c>
      <c r="AO25" s="16">
        <f t="shared" si="34"/>
        <v>374476.23439146817</v>
      </c>
      <c r="AP25" s="16">
        <f t="shared" si="34"/>
        <v>366986.7097036388</v>
      </c>
      <c r="AQ25" s="16">
        <f t="shared" si="34"/>
        <v>359646.97550956602</v>
      </c>
      <c r="AR25" s="16">
        <f t="shared" si="34"/>
        <v>352454.0359993747</v>
      </c>
      <c r="AS25" s="16">
        <f t="shared" si="34"/>
        <v>345404.95527938718</v>
      </c>
      <c r="AT25" s="16">
        <f t="shared" si="34"/>
        <v>338496.85617379943</v>
      </c>
      <c r="AU25" s="16">
        <f t="shared" si="34"/>
        <v>331726.91905032343</v>
      </c>
      <c r="AV25" s="16">
        <f t="shared" si="34"/>
        <v>325092.38066931698</v>
      </c>
      <c r="AW25" s="16">
        <f t="shared" si="34"/>
        <v>318590.53305593063</v>
      </c>
      <c r="AX25" s="16">
        <f t="shared" si="34"/>
        <v>312218.72239481204</v>
      </c>
      <c r="AY25" s="16">
        <f t="shared" si="34"/>
        <v>305974.34794691578</v>
      </c>
      <c r="AZ25" s="16">
        <f t="shared" si="34"/>
        <v>299854.86098797747</v>
      </c>
      <c r="BA25" s="16">
        <f t="shared" si="34"/>
        <v>293857.76376821793</v>
      </c>
      <c r="BB25" s="16">
        <f t="shared" si="34"/>
        <v>287980.60849285359</v>
      </c>
      <c r="BC25" s="16">
        <f t="shared" si="34"/>
        <v>282220.99632299651</v>
      </c>
      <c r="BD25" s="16">
        <f t="shared" si="34"/>
        <v>276576.57639653655</v>
      </c>
      <c r="BE25" s="16">
        <f t="shared" si="34"/>
        <v>271045.04486860579</v>
      </c>
      <c r="BF25" s="16">
        <f t="shared" si="34"/>
        <v>265624.14397123369</v>
      </c>
      <c r="BG25" s="16">
        <f t="shared" si="34"/>
        <v>260311.66109180902</v>
      </c>
      <c r="BH25" s="16">
        <f t="shared" si="34"/>
        <v>255105.42786997283</v>
      </c>
      <c r="BI25" s="16">
        <f t="shared" si="34"/>
        <v>250003.31931257338</v>
      </c>
      <c r="BJ25" s="16">
        <f t="shared" si="34"/>
        <v>245003.2529263219</v>
      </c>
      <c r="BK25" s="16">
        <f t="shared" si="34"/>
        <v>240103.18786779547</v>
      </c>
      <c r="BL25" s="16">
        <f t="shared" si="34"/>
        <v>235301.12411043956</v>
      </c>
      <c r="BM25" s="16">
        <f t="shared" si="34"/>
        <v>230595.10162823077</v>
      </c>
      <c r="BN25" s="16">
        <f t="shared" si="34"/>
        <v>225983.19959566614</v>
      </c>
      <c r="BO25" s="16">
        <f t="shared" si="34"/>
        <v>221463.53560375283</v>
      </c>
      <c r="BP25" s="16">
        <f t="shared" si="34"/>
        <v>217034.26489167777</v>
      </c>
      <c r="BQ25" s="16">
        <f t="shared" si="34"/>
        <v>212693.57959384422</v>
      </c>
      <c r="BR25" s="16">
        <f t="shared" si="34"/>
        <v>208439.70800196732</v>
      </c>
      <c r="BS25" s="16">
        <f t="shared" si="34"/>
        <v>204270.91384192798</v>
      </c>
      <c r="BT25" s="16">
        <f t="shared" si="34"/>
        <v>200185.49556508943</v>
      </c>
      <c r="BU25" s="16">
        <f t="shared" si="34"/>
        <v>196181.78565378764</v>
      </c>
      <c r="BV25" s="16">
        <f t="shared" si="34"/>
        <v>192258.14994071188</v>
      </c>
      <c r="BW25" s="16">
        <f t="shared" si="34"/>
        <v>188412.98694189763</v>
      </c>
      <c r="BX25" s="16">
        <f t="shared" si="34"/>
        <v>184644.72720305968</v>
      </c>
      <c r="BY25" s="16">
        <f t="shared" si="34"/>
        <v>180951.83265899849</v>
      </c>
      <c r="BZ25" s="16">
        <f t="shared" si="34"/>
        <v>177332.79600581853</v>
      </c>
      <c r="CA25" s="16">
        <f t="shared" si="34"/>
        <v>173786.14008570215</v>
      </c>
      <c r="CB25" s="16">
        <f t="shared" si="34"/>
        <v>170310.41728398809</v>
      </c>
      <c r="CC25" s="16">
        <f t="shared" si="34"/>
        <v>166904.20893830832</v>
      </c>
      <c r="CD25" s="16">
        <f t="shared" si="34"/>
        <v>163566.12475954214</v>
      </c>
      <c r="CE25" s="16">
        <f t="shared" si="34"/>
        <v>160294.80226435131</v>
      </c>
      <c r="CF25" s="16">
        <f t="shared" si="34"/>
        <v>157088.90621906429</v>
      </c>
      <c r="CG25" s="16">
        <f t="shared" si="34"/>
        <v>153947.12809468299</v>
      </c>
      <c r="CH25" s="16">
        <f t="shared" si="34"/>
        <v>150868.18553278933</v>
      </c>
      <c r="CI25" s="16">
        <f t="shared" si="34"/>
        <v>147850.82182213353</v>
      </c>
      <c r="CJ25" s="16">
        <f t="shared" si="34"/>
        <v>144893.80538569085</v>
      </c>
      <c r="CK25" s="16">
        <f t="shared" ref="CK25:EV25" si="35">CJ25*($F$2+1)</f>
        <v>141995.92927797703</v>
      </c>
      <c r="CL25" s="16">
        <f t="shared" si="35"/>
        <v>139156.01069241748</v>
      </c>
      <c r="CM25" s="16">
        <f t="shared" si="35"/>
        <v>136372.89047856911</v>
      </c>
      <c r="CN25" s="16">
        <f t="shared" si="35"/>
        <v>133645.43266899773</v>
      </c>
      <c r="CO25" s="16">
        <f t="shared" si="35"/>
        <v>130972.52401561778</v>
      </c>
      <c r="CP25" s="16">
        <f t="shared" si="35"/>
        <v>128353.07353530542</v>
      </c>
      <c r="CQ25" s="16">
        <f t="shared" si="35"/>
        <v>125786.0120645993</v>
      </c>
      <c r="CR25" s="16">
        <f t="shared" si="35"/>
        <v>123270.29182330731</v>
      </c>
      <c r="CS25" s="16">
        <f t="shared" si="35"/>
        <v>120804.88598684117</v>
      </c>
      <c r="CT25" s="16">
        <f t="shared" si="35"/>
        <v>118388.78826710435</v>
      </c>
      <c r="CU25" s="16">
        <f t="shared" si="35"/>
        <v>116021.01250176226</v>
      </c>
      <c r="CV25" s="16">
        <f t="shared" si="35"/>
        <v>113700.59225172702</v>
      </c>
      <c r="CW25" s="16">
        <f t="shared" si="35"/>
        <v>111426.58040669248</v>
      </c>
      <c r="CX25" s="16">
        <f t="shared" si="35"/>
        <v>109198.04879855862</v>
      </c>
      <c r="CY25" s="16">
        <f t="shared" si="35"/>
        <v>107014.08782258745</v>
      </c>
      <c r="CZ25" s="16">
        <f t="shared" si="35"/>
        <v>104873.8060661357</v>
      </c>
      <c r="DA25" s="16">
        <f t="shared" si="35"/>
        <v>102776.32994481298</v>
      </c>
      <c r="DB25" s="16">
        <f t="shared" si="35"/>
        <v>100720.80334591672</v>
      </c>
      <c r="DC25" s="16">
        <f t="shared" si="35"/>
        <v>98706.387278998387</v>
      </c>
      <c r="DD25" s="16">
        <f t="shared" si="35"/>
        <v>96732.259533418415</v>
      </c>
      <c r="DE25" s="16">
        <f t="shared" si="35"/>
        <v>94797.61434275005</v>
      </c>
      <c r="DF25" s="16">
        <f t="shared" si="35"/>
        <v>92901.662055895053</v>
      </c>
      <c r="DG25" s="16">
        <f t="shared" si="35"/>
        <v>91043.628814777156</v>
      </c>
      <c r="DH25" s="16">
        <f t="shared" si="35"/>
        <v>89222.756238481612</v>
      </c>
      <c r="DI25" s="16">
        <f t="shared" si="35"/>
        <v>87438.301113711976</v>
      </c>
      <c r="DJ25" s="16">
        <f t="shared" si="35"/>
        <v>85689.535091437734</v>
      </c>
      <c r="DK25" s="16">
        <f t="shared" si="35"/>
        <v>83975.744389608983</v>
      </c>
      <c r="DL25" s="16">
        <f t="shared" si="35"/>
        <v>82296.229501816808</v>
      </c>
      <c r="DM25" s="16">
        <f t="shared" si="35"/>
        <v>80650.304911780477</v>
      </c>
      <c r="DN25" s="16">
        <f t="shared" si="35"/>
        <v>79037.298813544869</v>
      </c>
      <c r="DO25" s="16">
        <f t="shared" si="35"/>
        <v>77456.552837273965</v>
      </c>
      <c r="DP25" s="16">
        <f t="shared" si="35"/>
        <v>75907.421780528486</v>
      </c>
      <c r="DQ25" s="16">
        <f t="shared" si="35"/>
        <v>74389.273344917921</v>
      </c>
      <c r="DR25" s="16">
        <f t="shared" si="35"/>
        <v>72901.487878019558</v>
      </c>
      <c r="DS25" s="16">
        <f t="shared" si="35"/>
        <v>71443.458120459167</v>
      </c>
      <c r="DT25" s="16">
        <f t="shared" si="35"/>
        <v>70014.588958049979</v>
      </c>
      <c r="DU25" s="16">
        <f t="shared" si="35"/>
        <v>68614.297178888984</v>
      </c>
      <c r="DV25" s="16">
        <f t="shared" si="35"/>
        <v>67242.011235311205</v>
      </c>
      <c r="DW25" s="16">
        <f t="shared" si="35"/>
        <v>65897.171010604987</v>
      </c>
      <c r="DX25" s="16">
        <f t="shared" si="35"/>
        <v>64579.227590392889</v>
      </c>
      <c r="DY25" s="16">
        <f t="shared" si="35"/>
        <v>63287.643038585033</v>
      </c>
      <c r="DZ25" s="16">
        <f t="shared" si="35"/>
        <v>62021.89017781333</v>
      </c>
      <c r="EA25" s="16">
        <f t="shared" si="35"/>
        <v>60781.45237425706</v>
      </c>
      <c r="EB25" s="16">
        <f t="shared" si="35"/>
        <v>59565.823326771919</v>
      </c>
      <c r="EC25" s="16">
        <f t="shared" si="35"/>
        <v>58374.506860236477</v>
      </c>
      <c r="ED25" s="16">
        <f t="shared" si="35"/>
        <v>57207.016723031746</v>
      </c>
      <c r="EE25" s="16">
        <f t="shared" si="35"/>
        <v>56062.876388571109</v>
      </c>
      <c r="EF25" s="16">
        <f t="shared" si="35"/>
        <v>54941.618860799688</v>
      </c>
      <c r="EG25" s="16">
        <f t="shared" si="35"/>
        <v>53842.786483583695</v>
      </c>
      <c r="EH25" s="16">
        <f t="shared" si="35"/>
        <v>52765.93075391202</v>
      </c>
      <c r="EI25" s="16">
        <f t="shared" si="35"/>
        <v>51710.612138833778</v>
      </c>
      <c r="EJ25" s="16">
        <f t="shared" si="35"/>
        <v>50676.399896057104</v>
      </c>
      <c r="EK25" s="16">
        <f t="shared" si="35"/>
        <v>49662.871898135963</v>
      </c>
      <c r="EL25" s="16">
        <f t="shared" si="35"/>
        <v>48669.614460173245</v>
      </c>
      <c r="EM25" s="16">
        <f t="shared" si="35"/>
        <v>47696.222170969777</v>
      </c>
      <c r="EN25" s="16">
        <f t="shared" si="35"/>
        <v>46742.29772755038</v>
      </c>
      <c r="EO25" s="16">
        <f t="shared" si="35"/>
        <v>45807.451772999375</v>
      </c>
      <c r="EP25" s="16">
        <f t="shared" si="35"/>
        <v>44891.302737539387</v>
      </c>
      <c r="EQ25" s="16">
        <f t="shared" si="35"/>
        <v>43993.476682788598</v>
      </c>
      <c r="ER25" s="16">
        <f t="shared" si="35"/>
        <v>43113.607149132826</v>
      </c>
      <c r="ES25" s="16">
        <f t="shared" si="35"/>
        <v>42251.33500615017</v>
      </c>
      <c r="ET25" s="16">
        <f t="shared" si="35"/>
        <v>41406.308306027167</v>
      </c>
      <c r="EU25" s="16">
        <f t="shared" si="35"/>
        <v>40578.182139906625</v>
      </c>
      <c r="EV25" s="16">
        <f t="shared" si="35"/>
        <v>39766.618497108495</v>
      </c>
      <c r="EW25" s="16">
        <f t="shared" ref="EW25:HH25" si="36">EV25*($F$2+1)</f>
        <v>38971.286127166328</v>
      </c>
      <c r="EX25" s="16">
        <f t="shared" si="36"/>
        <v>38191.860404623003</v>
      </c>
      <c r="EY25" s="16">
        <f t="shared" si="36"/>
        <v>37428.023196530543</v>
      </c>
      <c r="EZ25" s="16">
        <f t="shared" si="36"/>
        <v>36679.462732599932</v>
      </c>
      <c r="FA25" s="16">
        <f t="shared" si="36"/>
        <v>35945.873477947935</v>
      </c>
      <c r="FB25" s="16">
        <f t="shared" si="36"/>
        <v>35226.956008388974</v>
      </c>
      <c r="FC25" s="16">
        <f t="shared" si="36"/>
        <v>34522.416888221196</v>
      </c>
      <c r="FD25" s="16">
        <f t="shared" si="36"/>
        <v>33831.968550456775</v>
      </c>
      <c r="FE25" s="16">
        <f t="shared" si="36"/>
        <v>33155.329179447639</v>
      </c>
      <c r="FF25" s="16">
        <f t="shared" si="36"/>
        <v>32492.222595858686</v>
      </c>
      <c r="FG25" s="16">
        <f t="shared" si="36"/>
        <v>31842.378143941511</v>
      </c>
      <c r="FH25" s="16">
        <f t="shared" si="36"/>
        <v>31205.530581062681</v>
      </c>
      <c r="FI25" s="16">
        <f t="shared" si="36"/>
        <v>30581.419969441427</v>
      </c>
      <c r="FJ25" s="16">
        <f t="shared" si="36"/>
        <v>29969.791570052599</v>
      </c>
      <c r="FK25" s="16">
        <f t="shared" si="36"/>
        <v>29370.395738651547</v>
      </c>
      <c r="FL25" s="16">
        <f t="shared" si="36"/>
        <v>28782.987823878517</v>
      </c>
      <c r="FM25" s="16">
        <f t="shared" si="36"/>
        <v>28207.328067400947</v>
      </c>
      <c r="FN25" s="16">
        <f t="shared" si="36"/>
        <v>27643.18150605293</v>
      </c>
      <c r="FO25" s="16">
        <f t="shared" si="36"/>
        <v>27090.317875931869</v>
      </c>
      <c r="FP25" s="16">
        <f t="shared" si="36"/>
        <v>26548.51151841323</v>
      </c>
      <c r="FQ25" s="16">
        <f t="shared" si="36"/>
        <v>26017.541288044966</v>
      </c>
      <c r="FR25" s="16">
        <f t="shared" si="36"/>
        <v>25497.190462284067</v>
      </c>
      <c r="FS25" s="16">
        <f t="shared" si="36"/>
        <v>24987.246653038386</v>
      </c>
      <c r="FT25" s="16">
        <f t="shared" si="36"/>
        <v>24487.501719977619</v>
      </c>
      <c r="FU25" s="16">
        <f t="shared" si="36"/>
        <v>23997.751685578067</v>
      </c>
      <c r="FV25" s="16">
        <f t="shared" si="36"/>
        <v>23517.796651866505</v>
      </c>
      <c r="FW25" s="16">
        <f t="shared" si="36"/>
        <v>23047.440718829173</v>
      </c>
      <c r="FX25" s="16">
        <f t="shared" si="36"/>
        <v>22586.491904452589</v>
      </c>
      <c r="FY25" s="16">
        <f t="shared" si="36"/>
        <v>22134.762066363535</v>
      </c>
      <c r="FZ25" s="16">
        <f t="shared" si="36"/>
        <v>21692.066825036265</v>
      </c>
      <c r="GA25" s="16">
        <f t="shared" si="36"/>
        <v>21258.22548853554</v>
      </c>
      <c r="GB25" s="16">
        <f t="shared" si="36"/>
        <v>20833.060978764828</v>
      </c>
      <c r="GC25" s="16">
        <f t="shared" si="36"/>
        <v>20416.399759189531</v>
      </c>
      <c r="GD25" s="16">
        <f t="shared" si="36"/>
        <v>20008.071764005741</v>
      </c>
      <c r="GE25" s="16">
        <f t="shared" si="36"/>
        <v>19607.910328725626</v>
      </c>
      <c r="GF25" s="16">
        <f t="shared" si="36"/>
        <v>19215.752122151112</v>
      </c>
      <c r="GG25" s="16">
        <f t="shared" si="36"/>
        <v>18831.437079708088</v>
      </c>
      <c r="GH25" s="16">
        <f t="shared" si="36"/>
        <v>18454.808338113926</v>
      </c>
      <c r="GI25" s="16">
        <f t="shared" si="36"/>
        <v>18085.712171351646</v>
      </c>
      <c r="GJ25" s="16">
        <f t="shared" si="36"/>
        <v>17723.997927924614</v>
      </c>
      <c r="GK25" s="16">
        <f t="shared" si="36"/>
        <v>17369.517969366123</v>
      </c>
      <c r="GL25" s="16">
        <f t="shared" si="36"/>
        <v>17022.127609978801</v>
      </c>
      <c r="GM25" s="16">
        <f t="shared" si="36"/>
        <v>16681.685057779225</v>
      </c>
      <c r="GN25" s="16">
        <f t="shared" si="36"/>
        <v>16348.05135662364</v>
      </c>
      <c r="GO25" s="16">
        <f t="shared" si="36"/>
        <v>16021.090329491168</v>
      </c>
      <c r="GP25" s="16">
        <f t="shared" si="36"/>
        <v>15700.668522901344</v>
      </c>
      <c r="GQ25" s="16">
        <f t="shared" si="36"/>
        <v>15386.655152443316</v>
      </c>
      <c r="GR25" s="16">
        <f t="shared" si="36"/>
        <v>15078.92204939445</v>
      </c>
      <c r="GS25" s="16">
        <f t="shared" si="36"/>
        <v>14777.343608406562</v>
      </c>
      <c r="GT25" s="16">
        <f t="shared" si="36"/>
        <v>14481.79673623843</v>
      </c>
      <c r="GU25" s="16">
        <f t="shared" si="36"/>
        <v>14192.160801513661</v>
      </c>
      <c r="GV25" s="16">
        <f t="shared" si="36"/>
        <v>13908.317585483388</v>
      </c>
      <c r="GW25" s="16">
        <f t="shared" si="36"/>
        <v>13630.15123377372</v>
      </c>
      <c r="GX25" s="16">
        <f t="shared" si="36"/>
        <v>13357.548209098246</v>
      </c>
      <c r="GY25" s="16">
        <f t="shared" si="36"/>
        <v>13090.397244916281</v>
      </c>
      <c r="GZ25" s="16">
        <f t="shared" si="36"/>
        <v>12828.589300017955</v>
      </c>
      <c r="HA25" s="16">
        <f t="shared" si="36"/>
        <v>12572.017514017596</v>
      </c>
      <c r="HB25" s="16">
        <f t="shared" si="36"/>
        <v>12320.577163737244</v>
      </c>
      <c r="HC25" s="16">
        <f t="shared" si="36"/>
        <v>12074.165620462498</v>
      </c>
      <c r="HD25" s="16">
        <f t="shared" si="36"/>
        <v>11832.682308053249</v>
      </c>
      <c r="HE25" s="16">
        <f t="shared" si="36"/>
        <v>11596.028661892184</v>
      </c>
      <c r="HF25" s="16">
        <f t="shared" si="36"/>
        <v>11364.10808865434</v>
      </c>
      <c r="HG25" s="16">
        <f t="shared" si="36"/>
        <v>11136.825926881253</v>
      </c>
      <c r="HH25" s="16">
        <f t="shared" si="36"/>
        <v>10914.089408343627</v>
      </c>
      <c r="HI25" s="16">
        <f t="shared" ref="HI25:IR25" si="37">HH25*($F$2+1)</f>
        <v>10695.807620176754</v>
      </c>
      <c r="HJ25" s="16">
        <f t="shared" si="37"/>
        <v>10481.891467773219</v>
      </c>
      <c r="HK25" s="16">
        <f t="shared" si="37"/>
        <v>10272.253638417755</v>
      </c>
      <c r="HL25" s="16">
        <f t="shared" si="37"/>
        <v>10066.808565649399</v>
      </c>
      <c r="HM25" s="16">
        <f t="shared" si="37"/>
        <v>9865.4723943364097</v>
      </c>
      <c r="HN25" s="16">
        <f t="shared" si="37"/>
        <v>9668.1629464496818</v>
      </c>
      <c r="HO25" s="16">
        <f t="shared" si="37"/>
        <v>9474.7996875206882</v>
      </c>
      <c r="HP25" s="16">
        <f t="shared" si="37"/>
        <v>9285.3036937702745</v>
      </c>
      <c r="HQ25" s="16">
        <f t="shared" si="37"/>
        <v>9099.5976198948683</v>
      </c>
      <c r="HR25" s="16">
        <f t="shared" si="37"/>
        <v>8917.6056674969714</v>
      </c>
      <c r="HS25" s="16">
        <f t="shared" si="37"/>
        <v>8739.2535541470315</v>
      </c>
      <c r="HT25" s="16">
        <f t="shared" si="37"/>
        <v>8564.4684830640908</v>
      </c>
      <c r="HU25" s="16">
        <f t="shared" si="37"/>
        <v>8393.1791134028081</v>
      </c>
      <c r="HV25" s="16">
        <f t="shared" si="37"/>
        <v>8225.3155311347509</v>
      </c>
      <c r="HW25" s="16">
        <f t="shared" si="37"/>
        <v>8060.8092205120556</v>
      </c>
      <c r="HX25" s="16">
        <f t="shared" si="37"/>
        <v>7899.5930361018145</v>
      </c>
      <c r="HY25" s="16">
        <f t="shared" si="37"/>
        <v>7741.6011753797784</v>
      </c>
      <c r="HZ25" s="16">
        <f t="shared" si="37"/>
        <v>7586.7691518721831</v>
      </c>
      <c r="IA25" s="16">
        <f t="shared" si="37"/>
        <v>7435.033768834739</v>
      </c>
      <c r="IB25" s="16">
        <f t="shared" si="37"/>
        <v>7286.3330934580445</v>
      </c>
      <c r="IC25" s="16">
        <f t="shared" si="37"/>
        <v>7140.6064315888834</v>
      </c>
      <c r="ID25" s="16">
        <f t="shared" si="37"/>
        <v>6997.7943029571061</v>
      </c>
      <c r="IE25" s="16">
        <f t="shared" si="37"/>
        <v>6857.8384168979637</v>
      </c>
      <c r="IF25" s="16">
        <f t="shared" si="37"/>
        <v>6720.6816485600048</v>
      </c>
      <c r="IG25" s="16">
        <f t="shared" si="37"/>
        <v>6586.2680155888047</v>
      </c>
      <c r="IH25" s="16">
        <f t="shared" si="37"/>
        <v>6454.5426552770286</v>
      </c>
      <c r="II25" s="16">
        <f t="shared" si="37"/>
        <v>6325.4518021714875</v>
      </c>
      <c r="IJ25" s="16">
        <f t="shared" si="37"/>
        <v>6198.9427661280579</v>
      </c>
      <c r="IK25" s="16">
        <f t="shared" si="37"/>
        <v>6074.9639108054962</v>
      </c>
      <c r="IL25" s="16">
        <f t="shared" si="37"/>
        <v>5953.4646325893864</v>
      </c>
      <c r="IM25" s="16">
        <f t="shared" si="37"/>
        <v>5834.3953399375987</v>
      </c>
      <c r="IN25" s="16">
        <f t="shared" si="37"/>
        <v>5717.7074331388467</v>
      </c>
      <c r="IO25" s="16">
        <f t="shared" si="37"/>
        <v>5603.3532844760693</v>
      </c>
      <c r="IP25" s="16">
        <f t="shared" si="37"/>
        <v>5491.2862187865476</v>
      </c>
      <c r="IQ25" s="16">
        <f t="shared" si="37"/>
        <v>5381.4604944108169</v>
      </c>
      <c r="IR25" s="16">
        <f t="shared" si="37"/>
        <v>5273.8312845226001</v>
      </c>
    </row>
    <row r="26" spans="1:252" s="2" customFormat="1" x14ac:dyDescent="0.15">
      <c r="A26" s="3" t="s">
        <v>19</v>
      </c>
      <c r="B26" s="26"/>
      <c r="C26" s="26"/>
      <c r="D26" s="26"/>
      <c r="E26" s="26"/>
      <c r="F26" s="36">
        <f t="shared" ref="F26" si="38">F25/F27</f>
        <v>107.64323189926547</v>
      </c>
      <c r="G26" s="36">
        <f t="shared" ref="G26:I26" si="39">G25/G27</f>
        <v>147.89506820566632</v>
      </c>
      <c r="H26" s="36">
        <f t="shared" si="39"/>
        <v>204.16264428121721</v>
      </c>
      <c r="I26" s="36">
        <f t="shared" si="39"/>
        <v>271.44386149003145</v>
      </c>
      <c r="J26" s="52">
        <f t="shared" ref="J26:S26" si="40">J25/J27</f>
        <v>289.56506863112514</v>
      </c>
      <c r="K26" s="52">
        <f t="shared" si="40"/>
        <v>308.9314777228555</v>
      </c>
      <c r="L26" s="52">
        <f t="shared" si="40"/>
        <v>329.72414059418128</v>
      </c>
      <c r="M26" s="52">
        <f t="shared" si="40"/>
        <v>352.16048722132717</v>
      </c>
      <c r="N26" s="52">
        <f t="shared" si="40"/>
        <v>376.53017568117366</v>
      </c>
      <c r="O26" s="52">
        <f t="shared" si="40"/>
        <v>393.36036934106409</v>
      </c>
      <c r="P26" s="52">
        <f t="shared" si="40"/>
        <v>410.37903209710407</v>
      </c>
      <c r="Q26" s="52">
        <f t="shared" si="40"/>
        <v>427.59158580703075</v>
      </c>
      <c r="R26" s="52">
        <f t="shared" si="40"/>
        <v>445.00349097096245</v>
      </c>
      <c r="S26" s="52">
        <f t="shared" si="40"/>
        <v>462.62024820168676</v>
      </c>
      <c r="T26" s="52">
        <f t="shared" ref="T26:X26" si="41">T25/T27</f>
        <v>480.44739969878651</v>
      </c>
      <c r="U26" s="52">
        <f t="shared" si="41"/>
        <v>498.49053072701059</v>
      </c>
      <c r="V26" s="52">
        <f t="shared" si="41"/>
        <v>516.75527109929772</v>
      </c>
      <c r="W26" s="52">
        <f t="shared" si="41"/>
        <v>535.2472966648545</v>
      </c>
      <c r="X26" s="52">
        <f t="shared" si="41"/>
        <v>553.97233080269473</v>
      </c>
    </row>
    <row r="27" spans="1:252" s="2" customFormat="1" x14ac:dyDescent="0.15">
      <c r="A27" s="3" t="s">
        <v>1</v>
      </c>
      <c r="B27" s="26"/>
      <c r="C27" s="26"/>
      <c r="D27" s="26"/>
      <c r="E27" s="26"/>
      <c r="F27" s="49">
        <v>953</v>
      </c>
      <c r="G27" s="49">
        <v>953</v>
      </c>
      <c r="H27" s="49">
        <v>953</v>
      </c>
      <c r="I27" s="49">
        <v>953</v>
      </c>
      <c r="J27" s="49">
        <f t="shared" ref="J27:S27" si="42">I27</f>
        <v>953</v>
      </c>
      <c r="K27" s="49">
        <f t="shared" si="42"/>
        <v>953</v>
      </c>
      <c r="L27" s="49">
        <f t="shared" si="42"/>
        <v>953</v>
      </c>
      <c r="M27" s="49">
        <f t="shared" si="42"/>
        <v>953</v>
      </c>
      <c r="N27" s="49">
        <f t="shared" si="42"/>
        <v>953</v>
      </c>
      <c r="O27" s="49">
        <f t="shared" si="42"/>
        <v>953</v>
      </c>
      <c r="P27" s="49">
        <f t="shared" si="42"/>
        <v>953</v>
      </c>
      <c r="Q27" s="49">
        <f t="shared" si="42"/>
        <v>953</v>
      </c>
      <c r="R27" s="49">
        <f t="shared" si="42"/>
        <v>953</v>
      </c>
      <c r="S27" s="49">
        <f t="shared" si="42"/>
        <v>953</v>
      </c>
      <c r="T27" s="49">
        <f t="shared" ref="T27" si="43">S27</f>
        <v>953</v>
      </c>
      <c r="U27" s="49">
        <f t="shared" ref="U27" si="44">T27</f>
        <v>953</v>
      </c>
      <c r="V27" s="49">
        <f t="shared" ref="V27" si="45">U27</f>
        <v>953</v>
      </c>
      <c r="W27" s="49">
        <f t="shared" ref="W27" si="46">V27</f>
        <v>953</v>
      </c>
      <c r="X27" s="49">
        <f t="shared" ref="X27" si="47">W27</f>
        <v>953</v>
      </c>
    </row>
    <row r="28" spans="1:252" s="42" customFormat="1" x14ac:dyDescent="0.15">
      <c r="A28" s="6"/>
      <c r="B28" s="26"/>
      <c r="C28" s="26"/>
      <c r="D28" s="26"/>
      <c r="E28" s="26"/>
      <c r="F28" s="26"/>
      <c r="G28" s="26"/>
      <c r="H28" s="43"/>
      <c r="I28" s="4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</row>
    <row r="29" spans="1:252" s="2" customFormat="1" x14ac:dyDescent="0.15">
      <c r="A29" s="2" t="s">
        <v>10</v>
      </c>
      <c r="B29" s="26"/>
      <c r="C29" s="26"/>
      <c r="D29" s="26"/>
      <c r="E29" s="26"/>
      <c r="F29" s="26"/>
      <c r="G29" s="54">
        <f>G16/F16-1</f>
        <v>1.1584354777701673</v>
      </c>
      <c r="H29" s="54">
        <f>H16/G16-1</f>
        <v>0.13723760988178246</v>
      </c>
      <c r="I29" s="54">
        <f>I16/H16-1</f>
        <v>8.992477670818344E-2</v>
      </c>
      <c r="J29" s="54">
        <f>J16/I16-1</f>
        <v>5.2896060355256624E-2</v>
      </c>
      <c r="K29" s="54">
        <f>K16/J16-1</f>
        <v>5.3336771344551615E-2</v>
      </c>
      <c r="L29" s="54">
        <f>L16/K16-1</f>
        <v>5.3912911702932442E-2</v>
      </c>
      <c r="M29" s="54">
        <f>M16/L16-1</f>
        <v>5.4673314985567822E-2</v>
      </c>
      <c r="N29" s="54">
        <f>N16/M16-1</f>
        <v>5.5684340462961224E-2</v>
      </c>
      <c r="O29" s="54">
        <f>O16/N16-1</f>
        <v>1.0000000000000009E-2</v>
      </c>
      <c r="P29" s="54">
        <f>P16/O16-1</f>
        <v>1.0000000000000009E-2</v>
      </c>
      <c r="Q29" s="54">
        <f>Q16/P16-1</f>
        <v>1.0000000000000009E-2</v>
      </c>
      <c r="R29" s="54">
        <f>R16/Q16-1</f>
        <v>1.0000000000000009E-2</v>
      </c>
      <c r="S29" s="54">
        <f>S16/R16-1</f>
        <v>1.0000000000000009E-2</v>
      </c>
      <c r="T29" s="54">
        <f>T16/S16-1</f>
        <v>1.0000000000000009E-2</v>
      </c>
      <c r="U29" s="54">
        <f>U16/T16-1</f>
        <v>1.0000000000000009E-2</v>
      </c>
      <c r="V29" s="54">
        <f>V16/U16-1</f>
        <v>1.0000000000000009E-2</v>
      </c>
      <c r="W29" s="54">
        <f>W16/V16-1</f>
        <v>1.0000000000000009E-2</v>
      </c>
      <c r="X29" s="54">
        <f>X16/W16-1</f>
        <v>1.0000000000000009E-2</v>
      </c>
    </row>
    <row r="30" spans="1:252" x14ac:dyDescent="0.15">
      <c r="A30" s="3" t="s">
        <v>36</v>
      </c>
      <c r="B30" s="26"/>
      <c r="C30" s="26"/>
      <c r="D30" s="26"/>
      <c r="E30" s="26"/>
      <c r="F30" s="26"/>
      <c r="G30" s="26"/>
      <c r="H30" s="55"/>
      <c r="I30" s="55">
        <f>I19/H19-1</f>
        <v>0.15047636467743986</v>
      </c>
      <c r="J30" s="55">
        <f>J19/I19-1</f>
        <v>5.0000000000000044E-2</v>
      </c>
      <c r="K30" s="55">
        <f>K19/J19-1</f>
        <v>5.0000000000000044E-2</v>
      </c>
      <c r="L30" s="55">
        <f>L19/K19-1</f>
        <v>5.0000000000000044E-2</v>
      </c>
      <c r="M30" s="55">
        <f>M19/L19-1</f>
        <v>5.0000000000000044E-2</v>
      </c>
      <c r="N30" s="55">
        <f>N19/M19-1</f>
        <v>5.0000000000000044E-2</v>
      </c>
      <c r="O30" s="55">
        <f>O19/N19-1</f>
        <v>-2.0000000000000018E-2</v>
      </c>
      <c r="P30" s="55">
        <f>P19/O19-1</f>
        <v>-2.0000000000000018E-2</v>
      </c>
      <c r="Q30" s="55">
        <f>Q19/P19-1</f>
        <v>-2.0000000000000018E-2</v>
      </c>
      <c r="R30" s="55">
        <f>R19/Q19-1</f>
        <v>-2.0000000000000018E-2</v>
      </c>
      <c r="S30" s="55">
        <f>S19/R19-1</f>
        <v>-2.0000000000000018E-2</v>
      </c>
      <c r="T30" s="55">
        <f>T19/S19-1</f>
        <v>-2.0000000000000018E-2</v>
      </c>
      <c r="U30" s="55">
        <f>U19/T19-1</f>
        <v>-1.9999999999999907E-2</v>
      </c>
      <c r="V30" s="55">
        <f>V19/U19-1</f>
        <v>-1.9999999999999907E-2</v>
      </c>
      <c r="W30" s="55">
        <f>W19/V19-1</f>
        <v>-2.0000000000000018E-2</v>
      </c>
      <c r="X30" s="55">
        <f>X19/W19-1</f>
        <v>-2.0000000000000018E-2</v>
      </c>
    </row>
    <row r="31" spans="1:252" s="6" customFormat="1" x14ac:dyDescent="0.15">
      <c r="A31" s="6" t="s">
        <v>72</v>
      </c>
      <c r="B31" s="26"/>
      <c r="C31" s="26"/>
      <c r="D31" s="26"/>
      <c r="E31" s="26"/>
      <c r="F31" s="26"/>
      <c r="G31" s="26"/>
      <c r="H31" s="56"/>
      <c r="I31" s="56">
        <f>I20/H20-1</f>
        <v>0.15047636467743986</v>
      </c>
      <c r="J31" s="56">
        <f>J20/I20-1</f>
        <v>5.0000000000000044E-2</v>
      </c>
      <c r="K31" s="56">
        <f>K20/J20-1</f>
        <v>5.0000000000000044E-2</v>
      </c>
      <c r="L31" s="56">
        <f>L20/K20-1</f>
        <v>5.0000000000000044E-2</v>
      </c>
      <c r="M31" s="56">
        <f>M20/L20-1</f>
        <v>5.0000000000000044E-2</v>
      </c>
      <c r="N31" s="56">
        <f>N20/M20-1</f>
        <v>5.0000000000000044E-2</v>
      </c>
      <c r="O31" s="56">
        <f>O20/N20-1</f>
        <v>-2.0000000000000018E-2</v>
      </c>
      <c r="P31" s="56">
        <f>P20/O20-1</f>
        <v>-2.0000000000000018E-2</v>
      </c>
      <c r="Q31" s="56">
        <f>Q20/P20-1</f>
        <v>-2.0000000000000018E-2</v>
      </c>
      <c r="R31" s="56">
        <f>R20/Q20-1</f>
        <v>-2.0000000000000018E-2</v>
      </c>
      <c r="S31" s="56">
        <f>S20/R20-1</f>
        <v>-2.0000000000000018E-2</v>
      </c>
      <c r="T31" s="56">
        <f>T20/S20-1</f>
        <v>-2.0000000000000018E-2</v>
      </c>
      <c r="U31" s="56">
        <f>U20/T20-1</f>
        <v>-1.9999999999999907E-2</v>
      </c>
      <c r="V31" s="56">
        <f>V20/U20-1</f>
        <v>-1.9999999999999907E-2</v>
      </c>
      <c r="W31" s="56">
        <f>W20/V20-1</f>
        <v>-2.0000000000000018E-2</v>
      </c>
      <c r="X31" s="56">
        <f>X20/W20-1</f>
        <v>-2.0000000000000018E-2</v>
      </c>
    </row>
    <row r="32" spans="1:252" x14ac:dyDescent="0.15">
      <c r="B32" s="26"/>
      <c r="C32" s="26"/>
      <c r="D32" s="26"/>
      <c r="E32" s="26"/>
      <c r="F32" s="26"/>
      <c r="G32" s="26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</row>
    <row r="33" spans="1:24" x14ac:dyDescent="0.15">
      <c r="A33" s="3" t="s">
        <v>21</v>
      </c>
      <c r="B33" s="26"/>
      <c r="C33" s="26"/>
      <c r="D33" s="26"/>
      <c r="E33" s="26"/>
      <c r="F33" s="26"/>
      <c r="G33" s="26"/>
      <c r="H33" s="55">
        <f>H18/H16</f>
        <v>0.41746303180435113</v>
      </c>
      <c r="I33" s="55">
        <f>I18/I16</f>
        <v>0.49040327270754186</v>
      </c>
      <c r="J33" s="55">
        <f>J18/J16</f>
        <v>0.49040327270754186</v>
      </c>
      <c r="K33" s="55">
        <f>K18/K16</f>
        <v>0.49040327270754192</v>
      </c>
      <c r="L33" s="55">
        <f>L18/L16</f>
        <v>0.49040327270754192</v>
      </c>
      <c r="M33" s="55">
        <f>M18/M16</f>
        <v>0.49040327270754192</v>
      </c>
      <c r="N33" s="55">
        <f>N18/N16</f>
        <v>0.49040327270754192</v>
      </c>
      <c r="O33" s="55">
        <f>O18/O16</f>
        <v>0.49040327270754192</v>
      </c>
      <c r="P33" s="55">
        <f>P18/P16</f>
        <v>0.49040327270754192</v>
      </c>
      <c r="Q33" s="55">
        <f>Q18/Q16</f>
        <v>0.49040327270754192</v>
      </c>
      <c r="R33" s="55">
        <f>R18/R16</f>
        <v>0.49040327270754192</v>
      </c>
      <c r="S33" s="55">
        <f>S18/S16</f>
        <v>0.49040327270754192</v>
      </c>
      <c r="T33" s="55">
        <f>T18/T16</f>
        <v>0.49040327270754192</v>
      </c>
      <c r="U33" s="55">
        <f>U18/U16</f>
        <v>0.49040327270754192</v>
      </c>
      <c r="V33" s="55">
        <f>V18/V16</f>
        <v>0.49040327270754192</v>
      </c>
      <c r="W33" s="55">
        <f>W18/W16</f>
        <v>0.49040327270754192</v>
      </c>
      <c r="X33" s="55">
        <f>X18/X16</f>
        <v>0.49040327270754192</v>
      </c>
    </row>
    <row r="34" spans="1:24" x14ac:dyDescent="0.15">
      <c r="A34" s="3" t="s">
        <v>22</v>
      </c>
      <c r="B34" s="26"/>
      <c r="C34" s="26"/>
      <c r="D34" s="26"/>
      <c r="E34" s="26"/>
      <c r="F34" s="26"/>
      <c r="G34" s="26"/>
      <c r="H34" s="55">
        <f>H21/H16</f>
        <v>0.20798727925907848</v>
      </c>
      <c r="I34" s="55">
        <f>I21/I16</f>
        <v>0.26928993770820292</v>
      </c>
      <c r="J34" s="55">
        <f>J21/J16</f>
        <v>0.26989812458212292</v>
      </c>
      <c r="K34" s="55">
        <f>K21/K16</f>
        <v>0.27059664311827147</v>
      </c>
      <c r="L34" s="55">
        <f>L21/L16</f>
        <v>0.27141272946065464</v>
      </c>
      <c r="M34" s="55">
        <f>M21/M16</f>
        <v>0.27238308850256077</v>
      </c>
      <c r="N34" s="55">
        <f>N21/N16</f>
        <v>0.27355701986378106</v>
      </c>
      <c r="O34" s="55">
        <f>O21/O16</f>
        <v>0.27999799767102146</v>
      </c>
      <c r="P34" s="55">
        <f>P21/P16</f>
        <v>0.28624765930576962</v>
      </c>
      <c r="Q34" s="55">
        <f>Q21/Q16</f>
        <v>0.29231168742661429</v>
      </c>
      <c r="R34" s="55">
        <f>R21/R16</f>
        <v>0.29819559590030525</v>
      </c>
      <c r="S34" s="55">
        <f>S21/S16</f>
        <v>0.30390473481537172</v>
      </c>
      <c r="T34" s="55">
        <f>T21/T16</f>
        <v>0.30944429534682238</v>
      </c>
      <c r="U34" s="55">
        <f>U21/U16</f>
        <v>0.31481931447634864</v>
      </c>
      <c r="V34" s="55">
        <f>V21/V16</f>
        <v>0.32003467957232468</v>
      </c>
      <c r="W34" s="55">
        <f>W21/W16</f>
        <v>0.32509513283376679</v>
      </c>
      <c r="X34" s="55">
        <f>X21/X16</f>
        <v>0.3300052756022947</v>
      </c>
    </row>
    <row r="35" spans="1:24" x14ac:dyDescent="0.15">
      <c r="A35" s="3" t="s">
        <v>23</v>
      </c>
      <c r="B35" s="26"/>
      <c r="C35" s="26"/>
      <c r="D35" s="26"/>
      <c r="E35" s="26"/>
      <c r="F35" s="26"/>
      <c r="G35" s="26"/>
      <c r="H35" s="55">
        <f>H24/H23</f>
        <v>0.284077403402129</v>
      </c>
      <c r="I35" s="55">
        <f>I24/I23</f>
        <v>0.28396373953359627</v>
      </c>
      <c r="J35" s="55">
        <f>J24/J23</f>
        <v>0.3</v>
      </c>
      <c r="K35" s="55">
        <f>K24/K23</f>
        <v>0.3</v>
      </c>
      <c r="L35" s="55">
        <f>L24/L23</f>
        <v>0.3</v>
      </c>
      <c r="M35" s="55">
        <f>M24/M23</f>
        <v>0.3</v>
      </c>
      <c r="N35" s="55">
        <f>N24/N23</f>
        <v>0.3</v>
      </c>
      <c r="O35" s="55">
        <f>O24/O23</f>
        <v>0.3</v>
      </c>
      <c r="P35" s="55">
        <f>P24/P23</f>
        <v>0.3</v>
      </c>
      <c r="Q35" s="55">
        <f>Q24/Q23</f>
        <v>0.3</v>
      </c>
      <c r="R35" s="55">
        <f>R24/R23</f>
        <v>0.3</v>
      </c>
      <c r="S35" s="55">
        <f>S24/S23</f>
        <v>0.3</v>
      </c>
      <c r="T35" s="55">
        <f>T24/T23</f>
        <v>0.3</v>
      </c>
      <c r="U35" s="55">
        <f>U24/U23</f>
        <v>0.3</v>
      </c>
      <c r="V35" s="55">
        <f>V24/V23</f>
        <v>0.3</v>
      </c>
      <c r="W35" s="55">
        <f>W24/W23</f>
        <v>0.3</v>
      </c>
      <c r="X35" s="55">
        <f>X24/X23</f>
        <v>0.3</v>
      </c>
    </row>
    <row r="36" spans="1:24" x14ac:dyDescent="0.15">
      <c r="B36" s="26"/>
      <c r="C36" s="26"/>
      <c r="D36" s="26"/>
      <c r="E36" s="26"/>
      <c r="F36" s="26"/>
      <c r="G36" s="26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</row>
    <row r="37" spans="1:24" s="2" customFormat="1" x14ac:dyDescent="0.15">
      <c r="A37" s="2" t="s">
        <v>3</v>
      </c>
      <c r="B37" s="26"/>
      <c r="C37" s="26"/>
      <c r="D37" s="26"/>
      <c r="E37" s="26"/>
      <c r="F37" s="26"/>
      <c r="G37" s="26"/>
      <c r="H37" s="29">
        <f>H38-H39</f>
        <v>1023271</v>
      </c>
      <c r="I37" s="29">
        <f>I38-I39</f>
        <v>1118710</v>
      </c>
      <c r="J37" s="51">
        <f>I37+J25</f>
        <v>1394665.5104054622</v>
      </c>
      <c r="K37" s="51">
        <f>J37+K25</f>
        <v>1689077.2086753435</v>
      </c>
      <c r="L37" s="51">
        <f>K37+L25</f>
        <v>2003304.3146615983</v>
      </c>
      <c r="M37" s="51">
        <f>L37+M25</f>
        <v>2338913.2589835231</v>
      </c>
      <c r="N37" s="51">
        <f>M37+N25</f>
        <v>2697746.5164076816</v>
      </c>
      <c r="O37" s="51">
        <f>N37+O25</f>
        <v>3072618.9483897155</v>
      </c>
      <c r="P37" s="51">
        <f>O37+P25</f>
        <v>3463710.1659782557</v>
      </c>
      <c r="Q37" s="51">
        <f>P37+Q25</f>
        <v>3871204.947252356</v>
      </c>
      <c r="R37" s="51">
        <f>Q37+R25</f>
        <v>4295293.2741476828</v>
      </c>
      <c r="S37" s="51">
        <f>R37+S25</f>
        <v>4736170.3706838898</v>
      </c>
      <c r="T37" s="51">
        <f>S37+T25</f>
        <v>5194036.742596833</v>
      </c>
      <c r="U37" s="51">
        <f>T37+U25</f>
        <v>5669098.2183796745</v>
      </c>
      <c r="V37" s="51">
        <f>U37+V25</f>
        <v>6161565.9917373052</v>
      </c>
      <c r="W37" s="51">
        <f>V37+W25</f>
        <v>6671656.665458912</v>
      </c>
      <c r="X37" s="51">
        <f>W37+X25</f>
        <v>7199592.2967138803</v>
      </c>
    </row>
    <row r="38" spans="1:24" x14ac:dyDescent="0.15">
      <c r="A38" s="3" t="s">
        <v>31</v>
      </c>
      <c r="B38" s="26"/>
      <c r="C38" s="26"/>
      <c r="D38" s="26"/>
      <c r="E38" s="26"/>
      <c r="F38" s="26"/>
      <c r="G38" s="26"/>
      <c r="H38" s="49">
        <f>844550+238410</f>
        <v>1082960</v>
      </c>
      <c r="I38" s="49">
        <f>890402+326382</f>
        <v>1216784</v>
      </c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</row>
    <row r="39" spans="1:24" x14ac:dyDescent="0.15">
      <c r="A39" s="3" t="s">
        <v>32</v>
      </c>
      <c r="B39" s="26"/>
      <c r="C39" s="26"/>
      <c r="D39" s="26"/>
      <c r="E39" s="26"/>
      <c r="F39" s="26"/>
      <c r="G39" s="26"/>
      <c r="H39" s="49">
        <v>59689</v>
      </c>
      <c r="I39" s="49">
        <v>98074</v>
      </c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</row>
    <row r="40" spans="1:24" s="6" customFormat="1" x14ac:dyDescent="0.15">
      <c r="B40" s="26"/>
      <c r="C40" s="26"/>
      <c r="D40" s="26"/>
      <c r="E40" s="26"/>
      <c r="F40" s="26"/>
      <c r="G40" s="26"/>
      <c r="H40" s="57"/>
      <c r="I40" s="57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</row>
    <row r="41" spans="1:24" x14ac:dyDescent="0.15">
      <c r="A41" s="3" t="s">
        <v>25</v>
      </c>
      <c r="B41" s="26"/>
      <c r="C41" s="26"/>
      <c r="D41" s="26"/>
      <c r="E41" s="26"/>
      <c r="F41" s="26"/>
      <c r="G41" s="26"/>
      <c r="H41" s="49">
        <v>14090</v>
      </c>
      <c r="I41" s="49">
        <v>15017</v>
      </c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</row>
    <row r="42" spans="1:24" x14ac:dyDescent="0.15">
      <c r="A42" s="3" t="s">
        <v>26</v>
      </c>
      <c r="B42" s="26"/>
      <c r="C42" s="26"/>
      <c r="D42" s="26"/>
      <c r="E42" s="26"/>
      <c r="F42" s="26"/>
      <c r="G42" s="26"/>
      <c r="H42" s="49">
        <v>1690304</v>
      </c>
      <c r="I42" s="49">
        <v>1934087</v>
      </c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</row>
    <row r="43" spans="1:24" x14ac:dyDescent="0.15">
      <c r="A43" s="3" t="s">
        <v>51</v>
      </c>
      <c r="B43" s="26"/>
      <c r="C43" s="26"/>
      <c r="D43" s="26"/>
      <c r="E43" s="26"/>
      <c r="F43" s="26"/>
      <c r="G43" s="26"/>
      <c r="H43" s="49">
        <v>275505</v>
      </c>
      <c r="I43" s="49">
        <v>393186</v>
      </c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</row>
    <row r="44" spans="1:24" x14ac:dyDescent="0.15">
      <c r="B44" s="26"/>
      <c r="C44" s="26"/>
      <c r="D44" s="26"/>
      <c r="E44" s="26"/>
      <c r="F44" s="26"/>
      <c r="G44" s="26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</row>
    <row r="45" spans="1:24" x14ac:dyDescent="0.15">
      <c r="A45" s="3" t="s">
        <v>33</v>
      </c>
      <c r="B45" s="26"/>
      <c r="C45" s="26"/>
      <c r="D45" s="26"/>
      <c r="E45" s="26"/>
      <c r="F45" s="26"/>
      <c r="G45" s="26"/>
      <c r="H45" s="30">
        <f>H42-H41-H38</f>
        <v>593254</v>
      </c>
      <c r="I45" s="30">
        <f>I42-I41-I38</f>
        <v>702286</v>
      </c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</row>
    <row r="46" spans="1:24" x14ac:dyDescent="0.15">
      <c r="A46" s="3" t="s">
        <v>34</v>
      </c>
      <c r="B46" s="26"/>
      <c r="C46" s="26"/>
      <c r="D46" s="26"/>
      <c r="E46" s="26"/>
      <c r="F46" s="26"/>
      <c r="G46" s="26"/>
      <c r="H46" s="30">
        <f>H42-H43</f>
        <v>1414799</v>
      </c>
      <c r="I46" s="30">
        <f>I42-I43</f>
        <v>1540901</v>
      </c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</row>
    <row r="47" spans="1:24" x14ac:dyDescent="0.15">
      <c r="B47" s="26"/>
      <c r="C47" s="26"/>
      <c r="D47" s="26"/>
      <c r="E47" s="26"/>
      <c r="F47" s="26"/>
      <c r="G47" s="26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</row>
    <row r="48" spans="1:24" x14ac:dyDescent="0.15">
      <c r="A48" s="3" t="s">
        <v>27</v>
      </c>
      <c r="B48" s="26"/>
      <c r="C48" s="26"/>
      <c r="D48" s="26"/>
      <c r="E48" s="26"/>
      <c r="F48" s="26"/>
      <c r="G48" s="26"/>
      <c r="H48" s="31">
        <f>H25/H46</f>
        <v>0.13752271524082219</v>
      </c>
      <c r="I48" s="31">
        <f>I25/I46</f>
        <v>0.16787970155123527</v>
      </c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</row>
    <row r="49" spans="1:24" x14ac:dyDescent="0.15">
      <c r="A49" s="3" t="s">
        <v>28</v>
      </c>
      <c r="B49" s="26"/>
      <c r="C49" s="26"/>
      <c r="D49" s="26"/>
      <c r="E49" s="26"/>
      <c r="F49" s="26"/>
      <c r="G49" s="26"/>
      <c r="H49" s="31">
        <f>H25/H42</f>
        <v>0.11510769660368786</v>
      </c>
      <c r="I49" s="31">
        <f>I25/I42</f>
        <v>0.13375096363296998</v>
      </c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</row>
    <row r="50" spans="1:24" x14ac:dyDescent="0.15">
      <c r="A50" s="3" t="s">
        <v>29</v>
      </c>
      <c r="B50" s="26"/>
      <c r="C50" s="26"/>
      <c r="D50" s="26"/>
      <c r="E50" s="26"/>
      <c r="F50" s="26"/>
      <c r="G50" s="26"/>
      <c r="H50" s="31">
        <f>H25/(H46-H41)</f>
        <v>0.13890608256247372</v>
      </c>
      <c r="I50" s="31">
        <f>I25/(I46-I41)</f>
        <v>0.16953189102186011</v>
      </c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</row>
    <row r="51" spans="1:24" x14ac:dyDescent="0.15">
      <c r="A51" s="3" t="s">
        <v>30</v>
      </c>
      <c r="B51" s="26"/>
      <c r="C51" s="26"/>
      <c r="D51" s="26"/>
      <c r="E51" s="26"/>
      <c r="F51" s="26"/>
      <c r="G51" s="26"/>
      <c r="H51" s="31">
        <f>H25/H45</f>
        <v>0.32796576171420672</v>
      </c>
      <c r="I51" s="31">
        <f>I25/I45</f>
        <v>0.36834850758807663</v>
      </c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</row>
    <row r="52" spans="1:24" x14ac:dyDescent="0.15">
      <c r="B52" s="26"/>
      <c r="C52" s="26"/>
      <c r="D52" s="26"/>
      <c r="E52" s="26"/>
      <c r="F52" s="26"/>
      <c r="G52" s="26"/>
      <c r="H52" s="50"/>
      <c r="I52" s="50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s="15" customFormat="1" x14ac:dyDescent="0.15">
      <c r="A53" s="5" t="s">
        <v>109</v>
      </c>
      <c r="B53" s="26"/>
      <c r="C53" s="26"/>
      <c r="D53" s="26"/>
      <c r="E53" s="26"/>
      <c r="F53" s="26"/>
      <c r="G53" s="26"/>
      <c r="H53" s="55"/>
      <c r="I53" s="55">
        <f>I12/H12-1</f>
        <v>8.8113676707137323E-2</v>
      </c>
      <c r="J53" s="55">
        <f t="shared" ref="J53:N53" si="48">J12/I12-1</f>
        <v>5.0000000000000044E-2</v>
      </c>
      <c r="K53" s="55">
        <f t="shared" si="48"/>
        <v>5.0000000000000044E-2</v>
      </c>
      <c r="L53" s="55">
        <f t="shared" si="48"/>
        <v>5.0000000000000044E-2</v>
      </c>
      <c r="M53" s="55">
        <f t="shared" si="48"/>
        <v>5.0000000000000044E-2</v>
      </c>
      <c r="N53" s="55">
        <f t="shared" si="48"/>
        <v>5.0000000000000044E-2</v>
      </c>
      <c r="O53" s="31"/>
      <c r="P53" s="31"/>
      <c r="Q53" s="31"/>
      <c r="R53" s="31"/>
      <c r="S53" s="31"/>
      <c r="T53" s="31"/>
      <c r="U53" s="31"/>
      <c r="V53" s="31"/>
      <c r="W53" s="31"/>
      <c r="X53" s="31"/>
    </row>
    <row r="54" spans="1:24" s="15" customFormat="1" x14ac:dyDescent="0.15">
      <c r="A54" s="5" t="s">
        <v>110</v>
      </c>
      <c r="B54" s="26"/>
      <c r="C54" s="26"/>
      <c r="D54" s="26"/>
      <c r="E54" s="26"/>
      <c r="F54" s="26"/>
      <c r="G54" s="26"/>
      <c r="H54" s="55"/>
      <c r="I54" s="55">
        <f>I13/H13-1</f>
        <v>0.11491479742653454</v>
      </c>
      <c r="J54" s="55">
        <f t="shared" ref="J54:N54" si="49">J13/I13-1</f>
        <v>0.10000000000000009</v>
      </c>
      <c r="K54" s="55">
        <f t="shared" si="49"/>
        <v>0.10000000000000009</v>
      </c>
      <c r="L54" s="55">
        <f t="shared" si="49"/>
        <v>0.10000000000000009</v>
      </c>
      <c r="M54" s="55">
        <f t="shared" si="49"/>
        <v>0.10000000000000009</v>
      </c>
      <c r="N54" s="55">
        <f t="shared" si="49"/>
        <v>0.10000000000000009</v>
      </c>
      <c r="O54" s="31"/>
      <c r="P54" s="31"/>
      <c r="Q54" s="31"/>
      <c r="R54" s="31"/>
      <c r="S54" s="31"/>
      <c r="T54" s="31"/>
      <c r="U54" s="31"/>
      <c r="V54" s="31"/>
      <c r="W54" s="31"/>
      <c r="X54" s="31"/>
    </row>
    <row r="55" spans="1:24" s="15" customFormat="1" x14ac:dyDescent="0.15">
      <c r="A55" s="5" t="s">
        <v>43</v>
      </c>
      <c r="B55" s="26"/>
      <c r="C55" s="26"/>
      <c r="D55" s="26"/>
      <c r="E55" s="26"/>
      <c r="F55" s="26"/>
      <c r="G55" s="26"/>
      <c r="H55" s="55"/>
      <c r="I55" s="55">
        <f>I14/H14-1</f>
        <v>0.57106208311954854</v>
      </c>
      <c r="J55" s="55">
        <f t="shared" ref="J55:N55" si="50">J14/I14-1</f>
        <v>0.44999999999999996</v>
      </c>
      <c r="K55" s="55">
        <f t="shared" si="50"/>
        <v>0.44999999999999996</v>
      </c>
      <c r="L55" s="55">
        <f t="shared" si="50"/>
        <v>0.44999999999999996</v>
      </c>
      <c r="M55" s="55">
        <f t="shared" si="50"/>
        <v>0.44999999999999996</v>
      </c>
      <c r="N55" s="55">
        <f t="shared" si="50"/>
        <v>0.44999999999999996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 x14ac:dyDescent="0.15">
      <c r="A56" s="13"/>
      <c r="B56" s="26"/>
      <c r="C56" s="26"/>
      <c r="D56" s="26"/>
      <c r="E56" s="26"/>
      <c r="F56" s="26"/>
      <c r="G56" s="26"/>
      <c r="H56" s="20"/>
    </row>
    <row r="57" spans="1:24" s="48" customFormat="1" x14ac:dyDescent="0.15">
      <c r="A57" s="4" t="s">
        <v>105</v>
      </c>
      <c r="B57" s="26"/>
      <c r="C57" s="26"/>
      <c r="D57" s="26"/>
      <c r="E57" s="26"/>
      <c r="F57" s="45">
        <v>108.38</v>
      </c>
      <c r="G57" s="45">
        <v>110.85</v>
      </c>
      <c r="H57" s="45">
        <v>110.91</v>
      </c>
      <c r="I57" s="45">
        <v>108.74</v>
      </c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</row>
    <row r="58" spans="1:24" s="2" customFormat="1" x14ac:dyDescent="0.15">
      <c r="A58" s="2" t="s">
        <v>58</v>
      </c>
      <c r="B58" s="26"/>
      <c r="C58" s="26"/>
      <c r="D58" s="26"/>
      <c r="E58" s="26"/>
      <c r="F58" s="29">
        <f>F16/F57</f>
        <v>4512.7791105369997</v>
      </c>
      <c r="G58" s="29">
        <f>G16/G57</f>
        <v>9523.5002255299951</v>
      </c>
      <c r="H58" s="29">
        <f>H16/H57</f>
        <v>10824.623568659274</v>
      </c>
      <c r="I58" s="29">
        <f>I16/I57</f>
        <v>12033.465146220342</v>
      </c>
      <c r="J58" s="51">
        <f>J16/$C$9</f>
        <v>12669.988044877691</v>
      </c>
      <c r="K58" s="51">
        <f>K16/$C$9</f>
        <v>13345.764300165534</v>
      </c>
      <c r="L58" s="51">
        <f>L16/$C$9</f>
        <v>14065.273312488509</v>
      </c>
      <c r="M58" s="51">
        <f>M16/$C$9</f>
        <v>14834.268430660295</v>
      </c>
      <c r="N58" s="51">
        <f>N16/$C$9</f>
        <v>15660.304884472142</v>
      </c>
      <c r="O58" s="51">
        <f>O16/$C$9</f>
        <v>15816.907933316863</v>
      </c>
      <c r="P58" s="51">
        <f>P16/$C$9</f>
        <v>15975.077012650032</v>
      </c>
      <c r="Q58" s="51">
        <f>Q16/$C$9</f>
        <v>16134.827782776531</v>
      </c>
      <c r="R58" s="51">
        <f>R16/$C$9</f>
        <v>16296.176060604297</v>
      </c>
      <c r="S58" s="51">
        <f>S16/$C$9</f>
        <v>16459.137821210341</v>
      </c>
      <c r="T58" s="51">
        <f>T16/$C$9</f>
        <v>16623.729199422443</v>
      </c>
      <c r="U58" s="51">
        <f>U16/$C$9</f>
        <v>16789.966491416668</v>
      </c>
      <c r="V58" s="51">
        <f>V16/$C$9</f>
        <v>16957.866156330834</v>
      </c>
      <c r="W58" s="51">
        <f>W16/$C$9</f>
        <v>17127.444817894142</v>
      </c>
      <c r="X58" s="51">
        <f>X16/$C$9</f>
        <v>17298.719266073083</v>
      </c>
    </row>
    <row r="59" spans="1:24" s="2" customFormat="1" x14ac:dyDescent="0.15">
      <c r="A59" s="2" t="s">
        <v>59</v>
      </c>
      <c r="B59" s="26"/>
      <c r="C59" s="26"/>
      <c r="D59" s="26"/>
      <c r="E59" s="26"/>
      <c r="F59" s="29">
        <f>F25/F57</f>
        <v>946.52149843144491</v>
      </c>
      <c r="G59" s="29">
        <f>G25/G57</f>
        <v>1271.4839873703204</v>
      </c>
      <c r="H59" s="29">
        <f>H25/H57</f>
        <v>1754.2782436209541</v>
      </c>
      <c r="I59" s="29">
        <f>I25/I57</f>
        <v>2378.9405922383667</v>
      </c>
      <c r="J59" s="51">
        <f>J25/$C$9</f>
        <v>2537.7552915712918</v>
      </c>
      <c r="K59" s="51">
        <f>K25/$C$9</f>
        <v>2707.4829710307276</v>
      </c>
      <c r="L59" s="51">
        <f>L25/$C$9</f>
        <v>2889.7103732412615</v>
      </c>
      <c r="M59" s="51">
        <f>M25/$C$9</f>
        <v>3086.3430597933129</v>
      </c>
      <c r="N59" s="51">
        <f>N25/$C$9</f>
        <v>3299.9196011050076</v>
      </c>
      <c r="O59" s="51">
        <f>O25/$C$9</f>
        <v>3447.41982694532</v>
      </c>
      <c r="P59" s="51">
        <f>P25/$C$9</f>
        <v>3596.5718005199574</v>
      </c>
      <c r="Q59" s="51">
        <f>Q25/$C$9</f>
        <v>3747.4230391217611</v>
      </c>
      <c r="R59" s="51">
        <f>R25/$C$9</f>
        <v>3900.021398706338</v>
      </c>
      <c r="S59" s="51">
        <f>S25/$C$9</f>
        <v>4054.4150867777039</v>
      </c>
      <c r="T59" s="51">
        <f>T25/$C$9</f>
        <v>4210.652675307555</v>
      </c>
      <c r="U59" s="51">
        <f>U25/$C$9</f>
        <v>4368.7831136917521</v>
      </c>
      <c r="V59" s="51">
        <f>V25/$C$9</f>
        <v>4528.8557417475695</v>
      </c>
      <c r="W59" s="51">
        <f>W25/$C$9</f>
        <v>4690.9203027552549</v>
      </c>
      <c r="X59" s="51">
        <f>X25/$C$9</f>
        <v>4855.0269565474355</v>
      </c>
    </row>
    <row r="60" spans="1:24" x14ac:dyDescent="0.15">
      <c r="B60" s="26"/>
      <c r="C60" s="26"/>
      <c r="D60" s="26"/>
      <c r="E60" s="26"/>
    </row>
    <row r="61" spans="1:24" s="2" customFormat="1" x14ac:dyDescent="0.15">
      <c r="A61" s="2" t="s">
        <v>103</v>
      </c>
      <c r="B61" s="26"/>
      <c r="C61" s="26"/>
      <c r="D61" s="26"/>
      <c r="E61" s="26"/>
      <c r="F61" s="54"/>
      <c r="G61" s="54">
        <f t="shared" ref="F61:J61" si="51">G58/F58-1</f>
        <v>1.1103404337458791</v>
      </c>
      <c r="H61" s="54">
        <f t="shared" si="51"/>
        <v>0.13662238802087812</v>
      </c>
      <c r="I61" s="54">
        <f t="shared" si="51"/>
        <v>0.11167516079367878</v>
      </c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</row>
    <row r="62" spans="1:24" x14ac:dyDescent="0.15">
      <c r="B62" s="26"/>
      <c r="C62" s="26"/>
      <c r="D62" s="26"/>
      <c r="E62" s="26"/>
    </row>
    <row r="63" spans="1:24" s="2" customFormat="1" x14ac:dyDescent="0.15">
      <c r="A63" s="2" t="s">
        <v>102</v>
      </c>
      <c r="B63" s="26"/>
      <c r="C63" s="26"/>
      <c r="D63" s="26"/>
      <c r="E63" s="26"/>
      <c r="F63" s="3"/>
      <c r="G63" s="26"/>
      <c r="H63" s="29">
        <f>H37/H57</f>
        <v>9226.1383103417193</v>
      </c>
      <c r="I63" s="29">
        <f>I37/I57</f>
        <v>10287.934522714733</v>
      </c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</row>
    <row r="64" spans="1:24" x14ac:dyDescent="0.15">
      <c r="G64" s="26"/>
    </row>
  </sheetData>
  <hyperlinks>
    <hyperlink ref="L4" r:id="rId1" xr:uid="{BA4807F2-D005-6C48-9ABD-4F99B4D4EFAA}"/>
    <hyperlink ref="A1" r:id="rId2" xr:uid="{00000000-0004-0000-0000-000003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L47" sqref="L47"/>
    </sheetView>
  </sheetViews>
  <sheetFormatPr baseColWidth="10" defaultRowHeight="13" x14ac:dyDescent="0.15"/>
  <cols>
    <col min="1" max="1" width="18" style="3" bestFit="1" customWidth="1"/>
    <col min="2" max="5" width="10.83203125" style="22"/>
    <col min="6" max="6" width="10.83203125" style="23"/>
    <col min="7" max="9" width="10.83203125" style="22"/>
    <col min="10" max="10" width="10.83203125" style="23"/>
    <col min="11" max="13" width="10.83203125" style="22"/>
    <col min="14" max="14" width="10.83203125" style="23"/>
    <col min="15" max="17" width="10.83203125" style="22"/>
    <col min="18" max="18" width="10.83203125" style="23"/>
    <col min="19" max="21" width="10.83203125" style="22"/>
    <col min="22" max="22" width="10.83203125" style="23"/>
    <col min="23" max="24" width="10.83203125" style="22"/>
    <col min="25" max="16384" width="10.83203125" style="3"/>
  </cols>
  <sheetData>
    <row r="1" spans="1:24" x14ac:dyDescent="0.15">
      <c r="A1" s="14" t="s">
        <v>106</v>
      </c>
      <c r="N1" s="60">
        <v>43281</v>
      </c>
      <c r="R1" s="60">
        <v>43646</v>
      </c>
    </row>
    <row r="2" spans="1:24" x14ac:dyDescent="0.15">
      <c r="B2" s="22" t="s">
        <v>67</v>
      </c>
      <c r="C2" s="22" t="s">
        <v>66</v>
      </c>
      <c r="D2" s="22" t="s">
        <v>65</v>
      </c>
      <c r="E2" s="22" t="s">
        <v>64</v>
      </c>
      <c r="F2" s="23" t="s">
        <v>60</v>
      </c>
      <c r="G2" s="22" t="s">
        <v>61</v>
      </c>
      <c r="H2" s="22" t="s">
        <v>62</v>
      </c>
      <c r="I2" s="22" t="s">
        <v>63</v>
      </c>
      <c r="J2" s="23" t="s">
        <v>50</v>
      </c>
      <c r="K2" s="22" t="s">
        <v>49</v>
      </c>
      <c r="L2" s="22" t="s">
        <v>48</v>
      </c>
      <c r="M2" s="22" t="s">
        <v>47</v>
      </c>
      <c r="N2" s="23" t="s">
        <v>46</v>
      </c>
      <c r="O2" s="22" t="s">
        <v>45</v>
      </c>
      <c r="P2" s="22" t="s">
        <v>44</v>
      </c>
      <c r="Q2" s="22" t="s">
        <v>42</v>
      </c>
      <c r="R2" s="23" t="s">
        <v>68</v>
      </c>
      <c r="S2" s="22" t="s">
        <v>69</v>
      </c>
      <c r="T2" s="22" t="s">
        <v>70</v>
      </c>
      <c r="U2" s="22" t="s">
        <v>71</v>
      </c>
    </row>
    <row r="3" spans="1:24" s="5" customFormat="1" x14ac:dyDescent="0.15">
      <c r="A3" s="5" t="s">
        <v>107</v>
      </c>
      <c r="B3" s="26"/>
      <c r="C3" s="26"/>
      <c r="D3" s="26"/>
      <c r="E3" s="26"/>
      <c r="F3" s="27"/>
      <c r="G3" s="26"/>
      <c r="H3" s="26"/>
      <c r="I3" s="26"/>
      <c r="J3" s="27"/>
      <c r="K3" s="26"/>
      <c r="L3" s="26"/>
      <c r="M3" s="26"/>
      <c r="N3" s="27">
        <v>158517</v>
      </c>
      <c r="O3" s="26"/>
      <c r="P3" s="26"/>
      <c r="Q3" s="26"/>
      <c r="R3" s="27">
        <v>161629</v>
      </c>
      <c r="S3" s="26"/>
      <c r="T3" s="26"/>
      <c r="U3" s="26"/>
      <c r="V3" s="27"/>
      <c r="W3" s="26"/>
      <c r="X3" s="26"/>
    </row>
    <row r="4" spans="1:24" s="5" customFormat="1" x14ac:dyDescent="0.15">
      <c r="A4" s="5" t="s">
        <v>108</v>
      </c>
      <c r="B4" s="26"/>
      <c r="C4" s="26"/>
      <c r="D4" s="26"/>
      <c r="E4" s="26"/>
      <c r="F4" s="27"/>
      <c r="G4" s="26"/>
      <c r="H4" s="26"/>
      <c r="I4" s="26"/>
      <c r="J4" s="27"/>
      <c r="K4" s="26"/>
      <c r="L4" s="26"/>
      <c r="M4" s="26"/>
      <c r="N4" s="27">
        <v>9097</v>
      </c>
      <c r="O4" s="26"/>
      <c r="P4" s="26"/>
      <c r="Q4" s="26"/>
      <c r="R4" s="27">
        <v>10005</v>
      </c>
      <c r="S4" s="26"/>
      <c r="T4" s="26"/>
      <c r="U4" s="26"/>
      <c r="V4" s="27"/>
      <c r="W4" s="26"/>
      <c r="X4" s="26"/>
    </row>
    <row r="5" spans="1:24" s="5" customFormat="1" x14ac:dyDescent="0.15">
      <c r="A5" s="5" t="s">
        <v>11</v>
      </c>
      <c r="B5" s="26"/>
      <c r="C5" s="26"/>
      <c r="D5" s="26"/>
      <c r="E5" s="26"/>
      <c r="F5" s="27"/>
      <c r="G5" s="26"/>
      <c r="H5" s="26"/>
      <c r="I5" s="26"/>
      <c r="J5" s="27"/>
      <c r="K5" s="26"/>
      <c r="L5" s="26"/>
      <c r="M5" s="26"/>
      <c r="N5" s="27">
        <v>541</v>
      </c>
      <c r="O5" s="26"/>
      <c r="P5" s="26"/>
      <c r="Q5" s="26"/>
      <c r="R5" s="27">
        <v>475</v>
      </c>
      <c r="S5" s="26"/>
      <c r="T5" s="26"/>
      <c r="U5" s="26"/>
      <c r="V5" s="27"/>
      <c r="W5" s="26"/>
      <c r="X5" s="26"/>
    </row>
    <row r="6" spans="1:24" s="5" customFormat="1" x14ac:dyDescent="0.15">
      <c r="B6" s="26"/>
      <c r="C6" s="26"/>
      <c r="D6" s="26"/>
      <c r="E6" s="26"/>
      <c r="F6" s="27"/>
      <c r="G6" s="26"/>
      <c r="H6" s="26"/>
      <c r="I6" s="26"/>
      <c r="J6" s="27"/>
      <c r="K6" s="26"/>
      <c r="L6" s="26"/>
      <c r="M6" s="26"/>
      <c r="N6" s="27"/>
      <c r="O6" s="26"/>
      <c r="P6" s="26"/>
      <c r="Q6" s="26"/>
      <c r="R6" s="27"/>
      <c r="S6" s="26"/>
      <c r="T6" s="26"/>
      <c r="U6" s="26"/>
      <c r="V6" s="27"/>
      <c r="W6" s="26"/>
      <c r="X6" s="26"/>
    </row>
    <row r="7" spans="1:24" s="5" customFormat="1" x14ac:dyDescent="0.15">
      <c r="B7" s="26"/>
      <c r="C7" s="26"/>
      <c r="D7" s="26"/>
      <c r="E7" s="26"/>
      <c r="F7" s="27"/>
      <c r="G7" s="26"/>
      <c r="H7" s="26"/>
      <c r="I7" s="26"/>
      <c r="J7" s="27"/>
      <c r="K7" s="26"/>
      <c r="L7" s="26"/>
      <c r="M7" s="26"/>
      <c r="N7" s="27"/>
      <c r="O7" s="26"/>
      <c r="P7" s="26"/>
      <c r="Q7" s="26"/>
      <c r="R7" s="27"/>
      <c r="S7" s="26"/>
      <c r="T7" s="26"/>
      <c r="U7" s="26"/>
      <c r="V7" s="27"/>
      <c r="W7" s="26"/>
      <c r="X7" s="26"/>
    </row>
    <row r="8" spans="1:24" s="43" customFormat="1" x14ac:dyDescent="0.15">
      <c r="C8" s="22"/>
      <c r="D8" s="22"/>
      <c r="E8" s="22"/>
      <c r="F8" s="41"/>
      <c r="G8" s="22"/>
      <c r="H8" s="22"/>
      <c r="I8" s="22"/>
      <c r="J8" s="41"/>
      <c r="K8" s="22"/>
      <c r="L8" s="22"/>
      <c r="M8" s="22"/>
      <c r="N8" s="41"/>
      <c r="O8" s="22"/>
      <c r="P8" s="22"/>
      <c r="Q8" s="22"/>
      <c r="R8" s="41"/>
      <c r="S8" s="22"/>
      <c r="T8" s="22"/>
      <c r="U8" s="22"/>
      <c r="V8" s="41"/>
    </row>
    <row r="9" spans="1:24" s="28" customFormat="1" x14ac:dyDescent="0.15">
      <c r="A9" s="28" t="s">
        <v>8</v>
      </c>
      <c r="B9" s="29">
        <f t="shared" ref="B9:J9" si="0">SUM(B6:B7)</f>
        <v>0</v>
      </c>
      <c r="C9" s="22"/>
      <c r="D9" s="22"/>
      <c r="E9" s="22"/>
      <c r="F9" s="37">
        <f t="shared" si="0"/>
        <v>0</v>
      </c>
      <c r="G9" s="22"/>
      <c r="H9" s="22"/>
      <c r="I9" s="22"/>
      <c r="J9" s="37">
        <f t="shared" si="0"/>
        <v>0</v>
      </c>
      <c r="K9" s="22"/>
      <c r="L9" s="22"/>
      <c r="M9" s="22"/>
      <c r="N9" s="37">
        <f>SUM(N3:N5)</f>
        <v>168155</v>
      </c>
      <c r="O9" s="22"/>
      <c r="P9" s="22"/>
      <c r="Q9" s="22"/>
      <c r="R9" s="37">
        <f>SUM(R3:R5)</f>
        <v>172109</v>
      </c>
      <c r="S9" s="22"/>
      <c r="T9" s="22"/>
      <c r="U9" s="22"/>
      <c r="V9" s="46"/>
      <c r="W9" s="44"/>
      <c r="X9" s="44"/>
    </row>
    <row r="10" spans="1:24" s="5" customFormat="1" x14ac:dyDescent="0.15">
      <c r="A10" s="5" t="s">
        <v>12</v>
      </c>
      <c r="B10" s="26">
        <v>5326</v>
      </c>
      <c r="C10" s="22"/>
      <c r="D10" s="22"/>
      <c r="E10" s="22"/>
      <c r="F10" s="27">
        <v>7563</v>
      </c>
      <c r="G10" s="22"/>
      <c r="H10" s="22"/>
      <c r="I10" s="22"/>
      <c r="J10" s="27">
        <v>9233</v>
      </c>
      <c r="K10" s="22"/>
      <c r="L10" s="22"/>
      <c r="M10" s="22"/>
      <c r="N10" s="27">
        <v>9903</v>
      </c>
      <c r="O10" s="22"/>
      <c r="P10" s="22"/>
      <c r="Q10" s="22"/>
      <c r="R10" s="27">
        <v>88693</v>
      </c>
      <c r="S10" s="22"/>
      <c r="T10" s="22"/>
      <c r="U10" s="22"/>
      <c r="V10" s="27"/>
      <c r="W10" s="26"/>
      <c r="X10" s="26"/>
    </row>
    <row r="11" spans="1:24" s="5" customFormat="1" x14ac:dyDescent="0.15">
      <c r="A11" s="5" t="s">
        <v>13</v>
      </c>
      <c r="B11" s="30">
        <f t="shared" ref="B11:R11" si="1">B9-B10</f>
        <v>-5326</v>
      </c>
      <c r="C11" s="26"/>
      <c r="D11" s="26"/>
      <c r="E11" s="26"/>
      <c r="F11" s="38">
        <f t="shared" si="1"/>
        <v>-7563</v>
      </c>
      <c r="G11" s="26"/>
      <c r="H11" s="26"/>
      <c r="I11" s="26"/>
      <c r="J11" s="38">
        <f t="shared" si="1"/>
        <v>-9233</v>
      </c>
      <c r="K11" s="26"/>
      <c r="L11" s="26"/>
      <c r="M11" s="26"/>
      <c r="N11" s="38">
        <f t="shared" si="1"/>
        <v>158252</v>
      </c>
      <c r="O11" s="26"/>
      <c r="P11" s="26"/>
      <c r="Q11" s="26"/>
      <c r="R11" s="38">
        <f t="shared" si="1"/>
        <v>83416</v>
      </c>
      <c r="S11" s="22"/>
      <c r="T11" s="22"/>
      <c r="U11" s="22"/>
      <c r="V11" s="27"/>
      <c r="W11" s="26"/>
      <c r="X11" s="26"/>
    </row>
    <row r="12" spans="1:24" s="5" customFormat="1" x14ac:dyDescent="0.15">
      <c r="A12" s="5" t="s">
        <v>35</v>
      </c>
      <c r="B12" s="26">
        <v>2957</v>
      </c>
      <c r="C12" s="22"/>
      <c r="D12" s="22"/>
      <c r="E12" s="22"/>
      <c r="F12" s="27">
        <v>3946</v>
      </c>
      <c r="G12" s="22"/>
      <c r="H12" s="22"/>
      <c r="I12" s="22"/>
      <c r="J12" s="27">
        <v>2817</v>
      </c>
      <c r="K12" s="22"/>
      <c r="L12" s="22"/>
      <c r="M12" s="22"/>
      <c r="N12" s="27">
        <v>3142</v>
      </c>
      <c r="O12" s="22"/>
      <c r="P12" s="22"/>
      <c r="Q12" s="22"/>
      <c r="R12" s="27">
        <v>55989</v>
      </c>
      <c r="S12" s="22"/>
      <c r="T12" s="22"/>
      <c r="U12" s="22"/>
      <c r="V12" s="27"/>
      <c r="W12" s="26"/>
      <c r="X12" s="26"/>
    </row>
    <row r="13" spans="1:24" s="5" customFormat="1" x14ac:dyDescent="0.15">
      <c r="A13" s="5" t="s">
        <v>14</v>
      </c>
      <c r="B13" s="30">
        <f>SUM(B12:B12)</f>
        <v>2957</v>
      </c>
      <c r="C13" s="22"/>
      <c r="D13" s="22"/>
      <c r="E13" s="22"/>
      <c r="F13" s="38">
        <f>SUM(F12:F12)</f>
        <v>3946</v>
      </c>
      <c r="G13" s="22"/>
      <c r="H13" s="22"/>
      <c r="I13" s="22"/>
      <c r="J13" s="38">
        <f>SUM(J12:J12)</f>
        <v>2817</v>
      </c>
      <c r="K13" s="22"/>
      <c r="L13" s="22"/>
      <c r="M13" s="22"/>
      <c r="N13" s="38">
        <f>SUM(N12:N12)</f>
        <v>3142</v>
      </c>
      <c r="O13" s="22"/>
      <c r="P13" s="22"/>
      <c r="Q13" s="22"/>
      <c r="R13" s="38">
        <f>SUM(R12:R12)</f>
        <v>55989</v>
      </c>
      <c r="S13" s="22"/>
      <c r="T13" s="22"/>
      <c r="U13" s="22"/>
      <c r="V13" s="27"/>
      <c r="W13" s="26"/>
      <c r="X13" s="26"/>
    </row>
    <row r="14" spans="1:24" s="5" customFormat="1" x14ac:dyDescent="0.15">
      <c r="A14" s="5" t="s">
        <v>15</v>
      </c>
      <c r="B14" s="30">
        <f>B11-B13</f>
        <v>-8283</v>
      </c>
      <c r="C14" s="22"/>
      <c r="D14" s="22"/>
      <c r="E14" s="22"/>
      <c r="F14" s="38">
        <f>F11-F13</f>
        <v>-11509</v>
      </c>
      <c r="G14" s="22"/>
      <c r="H14" s="22"/>
      <c r="I14" s="22"/>
      <c r="J14" s="38">
        <f>J11-J13</f>
        <v>-12050</v>
      </c>
      <c r="K14" s="22"/>
      <c r="L14" s="22"/>
      <c r="M14" s="22"/>
      <c r="N14" s="38">
        <f>N11-N13</f>
        <v>155110</v>
      </c>
      <c r="O14" s="22"/>
      <c r="P14" s="22"/>
      <c r="Q14" s="22"/>
      <c r="R14" s="38">
        <f>R11-R13</f>
        <v>27427</v>
      </c>
      <c r="S14" s="22"/>
      <c r="T14" s="22"/>
      <c r="U14" s="22"/>
      <c r="V14" s="27"/>
      <c r="W14" s="26"/>
      <c r="X14" s="26"/>
    </row>
    <row r="15" spans="1:24" s="5" customFormat="1" x14ac:dyDescent="0.15">
      <c r="A15" s="5" t="s">
        <v>16</v>
      </c>
      <c r="B15" s="26">
        <v>454</v>
      </c>
      <c r="C15" s="26"/>
      <c r="D15" s="26"/>
      <c r="E15" s="26"/>
      <c r="F15" s="27">
        <v>443</v>
      </c>
      <c r="G15" s="26"/>
      <c r="H15" s="26"/>
      <c r="I15" s="26"/>
      <c r="J15" s="27">
        <f>649-323-101-76+21</f>
        <v>170</v>
      </c>
      <c r="K15" s="26"/>
      <c r="L15" s="26"/>
      <c r="M15" s="26"/>
      <c r="N15" s="27">
        <f>821-352-48-177+1856</f>
        <v>2100</v>
      </c>
      <c r="O15" s="26"/>
      <c r="P15" s="26"/>
      <c r="Q15" s="26"/>
      <c r="R15" s="27">
        <f>6916-12112+139-70</f>
        <v>-5127</v>
      </c>
      <c r="S15" s="22"/>
      <c r="T15" s="22"/>
      <c r="U15" s="22"/>
      <c r="V15" s="27"/>
      <c r="W15" s="26"/>
      <c r="X15" s="26"/>
    </row>
    <row r="16" spans="1:24" s="5" customFormat="1" x14ac:dyDescent="0.15">
      <c r="A16" s="5" t="s">
        <v>17</v>
      </c>
      <c r="B16" s="30">
        <f t="shared" ref="B16:R16" si="2">B14+B15</f>
        <v>-7829</v>
      </c>
      <c r="C16" s="26"/>
      <c r="D16" s="26"/>
      <c r="E16" s="26"/>
      <c r="F16" s="38">
        <f t="shared" si="2"/>
        <v>-11066</v>
      </c>
      <c r="G16" s="26"/>
      <c r="H16" s="26"/>
      <c r="I16" s="26"/>
      <c r="J16" s="38">
        <f t="shared" si="2"/>
        <v>-11880</v>
      </c>
      <c r="K16" s="26"/>
      <c r="L16" s="26"/>
      <c r="M16" s="26"/>
      <c r="N16" s="38">
        <f t="shared" si="2"/>
        <v>157210</v>
      </c>
      <c r="O16" s="26"/>
      <c r="P16" s="26"/>
      <c r="Q16" s="26"/>
      <c r="R16" s="38">
        <f t="shared" si="2"/>
        <v>22300</v>
      </c>
      <c r="S16" s="22"/>
      <c r="T16" s="22"/>
      <c r="U16" s="22"/>
      <c r="V16" s="27"/>
      <c r="W16" s="26"/>
      <c r="X16" s="26"/>
    </row>
    <row r="17" spans="1:24" s="5" customFormat="1" x14ac:dyDescent="0.15">
      <c r="A17" s="5" t="s">
        <v>18</v>
      </c>
      <c r="B17" s="26">
        <v>541</v>
      </c>
      <c r="C17" s="22"/>
      <c r="D17" s="22"/>
      <c r="E17" s="22"/>
      <c r="F17" s="27">
        <v>675</v>
      </c>
      <c r="G17" s="22"/>
      <c r="H17" s="22"/>
      <c r="I17" s="22"/>
      <c r="J17" s="27">
        <v>405</v>
      </c>
      <c r="K17" s="22"/>
      <c r="L17" s="22"/>
      <c r="M17" s="22"/>
      <c r="N17" s="27">
        <v>1120</v>
      </c>
      <c r="O17" s="22"/>
      <c r="P17" s="22"/>
      <c r="Q17" s="22"/>
      <c r="R17" s="27">
        <v>5697</v>
      </c>
      <c r="S17" s="22"/>
      <c r="T17" s="22"/>
      <c r="U17" s="22"/>
      <c r="V17" s="27"/>
      <c r="W17" s="26"/>
      <c r="X17" s="26"/>
    </row>
    <row r="18" spans="1:24" s="28" customFormat="1" x14ac:dyDescent="0.15">
      <c r="A18" s="28" t="s">
        <v>9</v>
      </c>
      <c r="B18" s="29">
        <f t="shared" ref="B18:N18" si="3">B16-B17</f>
        <v>-8370</v>
      </c>
      <c r="C18" s="22"/>
      <c r="D18" s="22"/>
      <c r="E18" s="22"/>
      <c r="F18" s="37">
        <f t="shared" si="3"/>
        <v>-11741</v>
      </c>
      <c r="G18" s="22"/>
      <c r="H18" s="22"/>
      <c r="I18" s="22"/>
      <c r="J18" s="37">
        <f t="shared" si="3"/>
        <v>-12285</v>
      </c>
      <c r="K18" s="22"/>
      <c r="L18" s="22"/>
      <c r="M18" s="22"/>
      <c r="N18" s="37">
        <f t="shared" si="3"/>
        <v>156090</v>
      </c>
      <c r="O18" s="22"/>
      <c r="P18" s="22"/>
      <c r="Q18" s="22"/>
      <c r="R18" s="37">
        <f t="shared" ref="R18" si="4">R16-R17</f>
        <v>16603</v>
      </c>
      <c r="S18" s="22"/>
      <c r="T18" s="22"/>
      <c r="U18" s="22"/>
      <c r="V18" s="46"/>
      <c r="W18" s="44"/>
      <c r="X18" s="44"/>
    </row>
    <row r="19" spans="1:24" s="4" customFormat="1" x14ac:dyDescent="0.15">
      <c r="A19" s="4" t="s">
        <v>19</v>
      </c>
      <c r="B19" s="36">
        <f t="shared" ref="B19:N19" si="5">B18/B20</f>
        <v>-237.32985370528471</v>
      </c>
      <c r="C19" s="22"/>
      <c r="D19" s="22"/>
      <c r="E19" s="22"/>
      <c r="F19" s="39">
        <f t="shared" si="5"/>
        <v>-338.53307370961551</v>
      </c>
      <c r="G19" s="22"/>
      <c r="H19" s="22"/>
      <c r="I19" s="22"/>
      <c r="J19" s="39">
        <f t="shared" si="5"/>
        <v>-352.31076717626837</v>
      </c>
      <c r="K19" s="22"/>
      <c r="L19" s="22"/>
      <c r="M19" s="22"/>
      <c r="N19" s="39">
        <f t="shared" si="5"/>
        <v>4436.7761530032585</v>
      </c>
      <c r="O19" s="22"/>
      <c r="P19" s="22"/>
      <c r="Q19" s="22"/>
      <c r="R19" s="39">
        <f t="shared" ref="R19" si="6">R18/R20</f>
        <v>474.82396294090915</v>
      </c>
      <c r="S19" s="22"/>
      <c r="T19" s="22"/>
      <c r="U19" s="22"/>
      <c r="V19" s="47"/>
      <c r="W19" s="45"/>
      <c r="X19" s="45"/>
    </row>
    <row r="20" spans="1:24" s="5" customFormat="1" x14ac:dyDescent="0.15">
      <c r="A20" s="5" t="s">
        <v>1</v>
      </c>
      <c r="B20" s="26">
        <v>35.267370999999997</v>
      </c>
      <c r="C20" s="26"/>
      <c r="D20" s="26"/>
      <c r="E20" s="26"/>
      <c r="F20" s="27">
        <v>34.681987999999997</v>
      </c>
      <c r="G20" s="26"/>
      <c r="H20" s="26"/>
      <c r="I20" s="26"/>
      <c r="J20" s="27">
        <v>34.869782999999998</v>
      </c>
      <c r="K20" s="26"/>
      <c r="L20" s="26"/>
      <c r="M20" s="26"/>
      <c r="N20" s="27">
        <v>35.180950000000003</v>
      </c>
      <c r="O20" s="26"/>
      <c r="P20" s="26"/>
      <c r="Q20" s="26"/>
      <c r="R20" s="27">
        <v>34.966642999999998</v>
      </c>
      <c r="S20" s="22"/>
      <c r="T20" s="22"/>
      <c r="U20" s="22"/>
      <c r="V20" s="27"/>
      <c r="W20" s="26"/>
      <c r="X20" s="26"/>
    </row>
    <row r="21" spans="1:24" x14ac:dyDescent="0.15">
      <c r="C21" s="26"/>
      <c r="D21" s="26"/>
      <c r="E21" s="26"/>
      <c r="G21" s="26"/>
      <c r="H21" s="26"/>
      <c r="I21" s="26"/>
      <c r="K21" s="26"/>
      <c r="L21" s="26"/>
      <c r="M21" s="26"/>
      <c r="O21" s="26"/>
      <c r="P21" s="26"/>
      <c r="Q21" s="26"/>
    </row>
    <row r="22" spans="1:24" s="2" customFormat="1" x14ac:dyDescent="0.15">
      <c r="A22" s="2" t="s">
        <v>10</v>
      </c>
      <c r="B22" s="34"/>
      <c r="C22" s="22"/>
      <c r="D22" s="22"/>
      <c r="E22" s="22"/>
      <c r="F22" s="40" t="e">
        <f>F9/B9-1</f>
        <v>#DIV/0!</v>
      </c>
      <c r="G22" s="22"/>
      <c r="H22" s="22"/>
      <c r="I22" s="22"/>
      <c r="J22" s="40" t="e">
        <f>J9/F9-1</f>
        <v>#DIV/0!</v>
      </c>
      <c r="K22" s="22"/>
      <c r="L22" s="22"/>
      <c r="M22" s="22"/>
      <c r="N22" s="40" t="e">
        <f>N9/J9-1</f>
        <v>#DIV/0!</v>
      </c>
      <c r="O22" s="22"/>
      <c r="P22" s="22"/>
      <c r="Q22" s="22"/>
      <c r="R22" s="40">
        <f>R9/N9-1</f>
        <v>2.3514019803157815E-2</v>
      </c>
      <c r="S22" s="22"/>
      <c r="T22" s="22"/>
      <c r="U22" s="22"/>
      <c r="V22" s="33"/>
      <c r="W22" s="32"/>
      <c r="X22" s="32"/>
    </row>
    <row r="23" spans="1:24" x14ac:dyDescent="0.15">
      <c r="A23" s="3" t="s">
        <v>20</v>
      </c>
      <c r="B23" s="31"/>
      <c r="F23" s="35" t="e">
        <f>#REF!/#REF!-1</f>
        <v>#REF!</v>
      </c>
      <c r="J23" s="35" t="e">
        <f>#REF!/#REF!-1</f>
        <v>#REF!</v>
      </c>
      <c r="N23" s="35" t="e">
        <f>#REF!/#REF!-1</f>
        <v>#REF!</v>
      </c>
      <c r="R23" s="35" t="e">
        <f>#REF!/#REF!-1</f>
        <v>#REF!</v>
      </c>
    </row>
    <row r="24" spans="1:24" x14ac:dyDescent="0.15">
      <c r="A24" s="3" t="s">
        <v>36</v>
      </c>
      <c r="B24" s="31"/>
      <c r="F24" s="35">
        <f t="shared" ref="F24:R24" si="7">F12/B12-1</f>
        <v>0.33446060196144733</v>
      </c>
      <c r="J24" s="35">
        <f t="shared" si="7"/>
        <v>-0.28611251900658896</v>
      </c>
      <c r="N24" s="35">
        <f t="shared" si="7"/>
        <v>0.11537096201632946</v>
      </c>
      <c r="R24" s="35">
        <f t="shared" si="7"/>
        <v>16.819541693189052</v>
      </c>
    </row>
    <row r="25" spans="1:24" x14ac:dyDescent="0.15">
      <c r="C25" s="26"/>
      <c r="D25" s="26"/>
      <c r="E25" s="26"/>
      <c r="G25" s="26"/>
      <c r="H25" s="26"/>
      <c r="I25" s="26"/>
      <c r="K25" s="26"/>
      <c r="L25" s="26"/>
      <c r="M25" s="26"/>
      <c r="O25" s="26"/>
      <c r="P25" s="26"/>
      <c r="Q25" s="26"/>
    </row>
    <row r="26" spans="1:24" x14ac:dyDescent="0.15">
      <c r="A26" s="3" t="s">
        <v>21</v>
      </c>
      <c r="B26" s="31" t="e">
        <f>B11/B9</f>
        <v>#DIV/0!</v>
      </c>
      <c r="C26" s="26"/>
      <c r="D26" s="26"/>
      <c r="E26" s="26"/>
      <c r="F26" s="35" t="e">
        <f>F11/F9</f>
        <v>#DIV/0!</v>
      </c>
      <c r="G26" s="26"/>
      <c r="H26" s="26"/>
      <c r="I26" s="26"/>
      <c r="J26" s="35" t="e">
        <f>J11/J9</f>
        <v>#DIV/0!</v>
      </c>
      <c r="K26" s="26"/>
      <c r="L26" s="26"/>
      <c r="M26" s="26"/>
      <c r="N26" s="35">
        <f>N11/N9</f>
        <v>0.94110790639588471</v>
      </c>
      <c r="O26" s="26"/>
      <c r="P26" s="26"/>
      <c r="Q26" s="26"/>
      <c r="R26" s="35">
        <f>R11/R9</f>
        <v>0.48466959891696543</v>
      </c>
    </row>
    <row r="27" spans="1:24" x14ac:dyDescent="0.15">
      <c r="A27" s="3" t="s">
        <v>22</v>
      </c>
      <c r="B27" s="31" t="e">
        <f>B14/B9</f>
        <v>#DIV/0!</v>
      </c>
      <c r="F27" s="35" t="e">
        <f>F14/F9</f>
        <v>#DIV/0!</v>
      </c>
      <c r="J27" s="35" t="e">
        <f>J14/J9</f>
        <v>#DIV/0!</v>
      </c>
      <c r="N27" s="35">
        <f>N14/N9</f>
        <v>0.92242276471112961</v>
      </c>
      <c r="R27" s="35">
        <f>R14/R9</f>
        <v>0.15935831362682951</v>
      </c>
    </row>
    <row r="28" spans="1:24" x14ac:dyDescent="0.15">
      <c r="A28" s="3" t="s">
        <v>23</v>
      </c>
      <c r="B28" s="31">
        <f t="shared" ref="B28:N28" si="8">B17/B16</f>
        <v>-6.9102056456763317E-2</v>
      </c>
      <c r="F28" s="35">
        <f t="shared" si="8"/>
        <v>-6.0997650460871133E-2</v>
      </c>
      <c r="J28" s="35">
        <f t="shared" si="8"/>
        <v>-3.4090909090909088E-2</v>
      </c>
      <c r="N28" s="35">
        <f t="shared" si="8"/>
        <v>7.1242287386298585E-3</v>
      </c>
      <c r="R28" s="35">
        <f t="shared" ref="R28" si="9">R17/R16</f>
        <v>0.25547085201793723</v>
      </c>
    </row>
    <row r="30" spans="1:24" s="2" customFormat="1" x14ac:dyDescent="0.15">
      <c r="A30" s="2" t="s">
        <v>3</v>
      </c>
      <c r="B30" s="32"/>
      <c r="C30" s="26"/>
      <c r="D30" s="26"/>
      <c r="E30" s="26"/>
      <c r="F30" s="33"/>
      <c r="G30" s="26"/>
      <c r="H30" s="26"/>
      <c r="I30" s="26"/>
      <c r="J30" s="33"/>
      <c r="K30" s="26"/>
      <c r="L30" s="26"/>
      <c r="M30" s="26"/>
      <c r="N30" s="37">
        <f t="shared" ref="N30:R30" si="10">N31-N32</f>
        <v>119373</v>
      </c>
      <c r="O30" s="26"/>
      <c r="P30" s="26"/>
      <c r="Q30" s="26"/>
      <c r="R30" s="37">
        <f t="shared" si="10"/>
        <v>153377</v>
      </c>
      <c r="S30" s="22"/>
      <c r="T30" s="22"/>
      <c r="U30" s="22"/>
      <c r="V30" s="33"/>
      <c r="W30" s="32"/>
      <c r="X30" s="32"/>
    </row>
    <row r="31" spans="1:24" s="5" customFormat="1" x14ac:dyDescent="0.15">
      <c r="A31" s="5" t="s">
        <v>31</v>
      </c>
      <c r="B31" s="26"/>
      <c r="C31" s="26"/>
      <c r="D31" s="26"/>
      <c r="E31" s="26"/>
      <c r="F31" s="27"/>
      <c r="G31" s="26"/>
      <c r="H31" s="26"/>
      <c r="I31" s="26"/>
      <c r="J31" s="27"/>
      <c r="K31" s="26"/>
      <c r="L31" s="26"/>
      <c r="M31" s="26"/>
      <c r="N31" s="27">
        <f>21025+89433+59488</f>
        <v>169946</v>
      </c>
      <c r="O31" s="26"/>
      <c r="P31" s="26"/>
      <c r="Q31" s="26"/>
      <c r="R31" s="27">
        <f>32390+2177+109062+80685</f>
        <v>224314</v>
      </c>
      <c r="S31" s="22"/>
      <c r="T31" s="22"/>
      <c r="U31" s="22"/>
      <c r="V31" s="27"/>
      <c r="W31" s="26"/>
      <c r="X31" s="26"/>
    </row>
    <row r="32" spans="1:24" s="5" customFormat="1" x14ac:dyDescent="0.15">
      <c r="A32" s="5" t="s">
        <v>32</v>
      </c>
      <c r="B32" s="26"/>
      <c r="C32" s="22"/>
      <c r="D32" s="22"/>
      <c r="E32" s="22"/>
      <c r="F32" s="27"/>
      <c r="G32" s="22"/>
      <c r="H32" s="22"/>
      <c r="I32" s="22"/>
      <c r="J32" s="27"/>
      <c r="K32" s="22"/>
      <c r="L32" s="22"/>
      <c r="M32" s="22"/>
      <c r="N32" s="27">
        <f>397+10+6270+6473+37423</f>
        <v>50573</v>
      </c>
      <c r="O32" s="22"/>
      <c r="P32" s="22"/>
      <c r="Q32" s="22"/>
      <c r="R32" s="27">
        <f>3586+79+6708+7304+41707+11553</f>
        <v>70937</v>
      </c>
      <c r="S32" s="22"/>
      <c r="T32" s="22"/>
      <c r="U32" s="22"/>
      <c r="V32" s="27"/>
      <c r="W32" s="26"/>
      <c r="X32" s="26"/>
    </row>
    <row r="34" spans="1:24" s="5" customFormat="1" x14ac:dyDescent="0.15">
      <c r="A34" s="5" t="s">
        <v>25</v>
      </c>
      <c r="B34" s="26"/>
      <c r="C34" s="22"/>
      <c r="D34" s="22"/>
      <c r="E34" s="22"/>
      <c r="F34" s="27"/>
      <c r="G34" s="22"/>
      <c r="H34" s="22"/>
      <c r="I34" s="22"/>
      <c r="J34" s="27"/>
      <c r="K34" s="22"/>
      <c r="L34" s="22"/>
      <c r="M34" s="22"/>
      <c r="N34" s="27">
        <f>8732+17051</f>
        <v>25783</v>
      </c>
      <c r="O34" s="22"/>
      <c r="P34" s="22"/>
      <c r="Q34" s="22"/>
      <c r="R34" s="27">
        <f>19096+80685</f>
        <v>99781</v>
      </c>
      <c r="S34" s="22"/>
      <c r="T34" s="22"/>
      <c r="U34" s="22"/>
      <c r="V34" s="27"/>
      <c r="W34" s="26"/>
      <c r="X34" s="26"/>
    </row>
    <row r="35" spans="1:24" s="5" customFormat="1" x14ac:dyDescent="0.15">
      <c r="A35" s="5" t="s">
        <v>26</v>
      </c>
      <c r="B35" s="26"/>
      <c r="C35" s="26"/>
      <c r="D35" s="26"/>
      <c r="E35" s="26"/>
      <c r="F35" s="27"/>
      <c r="G35" s="26"/>
      <c r="H35" s="26"/>
      <c r="I35" s="26"/>
      <c r="J35" s="27"/>
      <c r="K35" s="26"/>
      <c r="L35" s="26"/>
      <c r="M35" s="26"/>
      <c r="N35" s="27">
        <v>275336</v>
      </c>
      <c r="O35" s="26"/>
      <c r="P35" s="26"/>
      <c r="Q35" s="26"/>
      <c r="R35" s="27">
        <v>308956</v>
      </c>
      <c r="S35" s="22"/>
      <c r="T35" s="22"/>
      <c r="U35" s="22"/>
      <c r="V35" s="27"/>
      <c r="W35" s="26"/>
      <c r="X35" s="26"/>
    </row>
    <row r="36" spans="1:24" s="5" customFormat="1" x14ac:dyDescent="0.15">
      <c r="A36" s="5" t="s">
        <v>51</v>
      </c>
      <c r="B36" s="26"/>
      <c r="C36" s="26"/>
      <c r="D36" s="26"/>
      <c r="E36" s="26"/>
      <c r="F36" s="27"/>
      <c r="G36" s="26"/>
      <c r="H36" s="26"/>
      <c r="I36" s="26"/>
      <c r="J36" s="27"/>
      <c r="K36" s="26"/>
      <c r="L36" s="26"/>
      <c r="M36" s="26"/>
      <c r="N36" s="27">
        <v>102492</v>
      </c>
      <c r="O36" s="26"/>
      <c r="P36" s="26"/>
      <c r="Q36" s="26"/>
      <c r="R36" s="27">
        <v>131616</v>
      </c>
      <c r="S36" s="22"/>
      <c r="T36" s="22"/>
      <c r="U36" s="22"/>
      <c r="V36" s="27"/>
      <c r="W36" s="26"/>
      <c r="X36" s="26"/>
    </row>
    <row r="38" spans="1:24" x14ac:dyDescent="0.15">
      <c r="A38" s="3" t="s">
        <v>33</v>
      </c>
      <c r="N38" s="38">
        <f t="shared" ref="N38:R38" si="11">N35-N34-N31</f>
        <v>79607</v>
      </c>
      <c r="R38" s="38">
        <f t="shared" si="11"/>
        <v>-15139</v>
      </c>
    </row>
    <row r="39" spans="1:24" x14ac:dyDescent="0.15">
      <c r="A39" s="3" t="s">
        <v>34</v>
      </c>
      <c r="N39" s="38">
        <f t="shared" ref="N39:R39" si="12">N35-N36</f>
        <v>172844</v>
      </c>
      <c r="R39" s="38">
        <f t="shared" si="12"/>
        <v>177340</v>
      </c>
    </row>
    <row r="40" spans="1:24" x14ac:dyDescent="0.15">
      <c r="C40" s="26"/>
      <c r="D40" s="26"/>
      <c r="E40" s="26"/>
      <c r="G40" s="26"/>
      <c r="H40" s="26"/>
      <c r="I40" s="26"/>
      <c r="K40" s="26"/>
      <c r="L40" s="26"/>
      <c r="M40" s="26"/>
      <c r="O40" s="26"/>
      <c r="P40" s="26"/>
      <c r="Q40" s="26"/>
    </row>
    <row r="41" spans="1:24" s="2" customFormat="1" x14ac:dyDescent="0.15">
      <c r="A41" s="2" t="s">
        <v>52</v>
      </c>
      <c r="B41" s="32"/>
      <c r="C41" s="26"/>
      <c r="D41" s="26"/>
      <c r="E41" s="26"/>
      <c r="F41" s="33"/>
      <c r="G41" s="26"/>
      <c r="H41" s="26"/>
      <c r="I41" s="26"/>
      <c r="J41" s="33"/>
      <c r="K41" s="26"/>
      <c r="L41" s="26"/>
      <c r="M41" s="26"/>
      <c r="N41" s="37">
        <f t="shared" ref="N41:R41" si="13">SUM(K18:N18)</f>
        <v>156090</v>
      </c>
      <c r="O41" s="26"/>
      <c r="P41" s="26"/>
      <c r="Q41" s="26"/>
      <c r="R41" s="37">
        <f t="shared" si="13"/>
        <v>16603</v>
      </c>
      <c r="S41" s="22"/>
      <c r="T41" s="22"/>
      <c r="U41" s="22"/>
      <c r="V41" s="33"/>
      <c r="W41" s="32"/>
      <c r="X41" s="32"/>
    </row>
    <row r="42" spans="1:24" x14ac:dyDescent="0.15">
      <c r="A42" s="3" t="s">
        <v>27</v>
      </c>
      <c r="N42" s="35">
        <f t="shared" ref="N42:R42" si="14">N41/N39</f>
        <v>0.90306866307190303</v>
      </c>
      <c r="R42" s="35">
        <f t="shared" si="14"/>
        <v>9.3622420209766549E-2</v>
      </c>
    </row>
    <row r="43" spans="1:24" x14ac:dyDescent="0.15">
      <c r="A43" s="3" t="s">
        <v>28</v>
      </c>
      <c r="N43" s="35">
        <f t="shared" ref="N43:R43" si="15">N41/N35</f>
        <v>0.56690734230176942</v>
      </c>
      <c r="R43" s="35">
        <f t="shared" si="15"/>
        <v>5.3739043747329719E-2</v>
      </c>
    </row>
    <row r="44" spans="1:24" x14ac:dyDescent="0.15">
      <c r="A44" s="3" t="s">
        <v>29</v>
      </c>
      <c r="N44" s="35">
        <f t="shared" ref="N44:R44" si="16">N41/(N39-N34)</f>
        <v>1.0613962913348882</v>
      </c>
      <c r="R44" s="35">
        <f t="shared" si="16"/>
        <v>0.21406928918629689</v>
      </c>
    </row>
    <row r="45" spans="1:24" x14ac:dyDescent="0.15">
      <c r="A45" s="3" t="s">
        <v>30</v>
      </c>
      <c r="C45" s="26"/>
      <c r="D45" s="26"/>
      <c r="E45" s="26"/>
      <c r="G45" s="26"/>
      <c r="H45" s="26"/>
      <c r="I45" s="26"/>
      <c r="K45" s="26"/>
      <c r="L45" s="26"/>
      <c r="M45" s="26"/>
      <c r="N45" s="35">
        <f t="shared" ref="N45:R45" si="17">N41/N38</f>
        <v>1.9607572198424761</v>
      </c>
      <c r="O45" s="26"/>
      <c r="P45" s="26"/>
      <c r="Q45" s="26"/>
      <c r="R45" s="35">
        <f t="shared" si="17"/>
        <v>-1.0967038774027347</v>
      </c>
    </row>
    <row r="46" spans="1:24" x14ac:dyDescent="0.15">
      <c r="C46" s="26"/>
      <c r="D46" s="26"/>
      <c r="E46" s="26"/>
      <c r="G46" s="26"/>
      <c r="H46" s="26"/>
      <c r="I46" s="26"/>
      <c r="K46" s="26"/>
      <c r="L46" s="26"/>
      <c r="M46" s="26"/>
      <c r="O46" s="26"/>
      <c r="P46" s="26"/>
      <c r="Q46" s="26"/>
    </row>
    <row r="47" spans="1:24" s="15" customFormat="1" x14ac:dyDescent="0.15">
      <c r="A47" s="5" t="s">
        <v>107</v>
      </c>
      <c r="B47" s="31"/>
      <c r="C47" s="22"/>
      <c r="D47" s="22"/>
      <c r="E47" s="22"/>
      <c r="F47" s="35" t="e">
        <f>F6/B6-1</f>
        <v>#DIV/0!</v>
      </c>
      <c r="G47" s="22"/>
      <c r="H47" s="22"/>
      <c r="I47" s="22"/>
      <c r="J47" s="35" t="e">
        <f>J6/F6-1</f>
        <v>#DIV/0!</v>
      </c>
      <c r="K47" s="22"/>
      <c r="L47" s="22"/>
      <c r="M47" s="22"/>
      <c r="N47" s="35" t="e">
        <f>N3/J3-1</f>
        <v>#DIV/0!</v>
      </c>
      <c r="O47" s="22"/>
      <c r="P47" s="22"/>
      <c r="Q47" s="22"/>
      <c r="R47" s="35">
        <f>R3/N3-1</f>
        <v>1.9631963764138893E-2</v>
      </c>
      <c r="S47" s="22"/>
      <c r="T47" s="22"/>
      <c r="U47" s="22"/>
      <c r="V47" s="35"/>
      <c r="W47" s="31"/>
      <c r="X47" s="31"/>
    </row>
    <row r="48" spans="1:24" s="15" customFormat="1" x14ac:dyDescent="0.15">
      <c r="A48" s="5" t="s">
        <v>108</v>
      </c>
      <c r="B48" s="31"/>
      <c r="C48" s="22"/>
      <c r="D48" s="22"/>
      <c r="E48" s="22"/>
      <c r="F48" s="35" t="e">
        <f>F7/B7-1</f>
        <v>#DIV/0!</v>
      </c>
      <c r="G48" s="22"/>
      <c r="H48" s="22"/>
      <c r="I48" s="22"/>
      <c r="J48" s="35" t="e">
        <f>J7/F7-1</f>
        <v>#DIV/0!</v>
      </c>
      <c r="K48" s="22"/>
      <c r="L48" s="22"/>
      <c r="M48" s="22"/>
      <c r="N48" s="35" t="e">
        <f>N4/J4-1</f>
        <v>#DIV/0!</v>
      </c>
      <c r="O48" s="22"/>
      <c r="P48" s="22"/>
      <c r="Q48" s="22"/>
      <c r="R48" s="35">
        <f>R4/N4-1</f>
        <v>9.9813125206111852E-2</v>
      </c>
      <c r="S48" s="22"/>
      <c r="T48" s="22"/>
      <c r="U48" s="22"/>
      <c r="V48" s="35"/>
      <c r="W48" s="31"/>
      <c r="X48" s="31"/>
    </row>
    <row r="49" spans="1:24" x14ac:dyDescent="0.15">
      <c r="A49" s="5" t="s">
        <v>11</v>
      </c>
      <c r="N49" s="35" t="e">
        <f>N5/J5-1</f>
        <v>#DIV/0!</v>
      </c>
      <c r="R49" s="35">
        <f>R5/N5-1</f>
        <v>-0.12199630314232901</v>
      </c>
    </row>
    <row r="50" spans="1:24" s="21" customFormat="1" x14ac:dyDescent="0.15">
      <c r="B50" s="24"/>
      <c r="C50" s="26"/>
      <c r="D50" s="26"/>
      <c r="E50" s="26"/>
      <c r="F50" s="25"/>
      <c r="G50" s="26"/>
      <c r="H50" s="26"/>
      <c r="I50" s="26"/>
      <c r="J50" s="25"/>
      <c r="K50" s="26"/>
      <c r="L50" s="26"/>
      <c r="M50" s="26"/>
      <c r="N50" s="25"/>
      <c r="O50" s="26"/>
      <c r="P50" s="26"/>
      <c r="Q50" s="26"/>
      <c r="R50" s="25"/>
      <c r="S50" s="22"/>
      <c r="T50" s="22"/>
      <c r="U50" s="22"/>
      <c r="V50" s="25"/>
      <c r="W50" s="24"/>
      <c r="X50" s="24"/>
    </row>
    <row r="51" spans="1:24" s="4" customFormat="1" x14ac:dyDescent="0.15">
      <c r="A51" s="4" t="s">
        <v>105</v>
      </c>
      <c r="B51" s="45"/>
      <c r="C51" s="45"/>
      <c r="D51" s="45"/>
      <c r="E51" s="45"/>
      <c r="F51" s="47"/>
      <c r="G51" s="45"/>
      <c r="H51" s="45"/>
      <c r="I51" s="45"/>
      <c r="J51" s="47"/>
      <c r="K51" s="45"/>
      <c r="L51" s="45"/>
      <c r="M51" s="45"/>
      <c r="N51" s="47">
        <v>109.07</v>
      </c>
      <c r="O51" s="45"/>
      <c r="P51" s="45"/>
      <c r="Q51" s="45"/>
      <c r="R51" s="61">
        <v>109.9</v>
      </c>
      <c r="S51" s="45"/>
      <c r="T51" s="45"/>
      <c r="U51" s="45"/>
      <c r="V51" s="47"/>
      <c r="W51" s="45"/>
      <c r="X51" s="45"/>
    </row>
    <row r="52" spans="1:24" s="21" customFormat="1" x14ac:dyDescent="0.15">
      <c r="B52" s="24"/>
      <c r="C52" s="22"/>
      <c r="D52" s="22"/>
      <c r="E52" s="22"/>
      <c r="F52" s="25"/>
      <c r="G52" s="22"/>
      <c r="H52" s="22"/>
      <c r="I52" s="22"/>
      <c r="J52" s="25"/>
      <c r="K52" s="22"/>
      <c r="L52" s="22"/>
      <c r="M52" s="22"/>
      <c r="N52" s="25"/>
      <c r="O52" s="22"/>
      <c r="P52" s="22"/>
      <c r="Q52" s="22"/>
      <c r="R52" s="25"/>
      <c r="S52" s="22"/>
      <c r="T52" s="22"/>
      <c r="U52" s="22"/>
      <c r="V52" s="25"/>
      <c r="W52" s="24"/>
      <c r="X52" s="24"/>
    </row>
    <row r="53" spans="1:24" s="21" customFormat="1" x14ac:dyDescent="0.15">
      <c r="B53" s="24"/>
      <c r="C53" s="22"/>
      <c r="D53" s="22"/>
      <c r="E53" s="22"/>
      <c r="F53" s="25"/>
      <c r="G53" s="22"/>
      <c r="H53" s="22"/>
      <c r="I53" s="22"/>
      <c r="J53" s="25"/>
      <c r="K53" s="22"/>
      <c r="L53" s="22"/>
      <c r="M53" s="22"/>
      <c r="N53" s="25"/>
      <c r="O53" s="22"/>
      <c r="P53" s="22"/>
      <c r="Q53" s="22"/>
      <c r="R53" s="25"/>
      <c r="S53" s="22"/>
      <c r="T53" s="22"/>
      <c r="U53" s="22"/>
      <c r="V53" s="25"/>
      <c r="W53" s="24"/>
      <c r="X53" s="24"/>
    </row>
    <row r="54" spans="1:24" s="21" customFormat="1" x14ac:dyDescent="0.15">
      <c r="B54" s="24"/>
      <c r="C54" s="22"/>
      <c r="D54" s="22"/>
      <c r="E54" s="22"/>
      <c r="F54" s="25"/>
      <c r="G54" s="22"/>
      <c r="H54" s="22"/>
      <c r="I54" s="22"/>
      <c r="J54" s="25"/>
      <c r="K54" s="22"/>
      <c r="L54" s="22"/>
      <c r="M54" s="22"/>
      <c r="N54" s="25"/>
      <c r="O54" s="22"/>
      <c r="P54" s="22"/>
      <c r="Q54" s="22"/>
      <c r="R54" s="25"/>
      <c r="S54" s="22"/>
      <c r="T54" s="22"/>
      <c r="U54" s="22"/>
      <c r="V54" s="25"/>
      <c r="W54" s="24"/>
      <c r="X54" s="24"/>
    </row>
    <row r="55" spans="1:24" s="21" customFormat="1" x14ac:dyDescent="0.15">
      <c r="B55" s="24"/>
      <c r="C55" s="26"/>
      <c r="D55" s="26"/>
      <c r="E55" s="26"/>
      <c r="F55" s="25"/>
      <c r="G55" s="26"/>
      <c r="H55" s="26"/>
      <c r="I55" s="26"/>
      <c r="J55" s="25"/>
      <c r="K55" s="26"/>
      <c r="L55" s="26"/>
      <c r="M55" s="26"/>
      <c r="N55" s="25"/>
      <c r="O55" s="26"/>
      <c r="P55" s="26"/>
      <c r="Q55" s="26"/>
      <c r="R55" s="25"/>
      <c r="S55" s="22"/>
      <c r="T55" s="22"/>
      <c r="U55" s="22"/>
      <c r="V55" s="25"/>
      <c r="W55" s="24"/>
      <c r="X55" s="24"/>
    </row>
    <row r="56" spans="1:24" s="21" customFormat="1" x14ac:dyDescent="0.15">
      <c r="B56" s="24"/>
      <c r="C56" s="26"/>
      <c r="D56" s="26"/>
      <c r="E56" s="26"/>
      <c r="F56" s="25"/>
      <c r="G56" s="26"/>
      <c r="H56" s="26"/>
      <c r="I56" s="26"/>
      <c r="J56" s="25"/>
      <c r="K56" s="26"/>
      <c r="L56" s="26"/>
      <c r="M56" s="26"/>
      <c r="N56" s="25"/>
      <c r="O56" s="26"/>
      <c r="P56" s="26"/>
      <c r="Q56" s="26"/>
      <c r="R56" s="25"/>
      <c r="S56" s="22"/>
      <c r="T56" s="22"/>
      <c r="U56" s="22"/>
      <c r="V56" s="25"/>
      <c r="W56" s="24"/>
      <c r="X56" s="24"/>
    </row>
    <row r="57" spans="1:24" x14ac:dyDescent="0.15">
      <c r="A57" s="21"/>
    </row>
    <row r="58" spans="1:24" x14ac:dyDescent="0.15">
      <c r="F58" s="23">
        <v>663</v>
      </c>
      <c r="G58" s="22">
        <v>667</v>
      </c>
      <c r="H58" s="22">
        <v>660</v>
      </c>
    </row>
  </sheetData>
  <hyperlinks>
    <hyperlink ref="A1" r:id="rId1" display="EDGAR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20"/>
  <sheetViews>
    <sheetView workbookViewId="0">
      <selection activeCell="C12" sqref="C12"/>
    </sheetView>
  </sheetViews>
  <sheetFormatPr baseColWidth="10" defaultRowHeight="13" x14ac:dyDescent="0.15"/>
  <cols>
    <col min="1" max="1" width="10.83203125" style="3"/>
    <col min="2" max="2" width="16.6640625" style="3" bestFit="1" customWidth="1"/>
    <col min="3" max="3" width="29" style="3" bestFit="1" customWidth="1"/>
    <col min="4" max="16384" width="10.83203125" style="3"/>
  </cols>
  <sheetData>
    <row r="4" spans="2:4" x14ac:dyDescent="0.15">
      <c r="B4" s="2" t="s">
        <v>77</v>
      </c>
    </row>
    <row r="6" spans="2:4" x14ac:dyDescent="0.15">
      <c r="B6" s="3" t="s">
        <v>78</v>
      </c>
      <c r="C6" s="3" t="s">
        <v>81</v>
      </c>
    </row>
    <row r="7" spans="2:4" x14ac:dyDescent="0.15">
      <c r="B7" s="3" t="s">
        <v>79</v>
      </c>
    </row>
    <row r="8" spans="2:4" x14ac:dyDescent="0.15">
      <c r="B8" s="3" t="s">
        <v>80</v>
      </c>
      <c r="C8" s="3" t="s">
        <v>82</v>
      </c>
    </row>
    <row r="9" spans="2:4" x14ac:dyDescent="0.15">
      <c r="B9" s="3" t="s">
        <v>83</v>
      </c>
      <c r="C9" s="3" t="s">
        <v>84</v>
      </c>
      <c r="D9" s="1" t="s">
        <v>98</v>
      </c>
    </row>
    <row r="10" spans="2:4" x14ac:dyDescent="0.15">
      <c r="B10" s="3" t="s">
        <v>85</v>
      </c>
      <c r="C10" s="3" t="s">
        <v>82</v>
      </c>
    </row>
    <row r="11" spans="2:4" x14ac:dyDescent="0.15">
      <c r="B11" s="3" t="s">
        <v>54</v>
      </c>
      <c r="C11" s="3" t="s">
        <v>86</v>
      </c>
    </row>
    <row r="12" spans="2:4" x14ac:dyDescent="0.15">
      <c r="B12" s="3" t="s">
        <v>55</v>
      </c>
      <c r="C12" s="3" t="s">
        <v>87</v>
      </c>
    </row>
    <row r="13" spans="2:4" x14ac:dyDescent="0.15">
      <c r="B13" s="3" t="s">
        <v>56</v>
      </c>
      <c r="C13" s="3" t="s">
        <v>88</v>
      </c>
      <c r="D13" s="1" t="s">
        <v>99</v>
      </c>
    </row>
    <row r="14" spans="2:4" x14ac:dyDescent="0.15">
      <c r="B14" s="3" t="s">
        <v>89</v>
      </c>
      <c r="C14" s="3" t="s">
        <v>90</v>
      </c>
    </row>
    <row r="16" spans="2:4" x14ac:dyDescent="0.15">
      <c r="B16" s="2" t="s">
        <v>91</v>
      </c>
    </row>
    <row r="18" spans="2:4" x14ac:dyDescent="0.15">
      <c r="B18" s="3" t="s">
        <v>92</v>
      </c>
      <c r="C18" s="3" t="s">
        <v>93</v>
      </c>
      <c r="D18" s="1" t="s">
        <v>96</v>
      </c>
    </row>
    <row r="19" spans="2:4" x14ac:dyDescent="0.15">
      <c r="B19" s="3" t="s">
        <v>94</v>
      </c>
      <c r="C19" s="3" t="s">
        <v>95</v>
      </c>
      <c r="D19" s="1" t="s">
        <v>101</v>
      </c>
    </row>
    <row r="20" spans="2:4" x14ac:dyDescent="0.15">
      <c r="B20" s="3" t="s">
        <v>57</v>
      </c>
      <c r="C20" s="3" t="s">
        <v>97</v>
      </c>
      <c r="D20" s="1" t="s">
        <v>100</v>
      </c>
    </row>
  </sheetData>
  <hyperlinks>
    <hyperlink ref="D18" r:id="rId1" xr:uid="{D793F14B-F89A-6744-A7EB-AAE8C68A3A24}"/>
    <hyperlink ref="D9" r:id="rId2" xr:uid="{5D5C5F25-437E-E946-931A-A4DAE00C19FD}"/>
    <hyperlink ref="D13" r:id="rId3" xr:uid="{3392DE70-9BB6-5944-A896-7A3991E3B930}"/>
    <hyperlink ref="D20" r:id="rId4" xr:uid="{A4B1D6AA-1084-E54F-AE8C-AF4DF7AF7DB5}"/>
    <hyperlink ref="D19" r:id="rId5" xr:uid="{7B2C4DF9-002C-9449-933D-E2BA611009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 JPY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2019-01-08T19:28:27Z</dcterms:created>
  <dcterms:modified xsi:type="dcterms:W3CDTF">2020-05-14T09:04:15Z</dcterms:modified>
</cp:coreProperties>
</file>