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E59B32D-2AB7-F541-9249-D5D8E2FCC70B}" xr6:coauthVersionLast="45" xr6:coauthVersionMax="45" xr10:uidLastSave="{00000000-0000-0000-0000-000000000000}"/>
  <bookViews>
    <workbookView xWindow="0" yWindow="460" windowWidth="2148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F10" i="2" s="1"/>
  <c r="G10" i="2" s="1"/>
  <c r="H10" i="2" s="1"/>
  <c r="F4" i="2"/>
  <c r="B9" i="2"/>
  <c r="G5" i="1"/>
  <c r="G7" i="1"/>
  <c r="G10" i="1"/>
  <c r="G11" i="1"/>
  <c r="G12" i="1"/>
  <c r="G14" i="1" s="1"/>
  <c r="G21" i="1"/>
  <c r="G22" i="1"/>
  <c r="G25" i="1"/>
  <c r="G26" i="1"/>
  <c r="G27" i="1"/>
  <c r="G28" i="1"/>
  <c r="G29" i="1"/>
  <c r="G31" i="1"/>
  <c r="G39" i="1"/>
  <c r="G40" i="1"/>
  <c r="G48" i="1"/>
  <c r="F5" i="1"/>
  <c r="F7" i="1"/>
  <c r="F10" i="1"/>
  <c r="F28" i="1" s="1"/>
  <c r="F11" i="1"/>
  <c r="F29" i="1" s="1"/>
  <c r="F12" i="1"/>
  <c r="F14" i="1"/>
  <c r="F17" i="1"/>
  <c r="F21" i="1"/>
  <c r="F22" i="1"/>
  <c r="F23" i="1"/>
  <c r="F25" i="1"/>
  <c r="F26" i="1"/>
  <c r="F27" i="1"/>
  <c r="F31" i="1"/>
  <c r="F39" i="1"/>
  <c r="F40" i="1"/>
  <c r="F48" i="1"/>
  <c r="E5" i="1"/>
  <c r="E25" i="1" s="1"/>
  <c r="E10" i="1"/>
  <c r="E28" i="1" s="1"/>
  <c r="E26" i="1"/>
  <c r="E27" i="1"/>
  <c r="E32" i="1"/>
  <c r="E31" i="1" s="1"/>
  <c r="E39" i="1"/>
  <c r="E40" i="1"/>
  <c r="E48" i="1"/>
  <c r="D10" i="2"/>
  <c r="D17" i="2"/>
  <c r="E17" i="2" s="1"/>
  <c r="F17" i="2" s="1"/>
  <c r="G17" i="2" s="1"/>
  <c r="H17" i="2" s="1"/>
  <c r="D16" i="2"/>
  <c r="E16" i="2" s="1"/>
  <c r="F16" i="2" s="1"/>
  <c r="G16" i="2" s="1"/>
  <c r="H16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C3" i="2"/>
  <c r="G23" i="1" l="1"/>
  <c r="G17" i="1"/>
  <c r="F18" i="1"/>
  <c r="E7" i="1"/>
  <c r="E11" i="1"/>
  <c r="C20" i="2"/>
  <c r="B20" i="2"/>
  <c r="B12" i="2"/>
  <c r="K32" i="1"/>
  <c r="I32" i="1"/>
  <c r="H32" i="1"/>
  <c r="H13" i="1"/>
  <c r="L32" i="1"/>
  <c r="L13" i="1"/>
  <c r="G18" i="1" l="1"/>
  <c r="E21" i="1"/>
  <c r="E12" i="1"/>
  <c r="E29" i="1"/>
  <c r="L48" i="1"/>
  <c r="L40" i="1"/>
  <c r="L31" i="1"/>
  <c r="C5" i="2" s="1"/>
  <c r="L27" i="1"/>
  <c r="L26" i="1"/>
  <c r="L11" i="1"/>
  <c r="L5" i="1"/>
  <c r="L7" i="1" s="1"/>
  <c r="E14" i="1" l="1"/>
  <c r="E22" i="1"/>
  <c r="L12" i="1"/>
  <c r="L21" i="1"/>
  <c r="L39" i="1"/>
  <c r="K48" i="1"/>
  <c r="K40" i="1"/>
  <c r="K31" i="1"/>
  <c r="K27" i="1"/>
  <c r="K26" i="1"/>
  <c r="K13" i="1"/>
  <c r="K10" i="1"/>
  <c r="K5" i="1"/>
  <c r="K7" i="1" s="1"/>
  <c r="K21" i="1" s="1"/>
  <c r="E23" i="1" l="1"/>
  <c r="E17" i="1"/>
  <c r="K39" i="1"/>
  <c r="K11" i="1"/>
  <c r="L14" i="1"/>
  <c r="L22" i="1"/>
  <c r="C43" i="2"/>
  <c r="C42" i="2"/>
  <c r="C46" i="2" s="1"/>
  <c r="J10" i="1"/>
  <c r="C38" i="2"/>
  <c r="I48" i="1"/>
  <c r="I40" i="1"/>
  <c r="I27" i="1"/>
  <c r="I26" i="1"/>
  <c r="I11" i="1"/>
  <c r="I5" i="1"/>
  <c r="M25" i="1" s="1"/>
  <c r="E18" i="1" l="1"/>
  <c r="F42" i="1"/>
  <c r="G42" i="1"/>
  <c r="E42" i="1"/>
  <c r="I31" i="1"/>
  <c r="J39" i="1"/>
  <c r="L17" i="1"/>
  <c r="L18" i="1" s="1"/>
  <c r="L23" i="1"/>
  <c r="I39" i="1"/>
  <c r="C39" i="2"/>
  <c r="K12" i="1"/>
  <c r="I7" i="1"/>
  <c r="I21" i="1" s="1"/>
  <c r="C41" i="2"/>
  <c r="D32" i="2"/>
  <c r="C12" i="2"/>
  <c r="C37" i="2"/>
  <c r="D20" i="2" s="1"/>
  <c r="G43" i="1" l="1"/>
  <c r="G45" i="1"/>
  <c r="G44" i="1"/>
  <c r="G46" i="1"/>
  <c r="F46" i="1"/>
  <c r="F43" i="1"/>
  <c r="F45" i="1"/>
  <c r="F44" i="1"/>
  <c r="E45" i="1"/>
  <c r="E46" i="1"/>
  <c r="E43" i="1"/>
  <c r="E44" i="1"/>
  <c r="K22" i="1"/>
  <c r="K14" i="1"/>
  <c r="I12" i="1"/>
  <c r="C45" i="2"/>
  <c r="C14" i="2"/>
  <c r="I22" i="1" l="1"/>
  <c r="I14" i="1"/>
  <c r="K23" i="1"/>
  <c r="K17" i="1"/>
  <c r="K18" i="1" s="1"/>
  <c r="I17" i="1" l="1"/>
  <c r="I23" i="1"/>
  <c r="I18" i="1" l="1"/>
  <c r="H40" i="1"/>
  <c r="H48" i="1"/>
  <c r="L28" i="1"/>
  <c r="H5" i="1"/>
  <c r="L25" i="1" s="1"/>
  <c r="J48" i="1"/>
  <c r="J40" i="1"/>
  <c r="J27" i="1"/>
  <c r="J26" i="1"/>
  <c r="J11" i="1"/>
  <c r="J5" i="1"/>
  <c r="H7" i="1" l="1"/>
  <c r="H11" i="1"/>
  <c r="H31" i="1"/>
  <c r="H39" i="1"/>
  <c r="J7" i="1"/>
  <c r="J31" i="1"/>
  <c r="C4" i="2"/>
  <c r="H26" i="1"/>
  <c r="H27" i="1"/>
  <c r="K28" i="1"/>
  <c r="C53" i="2"/>
  <c r="I28" i="1"/>
  <c r="B41" i="2"/>
  <c r="B38" i="2"/>
  <c r="J28" i="1"/>
  <c r="B42" i="2"/>
  <c r="B39" i="2"/>
  <c r="B43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K25" i="1" l="1"/>
  <c r="I25" i="1"/>
  <c r="J29" i="1"/>
  <c r="J25" i="1"/>
  <c r="H12" i="1"/>
  <c r="H14" i="1" s="1"/>
  <c r="H17" i="1" s="1"/>
  <c r="L29" i="1"/>
  <c r="B37" i="2"/>
  <c r="J12" i="1"/>
  <c r="J21" i="1"/>
  <c r="B46" i="2"/>
  <c r="B45" i="2"/>
  <c r="H28" i="1"/>
  <c r="C6" i="2"/>
  <c r="C7" i="2" s="1"/>
  <c r="H29" i="1"/>
  <c r="C18" i="2" l="1"/>
  <c r="C19" i="2" s="1"/>
  <c r="C21" i="2" s="1"/>
  <c r="H18" i="1"/>
  <c r="I29" i="1"/>
  <c r="K29" i="1"/>
  <c r="J22" i="1"/>
  <c r="J14" i="1"/>
  <c r="H25" i="1"/>
  <c r="C33" i="2"/>
  <c r="B14" i="2"/>
  <c r="B18" i="2"/>
  <c r="J17" i="1" l="1"/>
  <c r="J23" i="1"/>
  <c r="C32" i="2"/>
  <c r="D33" i="2"/>
  <c r="H21" i="1"/>
  <c r="C34" i="2"/>
  <c r="B19" i="2"/>
  <c r="B27" i="2"/>
  <c r="D12" i="2"/>
  <c r="C35" i="2"/>
  <c r="L42" i="1" l="1"/>
  <c r="K42" i="1"/>
  <c r="J18" i="1"/>
  <c r="H22" i="1"/>
  <c r="D34" i="2"/>
  <c r="E18" i="2"/>
  <c r="D53" i="2"/>
  <c r="E33" i="2"/>
  <c r="C31" i="2"/>
  <c r="B28" i="2"/>
  <c r="B21" i="2"/>
  <c r="D18" i="2"/>
  <c r="D35" i="2" s="1"/>
  <c r="I42" i="1" l="1"/>
  <c r="K46" i="1"/>
  <c r="K43" i="1"/>
  <c r="K45" i="1"/>
  <c r="K44" i="1"/>
  <c r="L46" i="1"/>
  <c r="L44" i="1"/>
  <c r="L45" i="1"/>
  <c r="L43" i="1"/>
  <c r="H42" i="1"/>
  <c r="E35" i="2"/>
  <c r="E32" i="2"/>
  <c r="C27" i="2"/>
  <c r="D14" i="2" s="1"/>
  <c r="E53" i="2"/>
  <c r="E12" i="2"/>
  <c r="E34" i="2"/>
  <c r="F33" i="2"/>
  <c r="D31" i="2"/>
  <c r="B29" i="2"/>
  <c r="B23" i="2"/>
  <c r="H45" i="1" l="1"/>
  <c r="H43" i="1"/>
  <c r="H46" i="1"/>
  <c r="H44" i="1"/>
  <c r="I46" i="1"/>
  <c r="I44" i="1"/>
  <c r="I45" i="1"/>
  <c r="I43" i="1"/>
  <c r="D13" i="2"/>
  <c r="F18" i="2"/>
  <c r="F35" i="2" s="1"/>
  <c r="B51" i="2"/>
  <c r="B50" i="2"/>
  <c r="B48" i="2"/>
  <c r="F32" i="2"/>
  <c r="E31" i="2"/>
  <c r="F53" i="2"/>
  <c r="F12" i="2"/>
  <c r="H23" i="1"/>
  <c r="B24" i="2"/>
  <c r="B49" i="2"/>
  <c r="G33" i="2"/>
  <c r="C28" i="2"/>
  <c r="F34" i="2"/>
  <c r="N32" i="2" l="1"/>
  <c r="D19" i="2"/>
  <c r="D28" i="2" s="1"/>
  <c r="D27" i="2"/>
  <c r="E14" i="2" s="1"/>
  <c r="E19" i="2" s="1"/>
  <c r="G18" i="2"/>
  <c r="G35" i="2" s="1"/>
  <c r="H53" i="2"/>
  <c r="H12" i="2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G32" i="2"/>
  <c r="C29" i="2"/>
  <c r="F31" i="2"/>
  <c r="H33" i="2"/>
  <c r="I16" i="2"/>
  <c r="G34" i="2"/>
  <c r="G12" i="2"/>
  <c r="G53" i="2"/>
  <c r="E13" i="2" l="1"/>
  <c r="E27" i="2"/>
  <c r="F14" i="2" s="1"/>
  <c r="F13" i="2" s="1"/>
  <c r="O32" i="2"/>
  <c r="C23" i="2"/>
  <c r="J42" i="1"/>
  <c r="H32" i="2"/>
  <c r="G31" i="2"/>
  <c r="H34" i="2"/>
  <c r="I17" i="2"/>
  <c r="H18" i="2"/>
  <c r="H35" i="2" s="1"/>
  <c r="I33" i="2"/>
  <c r="J16" i="2"/>
  <c r="E28" i="2"/>
  <c r="F27" i="2" l="1"/>
  <c r="G14" i="2" s="1"/>
  <c r="G13" i="2" s="1"/>
  <c r="F19" i="2"/>
  <c r="P32" i="2"/>
  <c r="J45" i="1"/>
  <c r="J46" i="1"/>
  <c r="C24" i="2"/>
  <c r="C48" i="2"/>
  <c r="C50" i="2"/>
  <c r="C49" i="2"/>
  <c r="C51" i="2"/>
  <c r="D21" i="2"/>
  <c r="J44" i="1"/>
  <c r="J43" i="1"/>
  <c r="I32" i="2"/>
  <c r="J17" i="2"/>
  <c r="J18" i="2" s="1"/>
  <c r="I34" i="2"/>
  <c r="G19" i="2"/>
  <c r="H31" i="2"/>
  <c r="I18" i="2"/>
  <c r="I35" i="2" s="1"/>
  <c r="J33" i="2"/>
  <c r="K16" i="2"/>
  <c r="F28" i="2"/>
  <c r="G27" i="2" l="1"/>
  <c r="H14" i="2" s="1"/>
  <c r="H13" i="2" s="1"/>
  <c r="Q32" i="2"/>
  <c r="J32" i="2"/>
  <c r="G28" i="2"/>
  <c r="D29" i="2"/>
  <c r="I31" i="2"/>
  <c r="J35" i="2"/>
  <c r="L16" i="2"/>
  <c r="K33" i="2"/>
  <c r="K17" i="2"/>
  <c r="J34" i="2"/>
  <c r="H27" i="2" l="1"/>
  <c r="I14" i="2" s="1"/>
  <c r="I27" i="2" s="1"/>
  <c r="J14" i="2" s="1"/>
  <c r="H19" i="2"/>
  <c r="R32" i="2"/>
  <c r="D23" i="2"/>
  <c r="D37" i="2" s="1"/>
  <c r="K32" i="2"/>
  <c r="J31" i="2"/>
  <c r="L33" i="2"/>
  <c r="M16" i="2"/>
  <c r="N16" i="2" s="1"/>
  <c r="H28" i="2"/>
  <c r="L17" i="2"/>
  <c r="K34" i="2"/>
  <c r="K18" i="2"/>
  <c r="K35" i="2" s="1"/>
  <c r="I19" i="2" l="1"/>
  <c r="I13" i="2"/>
  <c r="N33" i="2"/>
  <c r="O16" i="2"/>
  <c r="D24" i="2"/>
  <c r="L32" i="2"/>
  <c r="J19" i="2"/>
  <c r="J27" i="2"/>
  <c r="K14" i="2" s="1"/>
  <c r="J13" i="2"/>
  <c r="L34" i="2"/>
  <c r="M17" i="2"/>
  <c r="N17" i="2" s="1"/>
  <c r="I28" i="2"/>
  <c r="L18" i="2"/>
  <c r="L35" i="2" s="1"/>
  <c r="M33" i="2"/>
  <c r="M18" i="2"/>
  <c r="K31" i="2"/>
  <c r="O17" i="2" l="1"/>
  <c r="N34" i="2"/>
  <c r="N18" i="2"/>
  <c r="N35" i="2" s="1"/>
  <c r="O33" i="2"/>
  <c r="P16" i="2"/>
  <c r="O18" i="2"/>
  <c r="O35" i="2" s="1"/>
  <c r="M32" i="2"/>
  <c r="K27" i="2"/>
  <c r="L14" i="2" s="1"/>
  <c r="L13" i="2" s="1"/>
  <c r="K19" i="2"/>
  <c r="K13" i="2"/>
  <c r="L31" i="2"/>
  <c r="M35" i="2"/>
  <c r="E20" i="2"/>
  <c r="E21" i="2" s="1"/>
  <c r="M34" i="2"/>
  <c r="J28" i="2"/>
  <c r="P33" i="2" l="1"/>
  <c r="Q16" i="2"/>
  <c r="O34" i="2"/>
  <c r="P17" i="2"/>
  <c r="N31" i="2"/>
  <c r="E29" i="2"/>
  <c r="K28" i="2"/>
  <c r="M31" i="2"/>
  <c r="L19" i="2"/>
  <c r="L27" i="2"/>
  <c r="M14" i="2" s="1"/>
  <c r="P18" i="2" l="1"/>
  <c r="P35" i="2" s="1"/>
  <c r="Q17" i="2"/>
  <c r="Q18" i="2" s="1"/>
  <c r="P34" i="2"/>
  <c r="Q33" i="2"/>
  <c r="R16" i="2"/>
  <c r="O31" i="2"/>
  <c r="E23" i="2"/>
  <c r="M19" i="2"/>
  <c r="M27" i="2"/>
  <c r="N14" i="2" s="1"/>
  <c r="M13" i="2"/>
  <c r="L28" i="2"/>
  <c r="Q35" i="2" l="1"/>
  <c r="Q34" i="2"/>
  <c r="R17" i="2"/>
  <c r="R34" i="2" s="1"/>
  <c r="R33" i="2"/>
  <c r="R18" i="2"/>
  <c r="R35" i="2" s="1"/>
  <c r="N19" i="2"/>
  <c r="N27" i="2"/>
  <c r="O14" i="2" s="1"/>
  <c r="N13" i="2"/>
  <c r="P31" i="2"/>
  <c r="E24" i="2"/>
  <c r="E37" i="2"/>
  <c r="F20" i="2" s="1"/>
  <c r="F21" i="2" s="1"/>
  <c r="M28" i="2"/>
  <c r="Q31" i="2" l="1"/>
  <c r="O27" i="2"/>
  <c r="P14" i="2" s="1"/>
  <c r="O19" i="2"/>
  <c r="O13" i="2"/>
  <c r="N28" i="2"/>
  <c r="F29" i="2"/>
  <c r="O28" i="2" l="1"/>
  <c r="P27" i="2"/>
  <c r="Q14" i="2" s="1"/>
  <c r="P19" i="2"/>
  <c r="P13" i="2"/>
  <c r="R31" i="2"/>
  <c r="F23" i="2"/>
  <c r="F37" i="2" l="1"/>
  <c r="P28" i="2"/>
  <c r="Q13" i="2"/>
  <c r="Q27" i="2"/>
  <c r="R14" i="2" s="1"/>
  <c r="Q19" i="2"/>
  <c r="F24" i="2"/>
  <c r="G20" i="2"/>
  <c r="G21" i="2" s="1"/>
  <c r="Q28" i="2" l="1"/>
  <c r="R27" i="2"/>
  <c r="R19" i="2"/>
  <c r="R13" i="2"/>
  <c r="G22" i="2"/>
  <c r="G29" i="2" s="1"/>
  <c r="R28" i="2" l="1"/>
  <c r="G23" i="2"/>
  <c r="G24" i="2" l="1"/>
  <c r="G37" i="2"/>
  <c r="H20" i="2" s="1"/>
  <c r="H21" i="2" s="1"/>
  <c r="H22" i="2" l="1"/>
  <c r="H29" i="2" s="1"/>
  <c r="H23" i="2"/>
  <c r="H24" i="2" l="1"/>
  <c r="H37" i="2"/>
  <c r="I20" i="2" l="1"/>
  <c r="I21" i="2" s="1"/>
  <c r="I22" i="2" l="1"/>
  <c r="I29" i="2" s="1"/>
  <c r="I23" i="2" l="1"/>
  <c r="I24" i="2" s="1"/>
  <c r="I37" i="2"/>
  <c r="J20" i="2" l="1"/>
  <c r="J21" i="2" s="1"/>
  <c r="J22" i="2" l="1"/>
  <c r="J29" i="2" s="1"/>
  <c r="J23" i="2" l="1"/>
  <c r="J24" i="2" l="1"/>
  <c r="J37" i="2"/>
  <c r="K20" i="2" l="1"/>
  <c r="K21" i="2" s="1"/>
  <c r="K22" i="2" l="1"/>
  <c r="K29" i="2" s="1"/>
  <c r="K23" i="2" l="1"/>
  <c r="K24" i="2" s="1"/>
  <c r="K37" i="2" l="1"/>
  <c r="L20" i="2"/>
  <c r="L21" i="2" s="1"/>
  <c r="L22" i="2" l="1"/>
  <c r="L29" i="2" s="1"/>
  <c r="L23" i="2" l="1"/>
  <c r="L24" i="2" s="1"/>
  <c r="L37" i="2" l="1"/>
  <c r="M20" i="2" s="1"/>
  <c r="M21" i="2" s="1"/>
  <c r="M22" i="2" l="1"/>
  <c r="M29" i="2" s="1"/>
  <c r="M23" i="2" l="1"/>
  <c r="M24" i="2" l="1"/>
  <c r="M37" i="2"/>
  <c r="N20" i="2" l="1"/>
  <c r="N21" i="2" s="1"/>
  <c r="N22" i="2" l="1"/>
  <c r="N29" i="2" s="1"/>
  <c r="N23" i="2"/>
  <c r="N24" i="2" l="1"/>
  <c r="N37" i="2"/>
  <c r="O20" i="2" l="1"/>
  <c r="O21" i="2" s="1"/>
  <c r="O22" i="2" l="1"/>
  <c r="O29" i="2" s="1"/>
  <c r="O23" i="2" l="1"/>
  <c r="O24" i="2"/>
  <c r="O37" i="2"/>
  <c r="P20" i="2" l="1"/>
  <c r="P21" i="2" s="1"/>
  <c r="P22" i="2" l="1"/>
  <c r="P29" i="2" s="1"/>
  <c r="P23" i="2" l="1"/>
  <c r="P24" i="2" l="1"/>
  <c r="P37" i="2"/>
  <c r="Q20" i="2" l="1"/>
  <c r="Q21" i="2" s="1"/>
  <c r="Q22" i="2" l="1"/>
  <c r="Q29" i="2" s="1"/>
  <c r="Q23" i="2" l="1"/>
  <c r="Q24" i="2" s="1"/>
  <c r="Q37" i="2"/>
  <c r="R20" i="2" l="1"/>
  <c r="R21" i="2" s="1"/>
  <c r="R22" i="2" l="1"/>
  <c r="R29" i="2" s="1"/>
  <c r="R23" i="2" l="1"/>
  <c r="R24" i="2" l="1"/>
  <c r="S23" i="2"/>
  <c r="R37" i="2"/>
  <c r="T23" i="2" l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FT23" i="2" s="1"/>
  <c r="FU23" i="2" s="1"/>
  <c r="FV23" i="2" s="1"/>
  <c r="FW23" i="2" s="1"/>
  <c r="FX23" i="2" s="1"/>
  <c r="FY23" i="2" s="1"/>
  <c r="FZ23" i="2" s="1"/>
  <c r="GA23" i="2" s="1"/>
  <c r="GB23" i="2" s="1"/>
  <c r="GC23" i="2" s="1"/>
  <c r="GD23" i="2" s="1"/>
  <c r="GE23" i="2" s="1"/>
  <c r="GF23" i="2" s="1"/>
  <c r="GG23" i="2" s="1"/>
  <c r="GH23" i="2" s="1"/>
  <c r="GI23" i="2" s="1"/>
  <c r="GJ23" i="2" s="1"/>
  <c r="GK23" i="2" s="1"/>
  <c r="GL23" i="2" s="1"/>
  <c r="GM23" i="2" s="1"/>
  <c r="GN23" i="2" s="1"/>
  <c r="GO23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<sst xmlns="http://schemas.openxmlformats.org/spreadsheetml/2006/main" count="121" uniqueCount="79">
  <si>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</si>
  <si>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</si>
  <si>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</si>
  <si>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</si>
  <si>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</si>
  <si>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</si>
  <si>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</si>
  <si>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</si>
  <si>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</si>
  <si>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</si>
  <si>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</si>
  <si>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</si>
  <si>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</si>
  <si>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</si>
  <si>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</si>
  <si>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</si>
  <si>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</si>
  <si>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</si>
  <si>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</si>
  <si>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</si>
  <si>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</si>
  <si>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</si>
  <si>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</si>
  <si>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</si>
  <si>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</si>
  <si>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</si>
  <si>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</si>
  <si>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</si>
  <si>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</si>
  <si>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</si>
  <si>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</si>
  <si>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</si>
  <si>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</si>
  <si>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</si>
  <si>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</si>
  <si>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</si>
  <si>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</si>
  <si>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</si>
  <si>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</si>
  <si>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</si>
  <si>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</si>
  <si>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</si>
  <si>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</si>
  <si>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</si>
  <si>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</si>
  <si>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</si>
  <si>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</si>
  <si>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</si>
  <si>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</si>
  <si>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</si>
  <si>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</si>
  <si>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</si>
  <si>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</si>
  <si>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</si>
  <si>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</si>
  <si>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</si>
  <si>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</si>
  <si>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Subscription</t>
  </si>
  <si>
    <t>Subscription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</si>
  <si>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</si>
  <si>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</si>
  <si>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</si>
  <si>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</si>
  <si>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</si>
  <si>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</si>
  <si>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</si>
  <si>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</si>
  <si>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Palantir Technologies (PLTR)</t>
  </si>
  <si>
    <t>Alex Karp</t>
  </si>
  <si>
    <t>Peter Thiel</t>
  </si>
  <si>
    <t>Gotham</t>
  </si>
  <si>
    <t>Foundry</t>
  </si>
  <si>
    <t>Data management</t>
  </si>
  <si>
    <t>Apollo</t>
  </si>
  <si>
    <t>CDS</t>
  </si>
  <si>
    <t>Products</t>
  </si>
  <si>
    <t>Data analytics and pattern detection</t>
  </si>
  <si>
    <t>ML for public applications (non-technical)</t>
  </si>
  <si>
    <t>Data safety and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</si>
</sst>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4" fillId="0" borderId="0" xfId="4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7</xdr:row>
      <xdr:rowOff>152400</xdr:rowOff>
    </xdr:from>
    <xdr:to>
      <xdr:col>3</xdr:col>
      <xdr:colOff>165100</xdr:colOff>
      <xdr:row>54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65800" y="1308100"/>
          <a:ext cx="0" cy="9271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0</xdr:row>
      <xdr:rowOff>152400</xdr:rowOff>
    </xdr:from>
    <xdr:to>
      <xdr:col>12</xdr:col>
      <xdr:colOff>165100</xdr:colOff>
      <xdr:row>49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ex_Karp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palantir.com/home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Peter_Thiel" TargetMode="External"/><Relationship Id="rId4" Type="http://schemas.openxmlformats.org/officeDocument/2006/relationships/hyperlink" Target="https://en.wikipedia.org/wiki/Alex_Kar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32165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53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40" sqref="F40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4" x14ac:dyDescent="0.15">
      <c r="A1" s="69" t="s">
        <v>54</v>
      </c>
      <c r="B1" s="2" t="s">
        <v>67</v>
      </c>
    </row>
    <row r="2" spans="1:114" x14ac:dyDescent="0.15">
      <c r="B2" s="3" t="s">
        <v>36</v>
      </c>
      <c r="C2" s="4">
        <v>17.850000000000001</v>
      </c>
      <c r="D2" s="66">
        <v>44152</v>
      </c>
      <c r="E2" s="6" t="s">
        <v>21</v>
      </c>
      <c r="F2" s="7">
        <v>5.0000000000000001E-3</v>
      </c>
      <c r="I2" s="16"/>
      <c r="L2" s="2"/>
    </row>
    <row r="3" spans="1:114" x14ac:dyDescent="0.15">
      <c r="A3" s="2" t="s">
        <v>34</v>
      </c>
      <c r="B3" s="3" t="s">
        <v>13</v>
      </c>
      <c r="C3" s="8">
        <f>Reports!L19</f>
        <v>905.46200999999996</v>
      </c>
      <c r="D3" s="67" t="s">
        <v>66</v>
      </c>
      <c r="E3" s="6" t="s">
        <v>22</v>
      </c>
      <c r="F3" s="7">
        <v>0.02</v>
      </c>
      <c r="G3" s="5" t="s">
        <v>55</v>
      </c>
      <c r="I3" s="16"/>
    </row>
    <row r="4" spans="1:114" x14ac:dyDescent="0.15">
      <c r="A4" s="68" t="s">
        <v>68</v>
      </c>
      <c r="B4" s="3" t="s">
        <v>37</v>
      </c>
      <c r="C4" s="10">
        <f>C2*C3</f>
        <v>16162.4968785</v>
      </c>
      <c r="D4" s="67"/>
      <c r="E4" s="6" t="s">
        <v>23</v>
      </c>
      <c r="F4" s="7">
        <f>7%</f>
        <v>7.0000000000000007E-2</v>
      </c>
      <c r="G4" s="5" t="s">
        <v>62</v>
      </c>
      <c r="I4" s="19"/>
      <c r="L4" s="9" t="s">
        <v>63</v>
      </c>
    </row>
    <row r="5" spans="1:114" x14ac:dyDescent="0.15">
      <c r="B5" s="3" t="s">
        <v>18</v>
      </c>
      <c r="C5" s="8">
        <f>Reports!L31</f>
        <v>1646</v>
      </c>
      <c r="D5" s="67" t="s">
        <v>66</v>
      </c>
      <c r="E5" s="6" t="s">
        <v>24</v>
      </c>
      <c r="F5" s="11">
        <f>NPV(F4,D23:GO23)</f>
        <v>42879.823427663599</v>
      </c>
      <c r="G5" s="5" t="s">
        <v>64</v>
      </c>
      <c r="I5" s="19"/>
    </row>
    <row r="6" spans="1:114" x14ac:dyDescent="0.15">
      <c r="A6" s="2" t="s">
        <v>35</v>
      </c>
      <c r="B6" s="3" t="s">
        <v>38</v>
      </c>
      <c r="C6" s="10">
        <f>C4-C5</f>
        <v>14516.4968785</v>
      </c>
      <c r="D6" s="67"/>
      <c r="E6" s="12" t="s">
        <v>25</v>
      </c>
      <c r="F6" s="13">
        <f>F5+C5</f>
        <v>44525.823427663599</v>
      </c>
      <c r="I6" s="19"/>
    </row>
    <row r="7" spans="1:114" x14ac:dyDescent="0.15">
      <c r="A7" s="68" t="s">
        <v>69</v>
      </c>
      <c r="B7" s="5" t="s">
        <v>39</v>
      </c>
      <c r="C7" s="43">
        <f>C6/C3</f>
        <v>16.032143500421405</v>
      </c>
      <c r="D7" s="67"/>
      <c r="E7" s="14" t="s">
        <v>39</v>
      </c>
      <c r="F7" s="42">
        <f>F6/C3</f>
        <v>49.174700800162341</v>
      </c>
      <c r="G7" s="19">
        <f>F7/C2-1</f>
        <v>1.7548851988886462</v>
      </c>
    </row>
    <row r="8" spans="1:114" x14ac:dyDescent="0.15">
      <c r="A8" s="68" t="s">
        <v>68</v>
      </c>
      <c r="B8" s="6"/>
      <c r="C8" s="15"/>
    </row>
    <row r="9" spans="1:114" x14ac:dyDescent="0.15">
      <c r="B9" s="38">
        <f>2018</f>
        <v>2018</v>
      </c>
      <c r="C9" s="38">
        <f t="shared" ref="C9:R9" si="0">B9+1</f>
        <v>2019</v>
      </c>
      <c r="D9" s="38">
        <f t="shared" si="0"/>
        <v>2020</v>
      </c>
      <c r="E9" s="38">
        <f t="shared" si="0"/>
        <v>2021</v>
      </c>
      <c r="F9" s="38">
        <f t="shared" si="0"/>
        <v>2022</v>
      </c>
      <c r="G9" s="38">
        <f t="shared" si="0"/>
        <v>2023</v>
      </c>
      <c r="H9" s="38">
        <f t="shared" si="0"/>
        <v>2024</v>
      </c>
      <c r="I9" s="38">
        <f t="shared" si="0"/>
        <v>2025</v>
      </c>
      <c r="J9" s="38">
        <f t="shared" si="0"/>
        <v>2026</v>
      </c>
      <c r="K9" s="38">
        <f t="shared" si="0"/>
        <v>2027</v>
      </c>
      <c r="L9" s="38">
        <f t="shared" si="0"/>
        <v>2028</v>
      </c>
      <c r="M9" s="38">
        <f t="shared" si="0"/>
        <v>2029</v>
      </c>
      <c r="N9" s="38">
        <f t="shared" si="0"/>
        <v>2030</v>
      </c>
      <c r="O9" s="38">
        <f t="shared" si="0"/>
        <v>2031</v>
      </c>
      <c r="P9" s="38">
        <f t="shared" si="0"/>
        <v>2032</v>
      </c>
      <c r="Q9" s="38">
        <f t="shared" si="0"/>
        <v>2033</v>
      </c>
      <c r="R9" s="38">
        <f t="shared" si="0"/>
        <v>2034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</row>
    <row r="10" spans="1:114" x14ac:dyDescent="0.15">
      <c r="A10" s="8" t="s">
        <v>57</v>
      </c>
      <c r="B10" s="37">
        <v>595.40899999999999</v>
      </c>
      <c r="C10" s="37">
        <v>742.55499999999995</v>
      </c>
      <c r="D10" s="37">
        <f>C10*1.4</f>
        <v>1039.5769999999998</v>
      </c>
      <c r="E10" s="37">
        <f t="shared" ref="E10:H10" si="1">D10*1.4</f>
        <v>1455.4077999999995</v>
      </c>
      <c r="F10" s="37">
        <f t="shared" si="1"/>
        <v>2037.5709199999992</v>
      </c>
      <c r="G10" s="37">
        <f t="shared" si="1"/>
        <v>2852.5992879999985</v>
      </c>
      <c r="H10" s="37">
        <f t="shared" si="1"/>
        <v>3993.6390031999977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</row>
    <row r="11" spans="1:114" s="58" customFormat="1" x14ac:dyDescent="0.15">
      <c r="C11" s="47"/>
      <c r="D11" s="47">
        <v>1070</v>
      </c>
      <c r="E11" s="47"/>
      <c r="F11" s="47"/>
    </row>
    <row r="12" spans="1:114" x14ac:dyDescent="0.15">
      <c r="A12" s="2" t="s">
        <v>0</v>
      </c>
      <c r="B12" s="24">
        <f t="shared" ref="B12:H12" si="2">SUM(B10:B10)</f>
        <v>595.40899999999999</v>
      </c>
      <c r="C12" s="24">
        <f t="shared" si="2"/>
        <v>742.55499999999995</v>
      </c>
      <c r="D12" s="45">
        <f t="shared" si="2"/>
        <v>1039.5769999999998</v>
      </c>
      <c r="E12" s="45">
        <f t="shared" si="2"/>
        <v>1455.4077999999995</v>
      </c>
      <c r="F12" s="45">
        <f t="shared" si="2"/>
        <v>2037.5709199999992</v>
      </c>
      <c r="G12" s="45">
        <f t="shared" si="2"/>
        <v>2852.5992879999985</v>
      </c>
      <c r="H12" s="45">
        <f t="shared" si="2"/>
        <v>3993.6390031999977</v>
      </c>
      <c r="I12" s="45">
        <f>H12*1.1</f>
        <v>4393.0029035199977</v>
      </c>
      <c r="J12" s="45">
        <f t="shared" ref="J12:R12" si="3">I12*1.1</f>
        <v>4832.3031938719978</v>
      </c>
      <c r="K12" s="45">
        <f t="shared" si="3"/>
        <v>5315.5335132591981</v>
      </c>
      <c r="L12" s="45">
        <f t="shared" si="3"/>
        <v>5847.0868645851187</v>
      </c>
      <c r="M12" s="45">
        <f t="shared" si="3"/>
        <v>6431.7955510436313</v>
      </c>
      <c r="N12" s="45">
        <f t="shared" si="3"/>
        <v>7074.9751061479947</v>
      </c>
      <c r="O12" s="45">
        <f t="shared" si="3"/>
        <v>7782.472616762795</v>
      </c>
      <c r="P12" s="45">
        <f t="shared" si="3"/>
        <v>8560.7198784390748</v>
      </c>
      <c r="Q12" s="45">
        <f t="shared" si="3"/>
        <v>9416.7918662829834</v>
      </c>
      <c r="R12" s="45">
        <f t="shared" si="3"/>
        <v>10358.471052911282</v>
      </c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</row>
    <row r="13" spans="1:114" x14ac:dyDescent="0.15">
      <c r="A13" s="3" t="s">
        <v>1</v>
      </c>
      <c r="B13" s="37">
        <v>165.40100000000001</v>
      </c>
      <c r="C13" s="37">
        <v>242.37299999999999</v>
      </c>
      <c r="D13" s="23">
        <f>D12-D14</f>
        <v>339.32219999999995</v>
      </c>
      <c r="E13" s="23">
        <f t="shared" ref="E13" si="4">E12-E14</f>
        <v>475.05107999999984</v>
      </c>
      <c r="F13" s="23">
        <f t="shared" ref="F13:M13" si="5">F12-F14</f>
        <v>665.07151199999976</v>
      </c>
      <c r="G13" s="23">
        <f t="shared" si="5"/>
        <v>931.10011679999957</v>
      </c>
      <c r="H13" s="23">
        <f>H12-H14</f>
        <v>1303.5401635199992</v>
      </c>
      <c r="I13" s="23">
        <f t="shared" si="5"/>
        <v>1433.8941798719993</v>
      </c>
      <c r="J13" s="23">
        <f t="shared" si="5"/>
        <v>1577.2835978591993</v>
      </c>
      <c r="K13" s="23">
        <f t="shared" si="5"/>
        <v>1735.0119576451193</v>
      </c>
      <c r="L13" s="23">
        <f t="shared" si="5"/>
        <v>1908.5131534096317</v>
      </c>
      <c r="M13" s="23">
        <f t="shared" si="5"/>
        <v>2099.3644687505948</v>
      </c>
      <c r="N13" s="23">
        <f t="shared" ref="N13:R13" si="6">N12-N14</f>
        <v>2309.3009156256549</v>
      </c>
      <c r="O13" s="23">
        <f t="shared" si="6"/>
        <v>2540.2310071882202</v>
      </c>
      <c r="P13" s="23">
        <f t="shared" si="6"/>
        <v>2794.2541079070425</v>
      </c>
      <c r="Q13" s="23">
        <f t="shared" si="6"/>
        <v>3073.679518697747</v>
      </c>
      <c r="R13" s="23">
        <f t="shared" si="6"/>
        <v>3381.0474705675215</v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</row>
    <row r="14" spans="1:114" x14ac:dyDescent="0.15">
      <c r="A14" s="3" t="s">
        <v>2</v>
      </c>
      <c r="B14" s="26">
        <f>B12-B13</f>
        <v>430.00799999999998</v>
      </c>
      <c r="C14" s="26">
        <f>C12-C13</f>
        <v>500.18199999999996</v>
      </c>
      <c r="D14" s="23">
        <f>D12*C27</f>
        <v>700.25479999999982</v>
      </c>
      <c r="E14" s="23">
        <f t="shared" ref="E14:R14" si="7">E12*D27</f>
        <v>980.35671999999965</v>
      </c>
      <c r="F14" s="23">
        <f t="shared" si="7"/>
        <v>1372.4994079999994</v>
      </c>
      <c r="G14" s="23">
        <f t="shared" si="7"/>
        <v>1921.499171199999</v>
      </c>
      <c r="H14" s="23">
        <f>H12*G27</f>
        <v>2690.0988396799985</v>
      </c>
      <c r="I14" s="23">
        <f t="shared" si="7"/>
        <v>2959.1087236479984</v>
      </c>
      <c r="J14" s="23">
        <f t="shared" si="7"/>
        <v>3255.0195960127985</v>
      </c>
      <c r="K14" s="23">
        <f t="shared" si="7"/>
        <v>3580.5215556140788</v>
      </c>
      <c r="L14" s="23">
        <f t="shared" si="7"/>
        <v>3938.573711175487</v>
      </c>
      <c r="M14" s="23">
        <f t="shared" si="7"/>
        <v>4332.4310822930365</v>
      </c>
      <c r="N14" s="23">
        <f t="shared" si="7"/>
        <v>4765.6741905223398</v>
      </c>
      <c r="O14" s="23">
        <f t="shared" si="7"/>
        <v>5242.2416095745748</v>
      </c>
      <c r="P14" s="23">
        <f t="shared" si="7"/>
        <v>5766.4657705320324</v>
      </c>
      <c r="Q14" s="23">
        <f t="shared" si="7"/>
        <v>6343.1123475852364</v>
      </c>
      <c r="R14" s="23">
        <f t="shared" si="7"/>
        <v>6977.4235823437602</v>
      </c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</row>
    <row r="15" spans="1:114" x14ac:dyDescent="0.15">
      <c r="A15" s="3" t="s">
        <v>3</v>
      </c>
      <c r="B15" s="37">
        <v>285</v>
      </c>
      <c r="C15" s="37">
        <v>306</v>
      </c>
      <c r="D15" s="23">
        <f>C15*1.1</f>
        <v>336.6</v>
      </c>
      <c r="E15" s="23">
        <f t="shared" ref="E15:H15" si="8">D15*1.1</f>
        <v>370.26000000000005</v>
      </c>
      <c r="F15" s="23">
        <f t="shared" si="8"/>
        <v>407.28600000000006</v>
      </c>
      <c r="G15" s="23">
        <f t="shared" si="8"/>
        <v>448.01460000000009</v>
      </c>
      <c r="H15" s="23">
        <f t="shared" si="8"/>
        <v>492.81606000000016</v>
      </c>
      <c r="I15" s="23">
        <f>H15*1.05</f>
        <v>517.45686300000023</v>
      </c>
      <c r="J15" s="23">
        <f t="shared" ref="J15:R15" si="9">I15*1.05</f>
        <v>543.32970615000022</v>
      </c>
      <c r="K15" s="23">
        <f t="shared" si="9"/>
        <v>570.49619145750023</v>
      </c>
      <c r="L15" s="23">
        <f t="shared" si="9"/>
        <v>599.02100103037526</v>
      </c>
      <c r="M15" s="23">
        <f t="shared" si="9"/>
        <v>628.97205108189405</v>
      </c>
      <c r="N15" s="23">
        <f t="shared" si="9"/>
        <v>660.42065363598874</v>
      </c>
      <c r="O15" s="23">
        <f t="shared" si="9"/>
        <v>693.44168631778825</v>
      </c>
      <c r="P15" s="23">
        <f t="shared" si="9"/>
        <v>728.11377063367775</v>
      </c>
      <c r="Q15" s="23">
        <f t="shared" si="9"/>
        <v>764.5194591653617</v>
      </c>
      <c r="R15" s="23">
        <f t="shared" si="9"/>
        <v>802.74543212362983</v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</row>
    <row r="16" spans="1:114" x14ac:dyDescent="0.15">
      <c r="A16" s="3" t="s">
        <v>4</v>
      </c>
      <c r="B16" s="37">
        <v>462</v>
      </c>
      <c r="C16" s="37">
        <v>450</v>
      </c>
      <c r="D16" s="23">
        <f t="shared" ref="D16:H16" si="10">C16*1.1</f>
        <v>495.00000000000006</v>
      </c>
      <c r="E16" s="23">
        <f t="shared" si="10"/>
        <v>544.50000000000011</v>
      </c>
      <c r="F16" s="23">
        <f t="shared" si="10"/>
        <v>598.95000000000016</v>
      </c>
      <c r="G16" s="23">
        <f t="shared" si="10"/>
        <v>658.84500000000025</v>
      </c>
      <c r="H16" s="23">
        <f t="shared" si="10"/>
        <v>724.72950000000037</v>
      </c>
      <c r="I16" s="23">
        <f t="shared" ref="I16:R16" si="11">H16*0.98</f>
        <v>710.23491000000035</v>
      </c>
      <c r="J16" s="23">
        <f t="shared" si="11"/>
        <v>696.0302118000003</v>
      </c>
      <c r="K16" s="23">
        <f t="shared" si="11"/>
        <v>682.10960756400027</v>
      </c>
      <c r="L16" s="23">
        <f t="shared" si="11"/>
        <v>668.46741541272024</v>
      </c>
      <c r="M16" s="23">
        <f t="shared" si="11"/>
        <v>655.09806710446583</v>
      </c>
      <c r="N16" s="23">
        <f t="shared" si="11"/>
        <v>641.99610576237649</v>
      </c>
      <c r="O16" s="23">
        <f t="shared" si="11"/>
        <v>629.15618364712896</v>
      </c>
      <c r="P16" s="23">
        <f t="shared" si="11"/>
        <v>616.57305997418632</v>
      </c>
      <c r="Q16" s="23">
        <f t="shared" si="11"/>
        <v>604.24159877470254</v>
      </c>
      <c r="R16" s="23">
        <f t="shared" si="11"/>
        <v>592.15676679920853</v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</row>
    <row r="17" spans="1:197" x14ac:dyDescent="0.15">
      <c r="A17" s="3" t="s">
        <v>5</v>
      </c>
      <c r="B17" s="37">
        <v>306</v>
      </c>
      <c r="C17" s="37">
        <v>321</v>
      </c>
      <c r="D17" s="23">
        <f>C17*1.05</f>
        <v>337.05</v>
      </c>
      <c r="E17" s="23">
        <f t="shared" ref="E17:H17" si="12">D17*1.05</f>
        <v>353.90250000000003</v>
      </c>
      <c r="F17" s="23">
        <f t="shared" si="12"/>
        <v>371.59762500000005</v>
      </c>
      <c r="G17" s="23">
        <f t="shared" si="12"/>
        <v>390.17750625000008</v>
      </c>
      <c r="H17" s="23">
        <f t="shared" si="12"/>
        <v>409.68638156250012</v>
      </c>
      <c r="I17" s="23">
        <f t="shared" ref="I17:R17" si="13">H17*0.98</f>
        <v>401.49265393125012</v>
      </c>
      <c r="J17" s="23">
        <f t="shared" si="13"/>
        <v>393.46280085262509</v>
      </c>
      <c r="K17" s="23">
        <f t="shared" si="13"/>
        <v>385.59354483557257</v>
      </c>
      <c r="L17" s="23">
        <f t="shared" si="13"/>
        <v>377.88167393886113</v>
      </c>
      <c r="M17" s="23">
        <f t="shared" si="13"/>
        <v>370.32404046008389</v>
      </c>
      <c r="N17" s="23">
        <f t="shared" si="13"/>
        <v>362.9175596508822</v>
      </c>
      <c r="O17" s="23">
        <f t="shared" si="13"/>
        <v>355.65920845786457</v>
      </c>
      <c r="P17" s="23">
        <f t="shared" si="13"/>
        <v>348.54602428870726</v>
      </c>
      <c r="Q17" s="23">
        <f t="shared" si="13"/>
        <v>341.57510380293309</v>
      </c>
      <c r="R17" s="23">
        <f t="shared" si="13"/>
        <v>334.74360172687443</v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</row>
    <row r="18" spans="1:197" x14ac:dyDescent="0.15">
      <c r="A18" s="3" t="s">
        <v>6</v>
      </c>
      <c r="B18" s="26">
        <f>SUM(B15:B17)</f>
        <v>1053</v>
      </c>
      <c r="C18" s="26">
        <f>SUM(C15:C17)</f>
        <v>1077</v>
      </c>
      <c r="D18" s="23">
        <f t="shared" ref="D18:E18" si="14">SUM(D15:D17)</f>
        <v>1168.6500000000001</v>
      </c>
      <c r="E18" s="23">
        <f t="shared" si="14"/>
        <v>1268.6625000000004</v>
      </c>
      <c r="F18" s="23">
        <f t="shared" ref="F18:M18" si="15">SUM(F15:F17)</f>
        <v>1377.8336250000002</v>
      </c>
      <c r="G18" s="23">
        <f t="shared" si="15"/>
        <v>1497.0371062500003</v>
      </c>
      <c r="H18" s="23">
        <f t="shared" si="15"/>
        <v>1627.2319415625007</v>
      </c>
      <c r="I18" s="23">
        <f t="shared" si="15"/>
        <v>1629.1844269312505</v>
      </c>
      <c r="J18" s="23">
        <f t="shared" si="15"/>
        <v>1632.8227188026258</v>
      </c>
      <c r="K18" s="23">
        <f t="shared" si="15"/>
        <v>1638.199343857073</v>
      </c>
      <c r="L18" s="23">
        <f t="shared" si="15"/>
        <v>1645.3700903819567</v>
      </c>
      <c r="M18" s="23">
        <f t="shared" si="15"/>
        <v>1654.3941586464439</v>
      </c>
      <c r="N18" s="23">
        <f t="shared" ref="N18:R18" si="16">SUM(N15:N17)</f>
        <v>1665.3343190492474</v>
      </c>
      <c r="O18" s="23">
        <f t="shared" si="16"/>
        <v>1678.2570784227819</v>
      </c>
      <c r="P18" s="23">
        <f t="shared" si="16"/>
        <v>1693.2328548965713</v>
      </c>
      <c r="Q18" s="23">
        <f t="shared" si="16"/>
        <v>1710.3361617429973</v>
      </c>
      <c r="R18" s="23">
        <f t="shared" si="16"/>
        <v>1729.6458006497128</v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</row>
    <row r="19" spans="1:197" x14ac:dyDescent="0.15">
      <c r="A19" s="3" t="s">
        <v>7</v>
      </c>
      <c r="B19" s="26">
        <f>B14-B18</f>
        <v>-622.99199999999996</v>
      </c>
      <c r="C19" s="26">
        <f>C14-C18</f>
        <v>-576.81799999999998</v>
      </c>
      <c r="D19" s="23">
        <f t="shared" ref="D19:E19" si="17">D14-D18</f>
        <v>-468.39520000000027</v>
      </c>
      <c r="E19" s="23">
        <f t="shared" si="17"/>
        <v>-288.30578000000071</v>
      </c>
      <c r="F19" s="23">
        <f t="shared" ref="F19:M19" si="18">F14-F18</f>
        <v>-5.3342170000007627</v>
      </c>
      <c r="G19" s="23">
        <f t="shared" si="18"/>
        <v>424.46206494999865</v>
      </c>
      <c r="H19" s="23">
        <f t="shared" si="18"/>
        <v>1062.8668981174978</v>
      </c>
      <c r="I19" s="23">
        <f t="shared" si="18"/>
        <v>1329.9242967167479</v>
      </c>
      <c r="J19" s="23">
        <f t="shared" si="18"/>
        <v>1622.1968772101727</v>
      </c>
      <c r="K19" s="23">
        <f t="shared" si="18"/>
        <v>1942.3222117570058</v>
      </c>
      <c r="L19" s="23">
        <f t="shared" si="18"/>
        <v>2293.2036207935303</v>
      </c>
      <c r="M19" s="23">
        <f t="shared" si="18"/>
        <v>2678.0369236465926</v>
      </c>
      <c r="N19" s="23">
        <f t="shared" ref="N19:R19" si="19">N14-N18</f>
        <v>3100.3398714730924</v>
      </c>
      <c r="O19" s="23">
        <f t="shared" si="19"/>
        <v>3563.9845311517929</v>
      </c>
      <c r="P19" s="23">
        <f t="shared" si="19"/>
        <v>4073.2329156354608</v>
      </c>
      <c r="Q19" s="23">
        <f t="shared" si="19"/>
        <v>4632.7761858422391</v>
      </c>
      <c r="R19" s="23">
        <f t="shared" si="19"/>
        <v>5247.777781694047</v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</row>
    <row r="20" spans="1:197" x14ac:dyDescent="0.15">
      <c r="A20" s="3" t="s">
        <v>8</v>
      </c>
      <c r="B20" s="23">
        <f>10-3+48-3</f>
        <v>52</v>
      </c>
      <c r="C20" s="37">
        <f>15-3-3</f>
        <v>9</v>
      </c>
      <c r="D20" s="23">
        <f>C37*$F$3</f>
        <v>14.700000000000001</v>
      </c>
      <c r="E20" s="23">
        <f>D37*$F$3</f>
        <v>5.6260959999999942</v>
      </c>
      <c r="F20" s="23">
        <f>E37*$F$3</f>
        <v>-2.7497680000019502E-2</v>
      </c>
      <c r="G20" s="23">
        <f>F37*$F$3</f>
        <v>-0.13473197360003514</v>
      </c>
      <c r="H20" s="23">
        <f>G37*$F$3</f>
        <v>7.5031600199751409</v>
      </c>
      <c r="I20" s="23">
        <f>H37*$F$3</f>
        <v>26.769821066449655</v>
      </c>
      <c r="J20" s="23">
        <f>I37*$F$3</f>
        <v>51.190315186547217</v>
      </c>
      <c r="K20" s="23">
        <f>J37*$F$3</f>
        <v>81.311284649688176</v>
      </c>
      <c r="L20" s="23">
        <f>K37*$F$3</f>
        <v>117.73668758500867</v>
      </c>
      <c r="M20" s="23">
        <f>L37*$F$3</f>
        <v>161.13361313582237</v>
      </c>
      <c r="N20" s="23">
        <f>M37*$F$3</f>
        <v>212.23868279790582</v>
      </c>
      <c r="O20" s="23">
        <f>N37*$F$3</f>
        <v>271.86509677478381</v>
      </c>
      <c r="P20" s="23">
        <f>O37*$F$3</f>
        <v>340.91039007746213</v>
      </c>
      <c r="Q20" s="23">
        <f>P37*$F$3</f>
        <v>420.36496958029477</v>
      </c>
      <c r="R20" s="23">
        <f>Q37*$F$3</f>
        <v>511.32151037790044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</row>
    <row r="21" spans="1:197" x14ac:dyDescent="0.15">
      <c r="A21" s="3" t="s">
        <v>9</v>
      </c>
      <c r="B21" s="26">
        <f>B19+B20</f>
        <v>-570.99199999999996</v>
      </c>
      <c r="C21" s="26">
        <f>C19+C20</f>
        <v>-567.81799999999998</v>
      </c>
      <c r="D21" s="23">
        <f t="shared" ref="D21:E21" si="20">D19+D20</f>
        <v>-453.69520000000028</v>
      </c>
      <c r="E21" s="23">
        <f t="shared" si="20"/>
        <v>-282.67968400000069</v>
      </c>
      <c r="F21" s="23">
        <f t="shared" ref="F21" si="21">F19+F20</f>
        <v>-5.361714680000782</v>
      </c>
      <c r="G21" s="23">
        <f t="shared" ref="G21" si="22">G19+G20</f>
        <v>424.32733297639862</v>
      </c>
      <c r="H21" s="23">
        <f t="shared" ref="H21" si="23">H19+H20</f>
        <v>1070.3700581374731</v>
      </c>
      <c r="I21" s="23">
        <f t="shared" ref="I21" si="24">I19+I20</f>
        <v>1356.6941177831975</v>
      </c>
      <c r="J21" s="23">
        <f t="shared" ref="J21" si="25">J19+J20</f>
        <v>1673.3871923967199</v>
      </c>
      <c r="K21" s="23">
        <f t="shared" ref="K21" si="26">K19+K20</f>
        <v>2023.6334964066939</v>
      </c>
      <c r="L21" s="23">
        <f t="shared" ref="L21" si="27">L19+L20</f>
        <v>2410.9403083785392</v>
      </c>
      <c r="M21" s="23">
        <f t="shared" ref="M21:N21" si="28">M19+M20</f>
        <v>2839.1705367824152</v>
      </c>
      <c r="N21" s="23">
        <f t="shared" si="28"/>
        <v>3312.5785542709982</v>
      </c>
      <c r="O21" s="23">
        <f t="shared" ref="O21:R21" si="29">O19+O20</f>
        <v>3835.8496279265769</v>
      </c>
      <c r="P21" s="23">
        <f t="shared" si="29"/>
        <v>4414.1433057129234</v>
      </c>
      <c r="Q21" s="23">
        <f t="shared" si="29"/>
        <v>5053.1411554225342</v>
      </c>
      <c r="R21" s="23">
        <f t="shared" si="29"/>
        <v>5759.0992920719473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</row>
    <row r="22" spans="1:197" x14ac:dyDescent="0.15">
      <c r="A22" s="3" t="s">
        <v>10</v>
      </c>
      <c r="B22" s="23">
        <v>9</v>
      </c>
      <c r="C22" s="37">
        <v>12</v>
      </c>
      <c r="D22" s="23">
        <v>0</v>
      </c>
      <c r="E22" s="23">
        <v>0</v>
      </c>
      <c r="F22" s="23">
        <v>0</v>
      </c>
      <c r="G22" s="23">
        <f t="shared" ref="G22:M22" si="30">G21*0.1</f>
        <v>42.432733297639864</v>
      </c>
      <c r="H22" s="23">
        <f t="shared" si="30"/>
        <v>107.03700581374731</v>
      </c>
      <c r="I22" s="23">
        <f t="shared" si="30"/>
        <v>135.66941177831976</v>
      </c>
      <c r="J22" s="23">
        <f t="shared" si="30"/>
        <v>167.338719239672</v>
      </c>
      <c r="K22" s="23">
        <f t="shared" si="30"/>
        <v>202.36334964066941</v>
      </c>
      <c r="L22" s="23">
        <f t="shared" si="30"/>
        <v>241.09403083785392</v>
      </c>
      <c r="M22" s="23">
        <f t="shared" si="30"/>
        <v>283.91705367824153</v>
      </c>
      <c r="N22" s="23">
        <f t="shared" ref="N22:R22" si="31">N21*0.1</f>
        <v>331.25785542709986</v>
      </c>
      <c r="O22" s="23">
        <f t="shared" si="31"/>
        <v>383.58496279265773</v>
      </c>
      <c r="P22" s="23">
        <f t="shared" si="31"/>
        <v>441.41433057129234</v>
      </c>
      <c r="Q22" s="23">
        <f t="shared" si="31"/>
        <v>505.31411554225343</v>
      </c>
      <c r="R22" s="23">
        <f t="shared" si="31"/>
        <v>575.90992920719475</v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</row>
    <row r="23" spans="1:197" s="2" customFormat="1" x14ac:dyDescent="0.15">
      <c r="A23" s="2" t="s">
        <v>11</v>
      </c>
      <c r="B23" s="24">
        <f>B21-B22</f>
        <v>-579.99199999999996</v>
      </c>
      <c r="C23" s="24">
        <f t="shared" ref="C23:E23" si="32">C21-C22</f>
        <v>-579.81799999999998</v>
      </c>
      <c r="D23" s="24">
        <f>D21-D22</f>
        <v>-453.69520000000028</v>
      </c>
      <c r="E23" s="24">
        <f t="shared" si="32"/>
        <v>-282.67968400000069</v>
      </c>
      <c r="F23" s="24">
        <f t="shared" ref="F23:M23" si="33">F21-F22</f>
        <v>-5.361714680000782</v>
      </c>
      <c r="G23" s="24">
        <f t="shared" si="33"/>
        <v>381.89459967875877</v>
      </c>
      <c r="H23" s="24">
        <f t="shared" si="33"/>
        <v>963.33305232372572</v>
      </c>
      <c r="I23" s="24">
        <f t="shared" si="33"/>
        <v>1221.0247060048778</v>
      </c>
      <c r="J23" s="24">
        <f t="shared" si="33"/>
        <v>1506.048473157048</v>
      </c>
      <c r="K23" s="24">
        <f t="shared" si="33"/>
        <v>1821.2701467660245</v>
      </c>
      <c r="L23" s="24">
        <f t="shared" si="33"/>
        <v>2169.8462775406852</v>
      </c>
      <c r="M23" s="24">
        <f t="shared" si="33"/>
        <v>2555.2534831041735</v>
      </c>
      <c r="N23" s="24">
        <f t="shared" ref="N23:R23" si="34">N21-N22</f>
        <v>2981.3206988438983</v>
      </c>
      <c r="O23" s="24">
        <f t="shared" si="34"/>
        <v>3452.2646651339192</v>
      </c>
      <c r="P23" s="24">
        <f t="shared" si="34"/>
        <v>3972.7289751416311</v>
      </c>
      <c r="Q23" s="24">
        <f t="shared" si="34"/>
        <v>4547.8270398802806</v>
      </c>
      <c r="R23" s="24">
        <f t="shared" si="34"/>
        <v>5183.1893628647522</v>
      </c>
      <c r="S23" s="24">
        <f>R23*($F$2+1)</f>
        <v>5209.1053096790756</v>
      </c>
      <c r="T23" s="24">
        <f>S23*($F$2+1)</f>
        <v>5235.1508362274708</v>
      </c>
      <c r="U23" s="24">
        <f>T23*($F$2+1)</f>
        <v>5261.3265904086074</v>
      </c>
      <c r="V23" s="24">
        <f>U23*($F$2+1)</f>
        <v>5287.6332233606499</v>
      </c>
      <c r="W23" s="24">
        <f>V23*($F$2+1)</f>
        <v>5314.0713894774526</v>
      </c>
      <c r="X23" s="24">
        <f>W23*($F$2+1)</f>
        <v>5340.6417464248389</v>
      </c>
      <c r="Y23" s="24">
        <f>X23*($F$2+1)</f>
        <v>5367.3449551569629</v>
      </c>
      <c r="Z23" s="24">
        <f>Y23*($F$2+1)</f>
        <v>5394.1816799327471</v>
      </c>
      <c r="AA23" s="24">
        <f>Z23*($F$2+1)</f>
        <v>5421.1525883324102</v>
      </c>
      <c r="AB23" s="24">
        <f>AA23*($F$2+1)</f>
        <v>5448.2583512740721</v>
      </c>
      <c r="AC23" s="24">
        <f>AB23*($F$2+1)</f>
        <v>5475.4996430304418</v>
      </c>
      <c r="AD23" s="24">
        <f>AC23*($F$2+1)</f>
        <v>5502.8771412455935</v>
      </c>
      <c r="AE23" s="24">
        <f>AD23*($F$2+1)</f>
        <v>5530.3915269518211</v>
      </c>
      <c r="AF23" s="24">
        <f>AE23*($F$2+1)</f>
        <v>5558.0434845865793</v>
      </c>
      <c r="AG23" s="24">
        <f>AF23*($F$2+1)</f>
        <v>5585.8337020095114</v>
      </c>
      <c r="AH23" s="24">
        <f>AG23*($F$2+1)</f>
        <v>5613.7628705195584</v>
      </c>
      <c r="AI23" s="24">
        <f>AH23*($F$2+1)</f>
        <v>5641.8316848721552</v>
      </c>
      <c r="AJ23" s="24">
        <f>AI23*($F$2+1)</f>
        <v>5670.040843296515</v>
      </c>
      <c r="AK23" s="24">
        <f>AJ23*($F$2+1)</f>
        <v>5698.3910475129969</v>
      </c>
      <c r="AL23" s="24">
        <f>AK23*($F$2+1)</f>
        <v>5726.883002750561</v>
      </c>
      <c r="AM23" s="24">
        <f>AL23*($F$2+1)</f>
        <v>5755.517417764313</v>
      </c>
      <c r="AN23" s="24">
        <f>AM23*($F$2+1)</f>
        <v>5784.2950048531338</v>
      </c>
      <c r="AO23" s="24">
        <f>AN23*($F$2+1)</f>
        <v>5813.2164798773993</v>
      </c>
      <c r="AP23" s="24">
        <f>AO23*($F$2+1)</f>
        <v>5842.2825622767859</v>
      </c>
      <c r="AQ23" s="24">
        <f>AP23*($F$2+1)</f>
        <v>5871.4939750881695</v>
      </c>
      <c r="AR23" s="24">
        <f>AQ23*($F$2+1)</f>
        <v>5900.8514449636095</v>
      </c>
      <c r="AS23" s="24">
        <f>AR23*($F$2+1)</f>
        <v>5930.3557021884271</v>
      </c>
      <c r="AT23" s="24">
        <f>AS23*($F$2+1)</f>
        <v>5960.0074806993689</v>
      </c>
      <c r="AU23" s="24">
        <f>AT23*($F$2+1)</f>
        <v>5989.8075181028653</v>
      </c>
      <c r="AV23" s="24">
        <f>AU23*($F$2+1)</f>
        <v>6019.7565556933787</v>
      </c>
      <c r="AW23" s="24">
        <f>AV23*($F$2+1)</f>
        <v>6049.8553384718452</v>
      </c>
      <c r="AX23" s="24">
        <f>AW23*($F$2+1)</f>
        <v>6080.104615164204</v>
      </c>
      <c r="AY23" s="24">
        <f>AX23*($F$2+1)</f>
        <v>6110.5051382400243</v>
      </c>
      <c r="AZ23" s="24">
        <f>AY23*($F$2+1)</f>
        <v>6141.0576639312239</v>
      </c>
      <c r="BA23" s="24">
        <f>AZ23*($F$2+1)</f>
        <v>6171.7629522508796</v>
      </c>
      <c r="BB23" s="24">
        <f>BA23*($F$2+1)</f>
        <v>6202.6217670121332</v>
      </c>
      <c r="BC23" s="24">
        <f>BB23*($F$2+1)</f>
        <v>6233.6348758471931</v>
      </c>
      <c r="BD23" s="24">
        <f>BC23*($F$2+1)</f>
        <v>6264.8030502264282</v>
      </c>
      <c r="BE23" s="24">
        <f>BD23*($F$2+1)</f>
        <v>6296.1270654775599</v>
      </c>
      <c r="BF23" s="24">
        <f>BE23*($F$2+1)</f>
        <v>6327.6077008049469</v>
      </c>
      <c r="BG23" s="24">
        <f>BF23*($F$2+1)</f>
        <v>6359.2457393089708</v>
      </c>
      <c r="BH23" s="24">
        <f>BG23*($F$2+1)</f>
        <v>6391.0419680055147</v>
      </c>
      <c r="BI23" s="24">
        <f>BH23*($F$2+1)</f>
        <v>6422.997177845542</v>
      </c>
      <c r="BJ23" s="24">
        <f>BI23*($F$2+1)</f>
        <v>6455.1121637347687</v>
      </c>
      <c r="BK23" s="24">
        <f>BJ23*($F$2+1)</f>
        <v>6487.3877245534422</v>
      </c>
      <c r="BL23" s="24">
        <f>BK23*($F$2+1)</f>
        <v>6519.8246631762086</v>
      </c>
      <c r="BM23" s="24">
        <f>BL23*($F$2+1)</f>
        <v>6552.4237864920888</v>
      </c>
      <c r="BN23" s="24">
        <f>BM23*($F$2+1)</f>
        <v>6585.1859054245488</v>
      </c>
      <c r="BO23" s="24">
        <f>BN23*($F$2+1)</f>
        <v>6618.111834951671</v>
      </c>
      <c r="BP23" s="24">
        <f>BO23*($F$2+1)</f>
        <v>6651.2023941264288</v>
      </c>
      <c r="BQ23" s="24">
        <f>BP23*($F$2+1)</f>
        <v>6684.4584060970601</v>
      </c>
      <c r="BR23" s="24">
        <f>BQ23*($F$2+1)</f>
        <v>6717.8806981275447</v>
      </c>
      <c r="BS23" s="24">
        <f>BR23*($F$2+1)</f>
        <v>6751.4701016181816</v>
      </c>
      <c r="BT23" s="24">
        <f>BS23*($F$2+1)</f>
        <v>6785.2274521262716</v>
      </c>
      <c r="BU23" s="24">
        <f>BT23*($F$2+1)</f>
        <v>6819.1535893869022</v>
      </c>
      <c r="BV23" s="24">
        <f>BU23*($F$2+1)</f>
        <v>6853.2493573338361</v>
      </c>
      <c r="BW23" s="24">
        <f>BV23*($F$2+1)</f>
        <v>6887.5156041205046</v>
      </c>
      <c r="BX23" s="24">
        <f>BW23*($F$2+1)</f>
        <v>6921.9531821411065</v>
      </c>
      <c r="BY23" s="24">
        <f>BX23*($F$2+1)</f>
        <v>6956.562948051811</v>
      </c>
      <c r="BZ23" s="24">
        <f>BY23*($F$2+1)</f>
        <v>6991.3457627920689</v>
      </c>
      <c r="CA23" s="24">
        <f>BZ23*($F$2+1)</f>
        <v>7026.3024916060285</v>
      </c>
      <c r="CB23" s="24">
        <f>CA23*($F$2+1)</f>
        <v>7061.4340040640582</v>
      </c>
      <c r="CC23" s="24">
        <f>CB23*($F$2+1)</f>
        <v>7096.7411740843781</v>
      </c>
      <c r="CD23" s="24">
        <f>CC23*($F$2+1)</f>
        <v>7132.2248799547997</v>
      </c>
      <c r="CE23" s="24">
        <f>CD23*($F$2+1)</f>
        <v>7167.8860043545728</v>
      </c>
      <c r="CF23" s="24">
        <f>CE23*($F$2+1)</f>
        <v>7203.7254343763452</v>
      </c>
      <c r="CG23" s="24">
        <f>CF23*($F$2+1)</f>
        <v>7239.7440615482265</v>
      </c>
      <c r="CH23" s="24">
        <f>CG23*($F$2+1)</f>
        <v>7275.942781855967</v>
      </c>
      <c r="CI23" s="24">
        <f>CH23*($F$2+1)</f>
        <v>7312.3224957652465</v>
      </c>
      <c r="CJ23" s="24">
        <f>CI23*($F$2+1)</f>
        <v>7348.8841082440722</v>
      </c>
      <c r="CK23" s="24">
        <f>CJ23*($F$2+1)</f>
        <v>7385.6285287852916</v>
      </c>
      <c r="CL23" s="24">
        <f>CK23*($F$2+1)</f>
        <v>7422.5566714292172</v>
      </c>
      <c r="CM23" s="24">
        <f>CL23*($F$2+1)</f>
        <v>7459.6694547863626</v>
      </c>
      <c r="CN23" s="24">
        <f>CM23*($F$2+1)</f>
        <v>7496.9678020602933</v>
      </c>
      <c r="CO23" s="24">
        <f>CN23*($F$2+1)</f>
        <v>7534.4526410705939</v>
      </c>
      <c r="CP23" s="24">
        <f>CO23*($F$2+1)</f>
        <v>7572.1249042759464</v>
      </c>
      <c r="CQ23" s="24">
        <f>CP23*($F$2+1)</f>
        <v>7609.9855287973251</v>
      </c>
      <c r="CR23" s="24">
        <f>CQ23*($F$2+1)</f>
        <v>7648.035456441311</v>
      </c>
      <c r="CS23" s="24">
        <f>CR23*($F$2+1)</f>
        <v>7686.2756337235169</v>
      </c>
      <c r="CT23" s="24">
        <f>CS23*($F$2+1)</f>
        <v>7724.7070118921338</v>
      </c>
      <c r="CU23" s="24">
        <f>CT23*($F$2+1)</f>
        <v>7763.3305469515935</v>
      </c>
      <c r="CV23" s="24">
        <f>CU23*($F$2+1)</f>
        <v>7802.1471996863511</v>
      </c>
      <c r="CW23" s="24">
        <f>CV23*($F$2+1)</f>
        <v>7841.1579356847824</v>
      </c>
      <c r="CX23" s="24">
        <f>CW23*($F$2+1)</f>
        <v>7880.363725363205</v>
      </c>
      <c r="CY23" s="24">
        <f>CX23*($F$2+1)</f>
        <v>7919.76554399002</v>
      </c>
      <c r="CZ23" s="24">
        <f>CY23*($F$2+1)</f>
        <v>7959.3643717099694</v>
      </c>
      <c r="DA23" s="24">
        <f>CZ23*($F$2+1)</f>
        <v>7999.1611935685187</v>
      </c>
      <c r="DB23" s="24">
        <f>DA23*($F$2+1)</f>
        <v>8039.1569995363607</v>
      </c>
      <c r="DC23" s="24">
        <f>DB23*($F$2+1)</f>
        <v>8079.3527845340413</v>
      </c>
      <c r="DD23" s="24">
        <f>DC23*($F$2+1)</f>
        <v>8119.7495484567107</v>
      </c>
      <c r="DE23" s="24">
        <f>DD23*($F$2+1)</f>
        <v>8160.348296198993</v>
      </c>
      <c r="DF23" s="24">
        <f>DE23*($F$2+1)</f>
        <v>8201.1500376799868</v>
      </c>
      <c r="DG23" s="24">
        <f>DF23*($F$2+1)</f>
        <v>8242.1557878683852</v>
      </c>
      <c r="DH23" s="24">
        <f>DG23*($F$2+1)</f>
        <v>8283.3665668077265</v>
      </c>
      <c r="DI23" s="24">
        <f>DH23*($F$2+1)</f>
        <v>8324.7833996417648</v>
      </c>
      <c r="DJ23" s="24">
        <f>DI23*($F$2+1)</f>
        <v>8366.4073166399721</v>
      </c>
      <c r="DK23" s="24">
        <f>DJ23*($F$2+1)</f>
        <v>8408.2393532231708</v>
      </c>
      <c r="DL23" s="24">
        <f>DK23*($F$2+1)</f>
        <v>8450.2805499892856</v>
      </c>
      <c r="DM23" s="24">
        <f>DL23*($F$2+1)</f>
        <v>8492.5319527392312</v>
      </c>
      <c r="DN23" s="24">
        <f>DM23*($F$2+1)</f>
        <v>8534.9946125029273</v>
      </c>
      <c r="DO23" s="24">
        <f>DN23*($F$2+1)</f>
        <v>8577.6695855654416</v>
      </c>
      <c r="DP23" s="24">
        <f>DO23*($F$2+1)</f>
        <v>8620.5579334932681</v>
      </c>
      <c r="DQ23" s="24">
        <f>DP23*($F$2+1)</f>
        <v>8663.6607231607341</v>
      </c>
      <c r="DR23" s="24">
        <f>DQ23*($F$2+1)</f>
        <v>8706.9790267765366</v>
      </c>
      <c r="DS23" s="24">
        <f>DR23*($F$2+1)</f>
        <v>8750.5139219104185</v>
      </c>
      <c r="DT23" s="24">
        <f>DS23*($F$2+1)</f>
        <v>8794.2664915199693</v>
      </c>
      <c r="DU23" s="24">
        <f>DT23*($F$2+1)</f>
        <v>8838.237823977568</v>
      </c>
      <c r="DV23" s="24">
        <f>DU23*($F$2+1)</f>
        <v>8882.429013097455</v>
      </c>
      <c r="DW23" s="24">
        <f>DV23*($F$2+1)</f>
        <v>8926.8411581629407</v>
      </c>
      <c r="DX23" s="24">
        <f>DW23*($F$2+1)</f>
        <v>8971.4753639537539</v>
      </c>
      <c r="DY23" s="24">
        <f>DX23*($F$2+1)</f>
        <v>9016.3327407735214</v>
      </c>
      <c r="DZ23" s="24">
        <f>DY23*($F$2+1)</f>
        <v>9061.4144044773875</v>
      </c>
      <c r="EA23" s="24">
        <f>DZ23*($F$2+1)</f>
        <v>9106.7214764997734</v>
      </c>
      <c r="EB23" s="24">
        <f>EA23*($F$2+1)</f>
        <v>9152.2550838822717</v>
      </c>
      <c r="EC23" s="24">
        <f>EB23*($F$2+1)</f>
        <v>9198.0163593016823</v>
      </c>
      <c r="ED23" s="24">
        <f>EC23*($F$2+1)</f>
        <v>9244.0064410981904</v>
      </c>
      <c r="EE23" s="24">
        <f>ED23*($F$2+1)</f>
        <v>9290.2264733036809</v>
      </c>
      <c r="EF23" s="24">
        <f>EE23*($F$2+1)</f>
        <v>9336.6776056701983</v>
      </c>
      <c r="EG23" s="24">
        <f>EF23*($F$2+1)</f>
        <v>9383.3609936985486</v>
      </c>
      <c r="EH23" s="24">
        <f>EG23*($F$2+1)</f>
        <v>9430.2777986670408</v>
      </c>
      <c r="EI23" s="24">
        <f>EH23*($F$2+1)</f>
        <v>9477.4291876603747</v>
      </c>
      <c r="EJ23" s="24">
        <f>EI23*($F$2+1)</f>
        <v>9524.8163335986756</v>
      </c>
      <c r="EK23" s="24">
        <f>EJ23*($F$2+1)</f>
        <v>9572.4404152666684</v>
      </c>
      <c r="EL23" s="24">
        <f>EK23*($F$2+1)</f>
        <v>9620.3026173430007</v>
      </c>
      <c r="EM23" s="24">
        <f>EL23*($F$2+1)</f>
        <v>9668.4041304297152</v>
      </c>
      <c r="EN23" s="24">
        <f>EM23*($F$2+1)</f>
        <v>9716.746151081863</v>
      </c>
      <c r="EO23" s="24">
        <f>EN23*($F$2+1)</f>
        <v>9765.3298818372714</v>
      </c>
      <c r="EP23" s="24">
        <f>EO23*($F$2+1)</f>
        <v>9814.1565312464572</v>
      </c>
      <c r="EQ23" s="24">
        <f>EP23*($F$2+1)</f>
        <v>9863.2273139026893</v>
      </c>
      <c r="ER23" s="24">
        <f>EQ23*($F$2+1)</f>
        <v>9912.5434504722016</v>
      </c>
      <c r="ES23" s="24">
        <f>ER23*($F$2+1)</f>
        <v>9962.1061677245616</v>
      </c>
      <c r="ET23" s="24">
        <f>ES23*($F$2+1)</f>
        <v>10011.916698563184</v>
      </c>
      <c r="EU23" s="24">
        <f>ET23*($F$2+1)</f>
        <v>10061.976282055999</v>
      </c>
      <c r="EV23" s="24">
        <f>EU23*($F$2+1)</f>
        <v>10112.286163466279</v>
      </c>
      <c r="EW23" s="24">
        <f>EV23*($F$2+1)</f>
        <v>10162.847594283608</v>
      </c>
      <c r="EX23" s="24">
        <f>EW23*($F$2+1)</f>
        <v>10213.661832255026</v>
      </c>
      <c r="EY23" s="24">
        <f>EX23*($F$2+1)</f>
        <v>10264.730141416299</v>
      </c>
      <c r="EZ23" s="24">
        <f>EY23*($F$2+1)</f>
        <v>10316.053792123379</v>
      </c>
      <c r="FA23" s="24">
        <f>EZ23*($F$2+1)</f>
        <v>10367.634061083994</v>
      </c>
      <c r="FB23" s="24">
        <f>FA23*($F$2+1)</f>
        <v>10419.472231389413</v>
      </c>
      <c r="FC23" s="24">
        <f>FB23*($F$2+1)</f>
        <v>10471.569592546359</v>
      </c>
      <c r="FD23" s="24">
        <f>FC23*($F$2+1)</f>
        <v>10523.927440509089</v>
      </c>
      <c r="FE23" s="24">
        <f>FD23*($F$2+1)</f>
        <v>10576.547077711633</v>
      </c>
      <c r="FF23" s="24">
        <f>FE23*($F$2+1)</f>
        <v>10629.429813100191</v>
      </c>
      <c r="FG23" s="24">
        <f>FF23*($F$2+1)</f>
        <v>10682.576962165691</v>
      </c>
      <c r="FH23" s="24">
        <f>FG23*($F$2+1)</f>
        <v>10735.989846976518</v>
      </c>
      <c r="FI23" s="24">
        <f>FH23*($F$2+1)</f>
        <v>10789.669796211399</v>
      </c>
      <c r="FJ23" s="24">
        <f>FI23*($F$2+1)</f>
        <v>10843.618145192455</v>
      </c>
      <c r="FK23" s="24">
        <f>FJ23*($F$2+1)</f>
        <v>10897.836235918416</v>
      </c>
      <c r="FL23" s="24">
        <f>FK23*($F$2+1)</f>
        <v>10952.325417098007</v>
      </c>
      <c r="FM23" s="24">
        <f>FL23*($F$2+1)</f>
        <v>11007.087044183496</v>
      </c>
      <c r="FN23" s="24">
        <f>FM23*($F$2+1)</f>
        <v>11062.122479404412</v>
      </c>
      <c r="FO23" s="24">
        <f>FN23*($F$2+1)</f>
        <v>11117.433091801433</v>
      </c>
      <c r="FP23" s="24">
        <f>FO23*($F$2+1)</f>
        <v>11173.020257260439</v>
      </c>
      <c r="FQ23" s="24">
        <f>FP23*($F$2+1)</f>
        <v>11228.88535854674</v>
      </c>
      <c r="FR23" s="24">
        <f>FQ23*($F$2+1)</f>
        <v>11285.029785339473</v>
      </c>
      <c r="FS23" s="24">
        <f>FR23*($F$2+1)</f>
        <v>11341.454934266168</v>
      </c>
      <c r="FT23" s="24">
        <f>FS23*($F$2+1)</f>
        <v>11398.162208937498</v>
      </c>
      <c r="FU23" s="24">
        <f>FT23*($F$2+1)</f>
        <v>11455.153019982185</v>
      </c>
      <c r="FV23" s="24">
        <f>FU23*($F$2+1)</f>
        <v>11512.428785082095</v>
      </c>
      <c r="FW23" s="24">
        <f>FV23*($F$2+1)</f>
        <v>11569.990929007505</v>
      </c>
      <c r="FX23" s="24">
        <f>FW23*($F$2+1)</f>
        <v>11627.840883652541</v>
      </c>
      <c r="FY23" s="24">
        <f>FX23*($F$2+1)</f>
        <v>11685.980088070803</v>
      </c>
      <c r="FZ23" s="24">
        <f>FY23*($F$2+1)</f>
        <v>11744.409988511155</v>
      </c>
      <c r="GA23" s="24">
        <f>FZ23*($F$2+1)</f>
        <v>11803.13203845371</v>
      </c>
      <c r="GB23" s="24">
        <f>GA23*($F$2+1)</f>
        <v>11862.147698645978</v>
      </c>
      <c r="GC23" s="24">
        <f>GB23*($F$2+1)</f>
        <v>11921.458437139207</v>
      </c>
      <c r="GD23" s="24">
        <f>GC23*($F$2+1)</f>
        <v>11981.065729324901</v>
      </c>
      <c r="GE23" s="24">
        <f>GD23*($F$2+1)</f>
        <v>12040.971057971523</v>
      </c>
      <c r="GF23" s="24">
        <f>GE23*($F$2+1)</f>
        <v>12101.175913261379</v>
      </c>
      <c r="GG23" s="24">
        <f>GF23*($F$2+1)</f>
        <v>12161.681792827685</v>
      </c>
      <c r="GH23" s="24">
        <f>GG23*($F$2+1)</f>
        <v>12222.490201791823</v>
      </c>
      <c r="GI23" s="24">
        <f>GH23*($F$2+1)</f>
        <v>12283.602652800781</v>
      </c>
      <c r="GJ23" s="24">
        <f>GI23*($F$2+1)</f>
        <v>12345.020666064784</v>
      </c>
      <c r="GK23" s="24">
        <f>GJ23*($F$2+1)</f>
        <v>12406.745769395106</v>
      </c>
      <c r="GL23" s="24">
        <f>GK23*($F$2+1)</f>
        <v>12468.77949824208</v>
      </c>
      <c r="GM23" s="24">
        <f>GL23*($F$2+1)</f>
        <v>12531.12339573329</v>
      </c>
      <c r="GN23" s="24">
        <f>GM23*($F$2+1)</f>
        <v>12593.779012711955</v>
      </c>
      <c r="GO23" s="24">
        <f>GN23*($F$2+1)</f>
        <v>12656.747907775514</v>
      </c>
    </row>
    <row r="24" spans="1:197" x14ac:dyDescent="0.15">
      <c r="A24" s="3" t="s">
        <v>12</v>
      </c>
      <c r="B24" s="28">
        <f t="shared" ref="B24:D24" si="35">B23/B25</f>
        <v>-1.0661335572421149</v>
      </c>
      <c r="C24" s="28">
        <f t="shared" si="35"/>
        <v>-1.0049560578492847</v>
      </c>
      <c r="D24" s="48">
        <f t="shared" si="35"/>
        <v>-0.78635664925397808</v>
      </c>
      <c r="E24" s="48">
        <f t="shared" ref="E24" si="36">E23/E25</f>
        <v>-0.48994798517245447</v>
      </c>
      <c r="F24" s="48">
        <f t="shared" ref="F24:M24" si="37">F23/F25</f>
        <v>-9.2930672178618539E-3</v>
      </c>
      <c r="G24" s="48">
        <f t="shared" si="37"/>
        <v>0.66190992933488801</v>
      </c>
      <c r="H24" s="48">
        <f t="shared" si="37"/>
        <v>1.6696745990279191</v>
      </c>
      <c r="I24" s="48">
        <f t="shared" si="37"/>
        <v>2.1163126620478212</v>
      </c>
      <c r="J24" s="48">
        <f t="shared" si="37"/>
        <v>2.6103234748038888</v>
      </c>
      <c r="K24" s="48">
        <f t="shared" si="37"/>
        <v>3.156674106310208</v>
      </c>
      <c r="L24" s="48">
        <f t="shared" si="37"/>
        <v>3.760835574639338</v>
      </c>
      <c r="M24" s="48">
        <f t="shared" si="37"/>
        <v>4.4288336463959794</v>
      </c>
      <c r="N24" s="48">
        <f t="shared" ref="N24:R24" si="38">N23/N25</f>
        <v>5.1673047347523502</v>
      </c>
      <c r="O24" s="48">
        <f t="shared" si="38"/>
        <v>5.9835574068507089</v>
      </c>
      <c r="P24" s="48">
        <f t="shared" si="38"/>
        <v>6.8856400625057557</v>
      </c>
      <c r="Q24" s="48">
        <f t="shared" si="38"/>
        <v>7.8824154023822448</v>
      </c>
      <c r="R24" s="48">
        <f t="shared" si="38"/>
        <v>8.9836423656921767</v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</row>
    <row r="25" spans="1:197" s="16" customFormat="1" x14ac:dyDescent="0.15">
      <c r="A25" s="16" t="s">
        <v>13</v>
      </c>
      <c r="B25" s="23">
        <v>544.01439300000004</v>
      </c>
      <c r="C25" s="23">
        <v>576.95856000000003</v>
      </c>
      <c r="D25" s="23">
        <f t="shared" ref="D25" si="39">C25</f>
        <v>576.95856000000003</v>
      </c>
      <c r="E25" s="23">
        <f t="shared" ref="E25" si="40">D25</f>
        <v>576.95856000000003</v>
      </c>
      <c r="F25" s="23">
        <f t="shared" ref="F25" si="41">E25</f>
        <v>576.95856000000003</v>
      </c>
      <c r="G25" s="23">
        <f t="shared" ref="G25" si="42">F25</f>
        <v>576.95856000000003</v>
      </c>
      <c r="H25" s="23">
        <f t="shared" ref="H25" si="43">G25</f>
        <v>576.95856000000003</v>
      </c>
      <c r="I25" s="23">
        <f t="shared" ref="I25" si="44">H25</f>
        <v>576.95856000000003</v>
      </c>
      <c r="J25" s="23">
        <f t="shared" ref="J25" si="45">I25</f>
        <v>576.95856000000003</v>
      </c>
      <c r="K25" s="23">
        <f t="shared" ref="K25" si="46">J25</f>
        <v>576.95856000000003</v>
      </c>
      <c r="L25" s="23">
        <f t="shared" ref="L25" si="47">K25</f>
        <v>576.95856000000003</v>
      </c>
      <c r="M25" s="23">
        <f t="shared" ref="M25:R25" si="48">L25</f>
        <v>576.95856000000003</v>
      </c>
      <c r="N25" s="23">
        <f t="shared" si="48"/>
        <v>576.95856000000003</v>
      </c>
      <c r="O25" s="23">
        <f t="shared" si="48"/>
        <v>576.95856000000003</v>
      </c>
      <c r="P25" s="23">
        <f t="shared" si="48"/>
        <v>576.95856000000003</v>
      </c>
      <c r="Q25" s="23">
        <f t="shared" si="48"/>
        <v>576.95856000000003</v>
      </c>
      <c r="R25" s="23">
        <f t="shared" si="48"/>
        <v>576.95856000000003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</row>
    <row r="26" spans="1:197" x14ac:dyDescent="0.1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</row>
    <row r="27" spans="1:197" x14ac:dyDescent="0.15">
      <c r="A27" s="3" t="s">
        <v>15</v>
      </c>
      <c r="B27" s="33">
        <f>IFERROR(B14/B12,0)</f>
        <v>0.72220608019025578</v>
      </c>
      <c r="C27" s="33">
        <f t="shared" ref="C27:M27" si="49">IFERROR(C14/C12,0)</f>
        <v>0.67359589525355024</v>
      </c>
      <c r="D27" s="33">
        <f t="shared" si="49"/>
        <v>0.67359589525355024</v>
      </c>
      <c r="E27" s="33">
        <f>IFERROR(E14/E12,0)</f>
        <v>0.67359589525355024</v>
      </c>
      <c r="F27" s="33">
        <f t="shared" si="49"/>
        <v>0.67359589525355024</v>
      </c>
      <c r="G27" s="33">
        <f t="shared" si="49"/>
        <v>0.67359589525355024</v>
      </c>
      <c r="H27" s="33">
        <f t="shared" si="49"/>
        <v>0.67359589525355024</v>
      </c>
      <c r="I27" s="33">
        <f t="shared" si="49"/>
        <v>0.67359589525355024</v>
      </c>
      <c r="J27" s="33">
        <f t="shared" si="49"/>
        <v>0.67359589525355024</v>
      </c>
      <c r="K27" s="33">
        <f t="shared" si="49"/>
        <v>0.67359589525355024</v>
      </c>
      <c r="L27" s="33">
        <f t="shared" si="49"/>
        <v>0.67359589525355024</v>
      </c>
      <c r="M27" s="33">
        <f t="shared" si="49"/>
        <v>0.67359589525355024</v>
      </c>
      <c r="N27" s="33">
        <f t="shared" ref="N27:R27" si="50">IFERROR(N14/N12,0)</f>
        <v>0.67359589525355024</v>
      </c>
      <c r="O27" s="33">
        <f t="shared" si="50"/>
        <v>0.67359589525355024</v>
      </c>
      <c r="P27" s="33">
        <f t="shared" si="50"/>
        <v>0.67359589525355024</v>
      </c>
      <c r="Q27" s="33">
        <f t="shared" si="50"/>
        <v>0.67359589525355024</v>
      </c>
      <c r="R27" s="33">
        <f t="shared" si="50"/>
        <v>0.67359589525355024</v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</row>
    <row r="28" spans="1:197" x14ac:dyDescent="0.15">
      <c r="A28" s="3" t="s">
        <v>16</v>
      </c>
      <c r="B28" s="35">
        <f>IFERROR(B19/B12,0)</f>
        <v>-1.0463261388390166</v>
      </c>
      <c r="C28" s="35">
        <f t="shared" ref="C28:M28" si="51">IFERROR(C19/C12,0)</f>
        <v>-0.77680171839123036</v>
      </c>
      <c r="D28" s="35">
        <f>IFERROR(D19/D12,0)</f>
        <v>-0.45056325794048963</v>
      </c>
      <c r="E28" s="35">
        <f t="shared" si="51"/>
        <v>-0.19809278196805102</v>
      </c>
      <c r="F28" s="35">
        <f t="shared" si="51"/>
        <v>-2.6179294902779456E-3</v>
      </c>
      <c r="G28" s="35">
        <f t="shared" si="51"/>
        <v>0.14879834918825754</v>
      </c>
      <c r="H28" s="35">
        <f t="shared" si="51"/>
        <v>0.26613995337732094</v>
      </c>
      <c r="I28" s="35">
        <f t="shared" si="51"/>
        <v>0.30273694917231092</v>
      </c>
      <c r="J28" s="35">
        <f t="shared" si="51"/>
        <v>0.33569848830415561</v>
      </c>
      <c r="K28" s="35">
        <f t="shared" si="51"/>
        <v>0.36540494136891982</v>
      </c>
      <c r="L28" s="35">
        <f t="shared" si="51"/>
        <v>0.39219592147383719</v>
      </c>
      <c r="M28" s="35">
        <f t="shared" si="51"/>
        <v>0.41637469698676149</v>
      </c>
      <c r="N28" s="35">
        <f t="shared" ref="N28:R28" si="52">IFERROR(N19/N12,0)</f>
        <v>0.43821212441849677</v>
      </c>
      <c r="O28" s="35">
        <f t="shared" si="52"/>
        <v>0.45795015371789016</v>
      </c>
      <c r="P28" s="35">
        <f t="shared" si="52"/>
        <v>0.47580495255945188</v>
      </c>
      <c r="Q28" s="35">
        <f t="shared" si="52"/>
        <v>0.49196969112485001</v>
      </c>
      <c r="R28" s="35">
        <f t="shared" si="52"/>
        <v>0.5066170243550705</v>
      </c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</row>
    <row r="29" spans="1:197" x14ac:dyDescent="0.15">
      <c r="A29" s="3" t="s">
        <v>17</v>
      </c>
      <c r="B29" s="35">
        <f>IFERROR(B22/B21,0)</f>
        <v>-1.5762042200240984E-2</v>
      </c>
      <c r="C29" s="35">
        <f t="shared" ref="C29:M29" si="53">IFERROR(C22/C21,0)</f>
        <v>-2.113353222335326E-2</v>
      </c>
      <c r="D29" s="35">
        <f t="shared" si="53"/>
        <v>0</v>
      </c>
      <c r="E29" s="35">
        <f t="shared" si="53"/>
        <v>0</v>
      </c>
      <c r="F29" s="35">
        <f t="shared" si="53"/>
        <v>0</v>
      </c>
      <c r="G29" s="35">
        <f t="shared" si="53"/>
        <v>0.1</v>
      </c>
      <c r="H29" s="35">
        <f t="shared" si="53"/>
        <v>0.1</v>
      </c>
      <c r="I29" s="35">
        <f t="shared" si="53"/>
        <v>0.1</v>
      </c>
      <c r="J29" s="35">
        <f t="shared" si="53"/>
        <v>0.1</v>
      </c>
      <c r="K29" s="35">
        <f t="shared" si="53"/>
        <v>0.1</v>
      </c>
      <c r="L29" s="35">
        <f t="shared" si="53"/>
        <v>0.1</v>
      </c>
      <c r="M29" s="35">
        <f t="shared" si="53"/>
        <v>0.1</v>
      </c>
      <c r="N29" s="35">
        <f t="shared" ref="N29:R29" si="54">IFERROR(N22/N21,0)</f>
        <v>0.1</v>
      </c>
      <c r="O29" s="35">
        <f t="shared" si="54"/>
        <v>0.1</v>
      </c>
      <c r="P29" s="35">
        <f t="shared" si="54"/>
        <v>0.1</v>
      </c>
      <c r="Q29" s="35">
        <f t="shared" si="54"/>
        <v>0.1</v>
      </c>
      <c r="R29" s="35">
        <f t="shared" si="54"/>
        <v>0.1</v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</row>
    <row r="30" spans="1:197" x14ac:dyDescent="0.15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</row>
    <row r="31" spans="1:197" x14ac:dyDescent="0.15">
      <c r="A31" s="2" t="s">
        <v>14</v>
      </c>
      <c r="B31" s="49"/>
      <c r="C31" s="49">
        <f>C12/B12-1</f>
        <v>0.24713432279323944</v>
      </c>
      <c r="D31" s="49">
        <f t="shared" ref="D31:R31" si="55">D12/C12-1</f>
        <v>0.39999999999999969</v>
      </c>
      <c r="E31" s="49">
        <f t="shared" si="55"/>
        <v>0.39999999999999991</v>
      </c>
      <c r="F31" s="49">
        <f t="shared" si="55"/>
        <v>0.39999999999999991</v>
      </c>
      <c r="G31" s="49">
        <f t="shared" si="55"/>
        <v>0.39999999999999991</v>
      </c>
      <c r="H31" s="49">
        <f t="shared" si="55"/>
        <v>0.39999999999999991</v>
      </c>
      <c r="I31" s="49">
        <f t="shared" si="55"/>
        <v>0.10000000000000009</v>
      </c>
      <c r="J31" s="49">
        <f t="shared" si="55"/>
        <v>0.10000000000000009</v>
      </c>
      <c r="K31" s="49">
        <f t="shared" si="55"/>
        <v>0.10000000000000009</v>
      </c>
      <c r="L31" s="49">
        <f t="shared" si="55"/>
        <v>0.10000000000000009</v>
      </c>
      <c r="M31" s="49">
        <f t="shared" si="55"/>
        <v>0.10000000000000009</v>
      </c>
      <c r="N31" s="49">
        <f t="shared" si="55"/>
        <v>0.10000000000000009</v>
      </c>
      <c r="O31" s="49">
        <f t="shared" si="55"/>
        <v>0.10000000000000009</v>
      </c>
      <c r="P31" s="49">
        <f t="shared" si="55"/>
        <v>0.10000000000000009</v>
      </c>
      <c r="Q31" s="49">
        <f t="shared" si="55"/>
        <v>0.10000000000000009</v>
      </c>
      <c r="R31" s="49">
        <f t="shared" si="55"/>
        <v>0.10000000000000009</v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</row>
    <row r="32" spans="1:197" x14ac:dyDescent="0.15">
      <c r="A32" s="3" t="s">
        <v>30</v>
      </c>
      <c r="B32" s="35"/>
      <c r="C32" s="35">
        <f t="shared" ref="C32:R32" si="56">C15/B15-1</f>
        <v>7.3684210526315796E-2</v>
      </c>
      <c r="D32" s="35">
        <f t="shared" si="56"/>
        <v>0.10000000000000009</v>
      </c>
      <c r="E32" s="35">
        <f t="shared" si="56"/>
        <v>0.10000000000000009</v>
      </c>
      <c r="F32" s="35">
        <f t="shared" si="56"/>
        <v>0.10000000000000009</v>
      </c>
      <c r="G32" s="35">
        <f t="shared" si="56"/>
        <v>0.10000000000000009</v>
      </c>
      <c r="H32" s="35">
        <f t="shared" si="56"/>
        <v>0.10000000000000009</v>
      </c>
      <c r="I32" s="35">
        <f t="shared" si="56"/>
        <v>5.0000000000000044E-2</v>
      </c>
      <c r="J32" s="35">
        <f t="shared" si="56"/>
        <v>5.0000000000000044E-2</v>
      </c>
      <c r="K32" s="35">
        <f t="shared" si="56"/>
        <v>5.0000000000000044E-2</v>
      </c>
      <c r="L32" s="35">
        <f t="shared" si="56"/>
        <v>5.0000000000000044E-2</v>
      </c>
      <c r="M32" s="35">
        <f t="shared" si="56"/>
        <v>5.0000000000000044E-2</v>
      </c>
      <c r="N32" s="35">
        <f t="shared" si="56"/>
        <v>5.0000000000000044E-2</v>
      </c>
      <c r="O32" s="35">
        <f t="shared" si="56"/>
        <v>5.0000000000000044E-2</v>
      </c>
      <c r="P32" s="35">
        <f t="shared" si="56"/>
        <v>5.0000000000000044E-2</v>
      </c>
      <c r="Q32" s="35">
        <f t="shared" si="56"/>
        <v>5.0000000000000044E-2</v>
      </c>
      <c r="R32" s="35">
        <f t="shared" si="56"/>
        <v>5.0000000000000044E-2</v>
      </c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</row>
    <row r="33" spans="1:114" x14ac:dyDescent="0.15">
      <c r="A33" s="3" t="s">
        <v>31</v>
      </c>
      <c r="B33" s="35"/>
      <c r="C33" s="35">
        <f t="shared" ref="C33:R33" si="57">C16/B16-1</f>
        <v>-2.5974025974025983E-2</v>
      </c>
      <c r="D33" s="35">
        <f t="shared" si="57"/>
        <v>0.10000000000000009</v>
      </c>
      <c r="E33" s="35">
        <f t="shared" si="57"/>
        <v>0.10000000000000009</v>
      </c>
      <c r="F33" s="35">
        <f t="shared" si="57"/>
        <v>0.10000000000000009</v>
      </c>
      <c r="G33" s="35">
        <f t="shared" si="57"/>
        <v>0.10000000000000009</v>
      </c>
      <c r="H33" s="35">
        <f t="shared" si="57"/>
        <v>0.10000000000000009</v>
      </c>
      <c r="I33" s="35">
        <f t="shared" si="57"/>
        <v>-2.0000000000000018E-2</v>
      </c>
      <c r="J33" s="35">
        <f t="shared" si="57"/>
        <v>-2.0000000000000018E-2</v>
      </c>
      <c r="K33" s="35">
        <f t="shared" si="57"/>
        <v>-2.0000000000000018E-2</v>
      </c>
      <c r="L33" s="35">
        <f t="shared" si="57"/>
        <v>-2.0000000000000018E-2</v>
      </c>
      <c r="M33" s="35">
        <f t="shared" si="57"/>
        <v>-2.0000000000000018E-2</v>
      </c>
      <c r="N33" s="35">
        <f t="shared" si="57"/>
        <v>-2.0000000000000018E-2</v>
      </c>
      <c r="O33" s="35">
        <f t="shared" si="57"/>
        <v>-2.0000000000000018E-2</v>
      </c>
      <c r="P33" s="35">
        <f t="shared" si="57"/>
        <v>-2.0000000000000129E-2</v>
      </c>
      <c r="Q33" s="35">
        <f t="shared" si="57"/>
        <v>-2.0000000000000129E-2</v>
      </c>
      <c r="R33" s="35">
        <f t="shared" si="57"/>
        <v>-1.9999999999999907E-2</v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</row>
    <row r="34" spans="1:114" x14ac:dyDescent="0.15">
      <c r="A34" s="3" t="s">
        <v>32</v>
      </c>
      <c r="B34" s="35"/>
      <c r="C34" s="35">
        <f t="shared" ref="C34:R34" si="58">C17/B17-1</f>
        <v>4.9019607843137303E-2</v>
      </c>
      <c r="D34" s="35">
        <f t="shared" si="58"/>
        <v>5.0000000000000044E-2</v>
      </c>
      <c r="E34" s="35">
        <f t="shared" si="58"/>
        <v>5.0000000000000044E-2</v>
      </c>
      <c r="F34" s="35">
        <f t="shared" si="58"/>
        <v>5.0000000000000044E-2</v>
      </c>
      <c r="G34" s="35">
        <f t="shared" si="58"/>
        <v>5.0000000000000044E-2</v>
      </c>
      <c r="H34" s="35">
        <f t="shared" si="58"/>
        <v>5.0000000000000044E-2</v>
      </c>
      <c r="I34" s="35">
        <f t="shared" si="58"/>
        <v>-2.0000000000000018E-2</v>
      </c>
      <c r="J34" s="35">
        <f t="shared" si="58"/>
        <v>-2.0000000000000018E-2</v>
      </c>
      <c r="K34" s="35">
        <f t="shared" si="58"/>
        <v>-2.0000000000000018E-2</v>
      </c>
      <c r="L34" s="35">
        <f t="shared" si="58"/>
        <v>-2.0000000000000018E-2</v>
      </c>
      <c r="M34" s="35">
        <f t="shared" si="58"/>
        <v>-2.0000000000000018E-2</v>
      </c>
      <c r="N34" s="35">
        <f t="shared" si="58"/>
        <v>-2.0000000000000018E-2</v>
      </c>
      <c r="O34" s="35">
        <f t="shared" si="58"/>
        <v>-2.0000000000000018E-2</v>
      </c>
      <c r="P34" s="35">
        <f t="shared" si="58"/>
        <v>-2.0000000000000018E-2</v>
      </c>
      <c r="Q34" s="35">
        <f t="shared" si="58"/>
        <v>-2.0000000000000129E-2</v>
      </c>
      <c r="R34" s="35">
        <f t="shared" si="58"/>
        <v>-2.0000000000000018E-2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</row>
    <row r="35" spans="1:114" x14ac:dyDescent="0.15">
      <c r="A35" s="6" t="s">
        <v>59</v>
      </c>
      <c r="B35" s="44"/>
      <c r="C35" s="44">
        <f t="shared" ref="C35:R35" si="59">C18/B18-1</f>
        <v>2.2792022792022859E-2</v>
      </c>
      <c r="D35" s="44">
        <f t="shared" si="59"/>
        <v>8.5097493036211835E-2</v>
      </c>
      <c r="E35" s="44">
        <f t="shared" si="59"/>
        <v>8.5579514824797975E-2</v>
      </c>
      <c r="F35" s="44">
        <f t="shared" si="59"/>
        <v>8.6052141527001691E-2</v>
      </c>
      <c r="G35" s="44">
        <f t="shared" si="59"/>
        <v>8.6515148917199802E-2</v>
      </c>
      <c r="H35" s="44">
        <f t="shared" si="59"/>
        <v>8.6968342179995606E-2</v>
      </c>
      <c r="I35" s="44">
        <f>I18/H18-1</f>
        <v>1.1998814175655514E-3</v>
      </c>
      <c r="J35" s="44">
        <f t="shared" si="59"/>
        <v>2.2331982869663314E-3</v>
      </c>
      <c r="K35" s="44">
        <f t="shared" si="59"/>
        <v>3.2928406694328061E-3</v>
      </c>
      <c r="L35" s="44">
        <f t="shared" si="59"/>
        <v>4.377212426419641E-3</v>
      </c>
      <c r="M35" s="44">
        <f t="shared" si="59"/>
        <v>5.4845218818777575E-3</v>
      </c>
      <c r="N35" s="44">
        <f t="shared" si="59"/>
        <v>6.6127895493504063E-3</v>
      </c>
      <c r="O35" s="44">
        <f t="shared" si="59"/>
        <v>7.7598589218483838E-3</v>
      </c>
      <c r="P35" s="44">
        <f t="shared" si="59"/>
        <v>8.9234102845934249E-3</v>
      </c>
      <c r="Q35" s="44">
        <f t="shared" si="59"/>
        <v>1.0100977427272229E-2</v>
      </c>
      <c r="R35" s="44">
        <f t="shared" si="59"/>
        <v>1.1289967047786176E-2</v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</row>
    <row r="36" spans="1:114" x14ac:dyDescent="0.15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</row>
    <row r="37" spans="1:114" x14ac:dyDescent="0.15">
      <c r="A37" s="2" t="s">
        <v>18</v>
      </c>
      <c r="B37" s="24">
        <f>B38-B39</f>
        <v>1126</v>
      </c>
      <c r="C37" s="24">
        <f>C38-C39</f>
        <v>735</v>
      </c>
      <c r="D37" s="50">
        <f>C37+D23</f>
        <v>281.30479999999972</v>
      </c>
      <c r="E37" s="50">
        <f>D37+E23</f>
        <v>-1.374884000000975</v>
      </c>
      <c r="F37" s="50">
        <f t="shared" ref="F37:R37" si="60">E37+F23</f>
        <v>-6.736598680001757</v>
      </c>
      <c r="G37" s="50">
        <f t="shared" si="60"/>
        <v>375.15800099875702</v>
      </c>
      <c r="H37" s="50">
        <f t="shared" si="60"/>
        <v>1338.4910533224827</v>
      </c>
      <c r="I37" s="50">
        <f t="shared" si="60"/>
        <v>2559.5157593273607</v>
      </c>
      <c r="J37" s="50">
        <f t="shared" si="60"/>
        <v>4065.5642324844084</v>
      </c>
      <c r="K37" s="50">
        <f t="shared" si="60"/>
        <v>5886.8343792504329</v>
      </c>
      <c r="L37" s="50">
        <f t="shared" si="60"/>
        <v>8056.6806567911181</v>
      </c>
      <c r="M37" s="50">
        <f t="shared" si="60"/>
        <v>10611.934139895291</v>
      </c>
      <c r="N37" s="50">
        <f t="shared" si="60"/>
        <v>13593.254838739189</v>
      </c>
      <c r="O37" s="50">
        <f t="shared" si="60"/>
        <v>17045.519503873107</v>
      </c>
      <c r="P37" s="50">
        <f t="shared" si="60"/>
        <v>21018.248479014739</v>
      </c>
      <c r="Q37" s="50">
        <f t="shared" si="60"/>
        <v>25566.075518895021</v>
      </c>
      <c r="R37" s="50">
        <f t="shared" si="60"/>
        <v>30749.264881759773</v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</row>
    <row r="38" spans="1:114" x14ac:dyDescent="0.15">
      <c r="A38" s="3" t="s">
        <v>19</v>
      </c>
      <c r="B38" s="51">
        <f>Reports!E32</f>
        <v>1126</v>
      </c>
      <c r="C38" s="51">
        <f>Reports!I32</f>
        <v>1131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23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</row>
    <row r="39" spans="1:114" x14ac:dyDescent="0.15">
      <c r="A39" s="3" t="s">
        <v>20</v>
      </c>
      <c r="B39" s="51">
        <f>Reports!E33</f>
        <v>0</v>
      </c>
      <c r="C39" s="51">
        <f>Reports!I33</f>
        <v>396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23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</row>
    <row r="40" spans="1:114" x14ac:dyDescent="0.15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3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</row>
    <row r="41" spans="1:114" x14ac:dyDescent="0.15">
      <c r="A41" s="3" t="s">
        <v>44</v>
      </c>
      <c r="B41" s="51">
        <f>Reports!E35</f>
        <v>23</v>
      </c>
      <c r="C41" s="51">
        <f>Reports!I35</f>
        <v>51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</row>
    <row r="42" spans="1:114" x14ac:dyDescent="0.15">
      <c r="A42" s="3" t="s">
        <v>45</v>
      </c>
      <c r="B42" s="51">
        <f>Reports!E36</f>
        <v>1431</v>
      </c>
      <c r="C42" s="51">
        <f>Reports!I36</f>
        <v>1594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</row>
    <row r="43" spans="1:114" x14ac:dyDescent="0.15">
      <c r="A43" s="3" t="s">
        <v>46</v>
      </c>
      <c r="B43" s="51">
        <f>Reports!E37</f>
        <v>923</v>
      </c>
      <c r="C43" s="51">
        <f>Reports!I37</f>
        <v>1447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</row>
    <row r="44" spans="1:114" x14ac:dyDescent="0.1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</row>
    <row r="45" spans="1:114" x14ac:dyDescent="0.15">
      <c r="A45" s="3" t="s">
        <v>47</v>
      </c>
      <c r="B45" s="55">
        <f>B42-B41-B38</f>
        <v>282</v>
      </c>
      <c r="C45" s="55">
        <f>C42-C41-C38</f>
        <v>412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</row>
    <row r="46" spans="1:114" x14ac:dyDescent="0.15">
      <c r="A46" s="3" t="s">
        <v>48</v>
      </c>
      <c r="B46" s="55">
        <f>B42-B43</f>
        <v>508</v>
      </c>
      <c r="C46" s="55">
        <f>C42-C43</f>
        <v>147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</row>
    <row r="47" spans="1:114" x14ac:dyDescent="0.1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</row>
    <row r="48" spans="1:114" x14ac:dyDescent="0.15">
      <c r="A48" s="18" t="s">
        <v>50</v>
      </c>
      <c r="B48" s="56">
        <f>B23/B46</f>
        <v>-1.1417165354330707</v>
      </c>
      <c r="C48" s="56">
        <f>C23/C46</f>
        <v>-3.9443401360544215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</row>
    <row r="49" spans="1:114" x14ac:dyDescent="0.15">
      <c r="A49" s="18" t="s">
        <v>51</v>
      </c>
      <c r="B49" s="56">
        <f>B23/B42</f>
        <v>-0.40530538085255063</v>
      </c>
      <c r="C49" s="56">
        <f>C23/C42</f>
        <v>-0.36375031367628607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</row>
    <row r="50" spans="1:114" x14ac:dyDescent="0.15">
      <c r="A50" s="18" t="s">
        <v>52</v>
      </c>
      <c r="B50" s="56">
        <f>B23/(B46-B41)</f>
        <v>-1.1958597938144329</v>
      </c>
      <c r="C50" s="56">
        <f>C23/(C46-C41)</f>
        <v>-6.0397708333333329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</row>
    <row r="51" spans="1:114" x14ac:dyDescent="0.15">
      <c r="A51" s="18" t="s">
        <v>53</v>
      </c>
      <c r="B51" s="56">
        <f>B23/B45</f>
        <v>-2.0567092198581558</v>
      </c>
      <c r="C51" s="56">
        <f>C23/C45</f>
        <v>-1.4073252427184466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</row>
    <row r="52" spans="1:114" x14ac:dyDescent="0.1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</row>
    <row r="53" spans="1:114" x14ac:dyDescent="0.15">
      <c r="A53" s="6" t="s">
        <v>58</v>
      </c>
      <c r="B53" s="56"/>
      <c r="C53" s="56">
        <f>C10/B10-1</f>
        <v>0.24713432279323944</v>
      </c>
      <c r="D53" s="56">
        <f>D10/C10-1</f>
        <v>0.39999999999999969</v>
      </c>
      <c r="E53" s="56">
        <f>E10/D10-1</f>
        <v>0.39999999999999991</v>
      </c>
      <c r="F53" s="56">
        <f>F10/E10-1</f>
        <v>0.39999999999999991</v>
      </c>
      <c r="G53" s="56">
        <f>G10/F10-1</f>
        <v>0.39999999999999991</v>
      </c>
      <c r="H53" s="56">
        <f>H10/G10-1</f>
        <v>0.39999999999999991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</row>
  </sheetData>
  <hyperlinks>
    <hyperlink ref="A1" r:id="rId1" xr:uid="{00000000-0004-0000-0000-000000000000}"/>
    <hyperlink ref="L4" r:id="rId2" xr:uid="{CBCA994A-BC74-CB48-8009-AD2DE8254A02}"/>
    <hyperlink ref="A4" r:id="rId3" xr:uid="{741A8B4D-19A2-5A48-9F00-2808126CAB69}"/>
    <hyperlink ref="A8" r:id="rId4" xr:uid="{5AAA0731-2696-3C4C-85B5-10147C1B3A1B}"/>
    <hyperlink ref="A7" r:id="rId5" xr:uid="{F2473224-43D8-9D42-9A8B-40E31A9FA9BD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="120" zoomScaleNormal="12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N32" sqref="N32"/>
    </sheetView>
  </sheetViews>
  <sheetFormatPr baseColWidth="10" defaultRowHeight="13" x14ac:dyDescent="0.15"/>
  <cols>
    <col min="1" max="1" width="20.332031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6384" width="10.83203125" style="6"/>
  </cols>
  <sheetData>
    <row r="1" spans="1:13" x14ac:dyDescent="0.15">
      <c r="A1" s="69" t="s">
        <v>33</v>
      </c>
      <c r="B1" s="22" t="s">
        <v>26</v>
      </c>
      <c r="C1" s="23" t="s">
        <v>27</v>
      </c>
      <c r="D1" s="23" t="s">
        <v>28</v>
      </c>
      <c r="E1" s="23" t="s">
        <v>29</v>
      </c>
      <c r="F1" s="22" t="s">
        <v>40</v>
      </c>
      <c r="G1" s="23" t="s">
        <v>41</v>
      </c>
      <c r="H1" s="23" t="s">
        <v>42</v>
      </c>
      <c r="I1" s="23" t="s">
        <v>43</v>
      </c>
      <c r="J1" s="22" t="s">
        <v>60</v>
      </c>
      <c r="K1" s="23" t="s">
        <v>65</v>
      </c>
      <c r="L1" s="23" t="s">
        <v>66</v>
      </c>
      <c r="M1" s="23" t="s">
        <v>61</v>
      </c>
    </row>
    <row r="2" spans="1:13" s="20" customFormat="1" x14ac:dyDescent="0.15">
      <c r="A2" s="1"/>
      <c r="B2" s="21"/>
      <c r="E2" s="59">
        <v>43465</v>
      </c>
      <c r="F2" s="21"/>
      <c r="H2" s="59">
        <v>43738</v>
      </c>
      <c r="I2" s="59">
        <v>43830</v>
      </c>
      <c r="J2" s="60"/>
      <c r="K2" s="59">
        <v>44012</v>
      </c>
      <c r="L2" s="59">
        <v>44104</v>
      </c>
    </row>
    <row r="3" spans="1:13" s="8" customFormat="1" x14ac:dyDescent="0.15">
      <c r="A3" s="8" t="s">
        <v>57</v>
      </c>
      <c r="B3" s="22"/>
      <c r="C3" s="23"/>
      <c r="D3" s="23"/>
      <c r="E3" s="23"/>
      <c r="F3" s="22"/>
      <c r="G3" s="23"/>
      <c r="H3" s="23">
        <v>190.541</v>
      </c>
      <c r="I3" s="23">
        <v>229</v>
      </c>
      <c r="J3" s="22"/>
      <c r="K3" s="23"/>
      <c r="L3" s="23">
        <v>289.36599999999999</v>
      </c>
      <c r="M3" s="23"/>
    </row>
    <row r="4" spans="1:13" s="39" customFormat="1" x14ac:dyDescent="0.15">
      <c r="F4" s="40"/>
      <c r="J4" s="40"/>
      <c r="M4" s="39">
        <v>299</v>
      </c>
    </row>
    <row r="5" spans="1:13" s="17" customFormat="1" x14ac:dyDescent="0.15">
      <c r="A5" s="17" t="s">
        <v>0</v>
      </c>
      <c r="B5" s="39"/>
      <c r="C5" s="39"/>
      <c r="D5" s="39"/>
      <c r="E5" s="24">
        <f t="shared" ref="E5:L5" si="0">SUM(E3:E3)</f>
        <v>0</v>
      </c>
      <c r="F5" s="25">
        <f t="shared" si="0"/>
        <v>0</v>
      </c>
      <c r="G5" s="24">
        <f t="shared" si="0"/>
        <v>0</v>
      </c>
      <c r="H5" s="24">
        <f t="shared" si="0"/>
        <v>190.541</v>
      </c>
      <c r="I5" s="24">
        <f t="shared" si="0"/>
        <v>229</v>
      </c>
      <c r="J5" s="25">
        <f t="shared" si="0"/>
        <v>0</v>
      </c>
      <c r="K5" s="24">
        <f t="shared" si="0"/>
        <v>0</v>
      </c>
      <c r="L5" s="24">
        <f t="shared" si="0"/>
        <v>289.36599999999999</v>
      </c>
      <c r="M5" s="50">
        <v>299</v>
      </c>
    </row>
    <row r="6" spans="1:13" s="8" customFormat="1" x14ac:dyDescent="0.15">
      <c r="A6" s="8" t="s">
        <v>1</v>
      </c>
      <c r="B6" s="39"/>
      <c r="C6" s="39"/>
      <c r="D6" s="39"/>
      <c r="E6" s="23">
        <v>359.26100000000002</v>
      </c>
      <c r="F6" s="22">
        <v>397.286</v>
      </c>
      <c r="G6" s="23">
        <v>407.488</v>
      </c>
      <c r="H6" s="51">
        <v>65.072999999999993</v>
      </c>
      <c r="I6" s="51"/>
      <c r="J6" s="22">
        <v>452</v>
      </c>
      <c r="K6" s="51">
        <v>415</v>
      </c>
      <c r="L6" s="51">
        <v>149.34</v>
      </c>
      <c r="M6" s="51"/>
    </row>
    <row r="7" spans="1:13" s="8" customFormat="1" x14ac:dyDescent="0.15">
      <c r="A7" s="8" t="s">
        <v>2</v>
      </c>
      <c r="B7" s="39"/>
      <c r="C7" s="39"/>
      <c r="D7" s="39"/>
      <c r="E7" s="26">
        <f t="shared" ref="E7:F7" si="1">E5-E6</f>
        <v>-359.26100000000002</v>
      </c>
      <c r="F7" s="27">
        <f t="shared" si="1"/>
        <v>-397.286</v>
      </c>
      <c r="G7" s="26">
        <f t="shared" ref="G7:L7" si="2">G5-G6</f>
        <v>-407.488</v>
      </c>
      <c r="H7" s="26">
        <f t="shared" si="2"/>
        <v>125.468</v>
      </c>
      <c r="I7" s="26">
        <f t="shared" si="2"/>
        <v>229</v>
      </c>
      <c r="J7" s="27">
        <f t="shared" ref="J7" si="3">J5-J6</f>
        <v>-452</v>
      </c>
      <c r="K7" s="26">
        <f t="shared" si="2"/>
        <v>-415</v>
      </c>
      <c r="L7" s="26">
        <f t="shared" si="2"/>
        <v>140.02599999999998</v>
      </c>
      <c r="M7" s="51"/>
    </row>
    <row r="8" spans="1:13" s="8" customFormat="1" x14ac:dyDescent="0.15">
      <c r="A8" s="8" t="s">
        <v>3</v>
      </c>
      <c r="B8" s="39"/>
      <c r="C8" s="39"/>
      <c r="D8" s="39"/>
      <c r="E8" s="23">
        <v>415.95800000000003</v>
      </c>
      <c r="F8" s="22">
        <v>464.637</v>
      </c>
      <c r="G8" s="23">
        <v>475.95800000000003</v>
      </c>
      <c r="H8" s="51">
        <v>76</v>
      </c>
      <c r="I8" s="51"/>
      <c r="J8" s="22">
        <v>532</v>
      </c>
      <c r="K8" s="51">
        <v>532</v>
      </c>
      <c r="L8" s="51">
        <v>314</v>
      </c>
      <c r="M8" s="51"/>
    </row>
    <row r="9" spans="1:13" s="8" customFormat="1" x14ac:dyDescent="0.15">
      <c r="A9" s="8" t="s">
        <v>4</v>
      </c>
      <c r="B9" s="39"/>
      <c r="C9" s="39"/>
      <c r="D9" s="39"/>
      <c r="E9" s="23">
        <v>723.57299999999998</v>
      </c>
      <c r="F9" s="22">
        <v>781.51800000000003</v>
      </c>
      <c r="G9" s="23">
        <v>848.92700000000002</v>
      </c>
      <c r="H9" s="51">
        <v>120</v>
      </c>
      <c r="I9" s="51"/>
      <c r="J9" s="22">
        <v>857</v>
      </c>
      <c r="K9" s="51">
        <v>901</v>
      </c>
      <c r="L9" s="51">
        <v>335</v>
      </c>
      <c r="M9" s="51"/>
    </row>
    <row r="10" spans="1:13" s="8" customFormat="1" x14ac:dyDescent="0.15">
      <c r="A10" s="8" t="s">
        <v>5</v>
      </c>
      <c r="B10" s="39"/>
      <c r="C10" s="39"/>
      <c r="D10" s="39"/>
      <c r="E10" s="23">
        <f>212.355+32.932</f>
        <v>245.28699999999998</v>
      </c>
      <c r="F10" s="22">
        <f>216.109+46.566</f>
        <v>262.67500000000001</v>
      </c>
      <c r="G10" s="23">
        <f>219.334+43.026</f>
        <v>262.36</v>
      </c>
      <c r="H10" s="51">
        <v>74</v>
      </c>
      <c r="I10" s="51"/>
      <c r="J10" s="22">
        <f>271+42</f>
        <v>313</v>
      </c>
      <c r="K10" s="51">
        <f>224+40</f>
        <v>264</v>
      </c>
      <c r="L10" s="51">
        <v>339</v>
      </c>
      <c r="M10" s="51"/>
    </row>
    <row r="11" spans="1:13" s="8" customFormat="1" x14ac:dyDescent="0.15">
      <c r="A11" s="8" t="s">
        <v>6</v>
      </c>
      <c r="B11" s="39"/>
      <c r="C11" s="39"/>
      <c r="D11" s="39"/>
      <c r="E11" s="26">
        <f t="shared" ref="E11:G11" si="4">SUM(E8:E10)</f>
        <v>1384.818</v>
      </c>
      <c r="F11" s="27">
        <f t="shared" si="4"/>
        <v>1508.83</v>
      </c>
      <c r="G11" s="26">
        <f t="shared" si="4"/>
        <v>1587.2449999999999</v>
      </c>
      <c r="H11" s="26">
        <f t="shared" ref="H11:I11" si="5">SUM(H8:H10)</f>
        <v>270</v>
      </c>
      <c r="I11" s="26">
        <f t="shared" si="5"/>
        <v>0</v>
      </c>
      <c r="J11" s="27">
        <f t="shared" ref="J11:L11" si="6">SUM(J8:J10)</f>
        <v>1702</v>
      </c>
      <c r="K11" s="26">
        <f t="shared" si="6"/>
        <v>1697</v>
      </c>
      <c r="L11" s="26">
        <f t="shared" si="6"/>
        <v>988</v>
      </c>
      <c r="M11" s="51"/>
    </row>
    <row r="12" spans="1:13" s="8" customFormat="1" x14ac:dyDescent="0.15">
      <c r="A12" s="8" t="s">
        <v>7</v>
      </c>
      <c r="B12" s="39"/>
      <c r="C12" s="39"/>
      <c r="D12" s="39"/>
      <c r="E12" s="26">
        <f t="shared" ref="E12:G12" si="7">E7-E11</f>
        <v>-1744.079</v>
      </c>
      <c r="F12" s="27">
        <f t="shared" si="7"/>
        <v>-1906.116</v>
      </c>
      <c r="G12" s="26">
        <f t="shared" si="7"/>
        <v>-1994.7329999999999</v>
      </c>
      <c r="H12" s="26">
        <f t="shared" ref="H12:I12" si="8">H7-H11</f>
        <v>-144.53199999999998</v>
      </c>
      <c r="I12" s="26">
        <f t="shared" si="8"/>
        <v>229</v>
      </c>
      <c r="J12" s="27">
        <f t="shared" ref="J12:L12" si="9">J7-J11</f>
        <v>-2154</v>
      </c>
      <c r="K12" s="26">
        <f t="shared" si="9"/>
        <v>-2112</v>
      </c>
      <c r="L12" s="26">
        <f t="shared" si="9"/>
        <v>-847.97400000000005</v>
      </c>
      <c r="M12" s="51"/>
    </row>
    <row r="13" spans="1:13" s="8" customFormat="1" x14ac:dyDescent="0.15">
      <c r="A13" s="8" t="s">
        <v>8</v>
      </c>
      <c r="B13" s="39"/>
      <c r="C13" s="39"/>
      <c r="D13" s="39"/>
      <c r="E13" s="23">
        <v>-21.329000000000001</v>
      </c>
      <c r="F13" s="22">
        <v>7.5039999999999996</v>
      </c>
      <c r="G13" s="23">
        <v>-38.774999999999999</v>
      </c>
      <c r="H13" s="51">
        <f>3+1+2</f>
        <v>6</v>
      </c>
      <c r="I13" s="51"/>
      <c r="J13" s="22">
        <v>-18</v>
      </c>
      <c r="K13" s="51">
        <f>-28+12</f>
        <v>-16</v>
      </c>
      <c r="L13" s="51">
        <f>-2-9-3</f>
        <v>-14</v>
      </c>
      <c r="M13" s="51"/>
    </row>
    <row r="14" spans="1:13" s="8" customFormat="1" x14ac:dyDescent="0.15">
      <c r="A14" s="8" t="s">
        <v>9</v>
      </c>
      <c r="B14" s="39"/>
      <c r="C14" s="39"/>
      <c r="D14" s="39"/>
      <c r="E14" s="26">
        <f t="shared" ref="E14:H14" si="10">E12+E13</f>
        <v>-1765.4079999999999</v>
      </c>
      <c r="F14" s="27">
        <f t="shared" si="10"/>
        <v>-1898.6120000000001</v>
      </c>
      <c r="G14" s="26">
        <f t="shared" si="10"/>
        <v>-2033.508</v>
      </c>
      <c r="H14" s="26">
        <f t="shared" si="10"/>
        <v>-138.53199999999998</v>
      </c>
      <c r="I14" s="26">
        <f t="shared" ref="I14" si="11">I12+I13</f>
        <v>229</v>
      </c>
      <c r="J14" s="27">
        <f t="shared" ref="J14:L14" si="12">J12+J13</f>
        <v>-2172</v>
      </c>
      <c r="K14" s="26">
        <f t="shared" si="12"/>
        <v>-2128</v>
      </c>
      <c r="L14" s="26">
        <f t="shared" si="12"/>
        <v>-861.97400000000005</v>
      </c>
      <c r="M14" s="51"/>
    </row>
    <row r="15" spans="1:13" s="8" customFormat="1" x14ac:dyDescent="0.15">
      <c r="A15" s="8" t="s">
        <v>10</v>
      </c>
      <c r="B15" s="39"/>
      <c r="C15" s="39"/>
      <c r="D15" s="39"/>
      <c r="E15" s="23">
        <v>20.977</v>
      </c>
      <c r="F15" s="22">
        <v>28.093</v>
      </c>
      <c r="G15" s="23">
        <v>78.179000000000002</v>
      </c>
      <c r="H15" s="23">
        <v>2</v>
      </c>
      <c r="I15" s="23"/>
      <c r="J15" s="22">
        <v>-36</v>
      </c>
      <c r="K15" s="23">
        <v>-100</v>
      </c>
      <c r="L15" s="23">
        <v>-9</v>
      </c>
      <c r="M15" s="23"/>
    </row>
    <row r="16" spans="1:13" s="46" customFormat="1" x14ac:dyDescent="0.15">
      <c r="A16" s="46" t="s">
        <v>56</v>
      </c>
      <c r="B16" s="39"/>
      <c r="C16" s="39"/>
      <c r="D16" s="39"/>
      <c r="E16" s="39"/>
      <c r="F16" s="40"/>
      <c r="G16" s="39"/>
      <c r="H16" s="39"/>
      <c r="I16" s="39"/>
      <c r="J16" s="40"/>
      <c r="K16" s="39"/>
      <c r="L16" s="39"/>
      <c r="M16" s="39"/>
    </row>
    <row r="17" spans="1:13" s="17" customFormat="1" x14ac:dyDescent="0.15">
      <c r="A17" s="17" t="s">
        <v>11</v>
      </c>
      <c r="B17" s="39"/>
      <c r="C17" s="39"/>
      <c r="D17" s="39"/>
      <c r="E17" s="24">
        <f t="shared" ref="E17:G17" si="13">E14-E15</f>
        <v>-1786.385</v>
      </c>
      <c r="F17" s="25">
        <f t="shared" si="13"/>
        <v>-1926.7050000000002</v>
      </c>
      <c r="G17" s="24">
        <f t="shared" si="13"/>
        <v>-2111.6869999999999</v>
      </c>
      <c r="H17" s="24">
        <f t="shared" ref="H17:I17" si="14">H14-H15</f>
        <v>-140.53199999999998</v>
      </c>
      <c r="I17" s="24">
        <f t="shared" si="14"/>
        <v>229</v>
      </c>
      <c r="J17" s="25">
        <f t="shared" ref="J17:L17" si="15">J14-J15</f>
        <v>-2136</v>
      </c>
      <c r="K17" s="24">
        <f t="shared" si="15"/>
        <v>-2028</v>
      </c>
      <c r="L17" s="24">
        <f t="shared" si="15"/>
        <v>-852.97400000000005</v>
      </c>
      <c r="M17" s="50"/>
    </row>
    <row r="18" spans="1:13" s="4" customFormat="1" x14ac:dyDescent="0.15">
      <c r="A18" s="4" t="s">
        <v>12</v>
      </c>
      <c r="B18" s="39"/>
      <c r="C18" s="39"/>
      <c r="D18" s="39"/>
      <c r="E18" s="61">
        <f t="shared" ref="E18:G18" si="16">IFERROR(E17/E19,0)</f>
        <v>-3.6074884690259053</v>
      </c>
      <c r="F18" s="62">
        <f t="shared" si="16"/>
        <v>-3.8987288238484146</v>
      </c>
      <c r="G18" s="61">
        <f t="shared" si="16"/>
        <v>-4.2901981260107434</v>
      </c>
      <c r="H18" s="61">
        <f t="shared" ref="H18:I18" si="17">IFERROR(H17/H19,0)</f>
        <v>-0.24225275994332926</v>
      </c>
      <c r="I18" s="61">
        <f t="shared" si="17"/>
        <v>0</v>
      </c>
      <c r="J18" s="62">
        <f t="shared" ref="J18:L18" si="18">IFERROR(J17/J19,0)</f>
        <v>-4.3770491803278686</v>
      </c>
      <c r="K18" s="61">
        <f t="shared" si="18"/>
        <v>-4.1814432989690724</v>
      </c>
      <c r="L18" s="61">
        <f t="shared" si="18"/>
        <v>-0.94203179214553689</v>
      </c>
      <c r="M18" s="63"/>
    </row>
    <row r="19" spans="1:13" s="8" customFormat="1" x14ac:dyDescent="0.15">
      <c r="A19" s="8" t="s">
        <v>13</v>
      </c>
      <c r="B19" s="39"/>
      <c r="C19" s="39"/>
      <c r="D19" s="39"/>
      <c r="E19" s="23">
        <v>495.18799999999999</v>
      </c>
      <c r="F19" s="22">
        <v>494.18799999999999</v>
      </c>
      <c r="G19" s="23">
        <v>492.21199999999999</v>
      </c>
      <c r="H19" s="51">
        <v>580.10484599999995</v>
      </c>
      <c r="I19" s="51"/>
      <c r="J19" s="22">
        <v>488</v>
      </c>
      <c r="K19" s="51">
        <v>485</v>
      </c>
      <c r="L19" s="51">
        <v>905.46200999999996</v>
      </c>
      <c r="M19" s="51"/>
    </row>
    <row r="20" spans="1:13" s="41" customFormat="1" x14ac:dyDescent="0.15">
      <c r="B20" s="39"/>
      <c r="C20" s="39"/>
      <c r="D20" s="39"/>
      <c r="E20" s="39"/>
      <c r="F20" s="57"/>
      <c r="J20" s="57"/>
    </row>
    <row r="21" spans="1:13" x14ac:dyDescent="0.15">
      <c r="A21" s="6" t="s">
        <v>15</v>
      </c>
      <c r="B21" s="39"/>
      <c r="C21" s="39"/>
      <c r="D21" s="39"/>
      <c r="E21" s="33">
        <f t="shared" ref="E21" si="19">IFERROR(E7/E5,0)</f>
        <v>0</v>
      </c>
      <c r="F21" s="34">
        <f t="shared" ref="F21:G21" si="20">IFERROR(F7/F5,0)</f>
        <v>0</v>
      </c>
      <c r="G21" s="33">
        <f t="shared" si="20"/>
        <v>0</v>
      </c>
      <c r="H21" s="33">
        <f t="shared" ref="H21:J21" si="21">IFERROR(H7/H5,0)</f>
        <v>0.65848295117586242</v>
      </c>
      <c r="I21" s="33">
        <f t="shared" ref="I21" si="22">IFERROR(I7/I5,0)</f>
        <v>1</v>
      </c>
      <c r="J21" s="34">
        <f t="shared" si="21"/>
        <v>0</v>
      </c>
      <c r="K21" s="33">
        <f t="shared" ref="K21:L21" si="23">IFERROR(K7/K5,0)</f>
        <v>0</v>
      </c>
      <c r="L21" s="33">
        <f t="shared" si="23"/>
        <v>0.48390619492269304</v>
      </c>
      <c r="M21" s="33"/>
    </row>
    <row r="22" spans="1:13" x14ac:dyDescent="0.15">
      <c r="A22" s="6" t="s">
        <v>16</v>
      </c>
      <c r="B22" s="39"/>
      <c r="C22" s="39"/>
      <c r="D22" s="39"/>
      <c r="E22" s="35">
        <f t="shared" ref="E22" si="24">IFERROR(E12/E5,0)</f>
        <v>0</v>
      </c>
      <c r="F22" s="36">
        <f t="shared" ref="F22:G22" si="25">IFERROR(F12/F5,0)</f>
        <v>0</v>
      </c>
      <c r="G22" s="35">
        <f t="shared" si="25"/>
        <v>0</v>
      </c>
      <c r="H22" s="35">
        <f t="shared" ref="H22:J22" si="26">IFERROR(H12/H5,0)</f>
        <v>-0.7585349084973837</v>
      </c>
      <c r="I22" s="35">
        <f t="shared" ref="I22" si="27">IFERROR(I12/I5,0)</f>
        <v>1</v>
      </c>
      <c r="J22" s="36">
        <f t="shared" si="26"/>
        <v>0</v>
      </c>
      <c r="K22" s="35">
        <f t="shared" ref="K22:L22" si="28">IFERROR(K12/K5,0)</f>
        <v>0</v>
      </c>
      <c r="L22" s="35">
        <f t="shared" si="28"/>
        <v>-2.9304548564793378</v>
      </c>
      <c r="M22" s="35"/>
    </row>
    <row r="23" spans="1:13" x14ac:dyDescent="0.15">
      <c r="A23" s="6" t="s">
        <v>17</v>
      </c>
      <c r="B23" s="39"/>
      <c r="C23" s="39"/>
      <c r="D23" s="39"/>
      <c r="E23" s="35">
        <f t="shared" ref="E23" si="29">IFERROR(E15/E14,0)</f>
        <v>-1.1882239119795537E-2</v>
      </c>
      <c r="F23" s="36">
        <f t="shared" ref="F23:G23" si="30">IFERROR(F15/F14,0)</f>
        <v>-1.4796598778476064E-2</v>
      </c>
      <c r="G23" s="35">
        <f t="shared" si="30"/>
        <v>-3.8445386002907291E-2</v>
      </c>
      <c r="H23" s="35">
        <f t="shared" ref="H23:J23" si="31">IFERROR(H15/H14,0)</f>
        <v>-1.4437097565905352E-2</v>
      </c>
      <c r="I23" s="35">
        <f t="shared" ref="I23" si="32">IFERROR(I15/I14,0)</f>
        <v>0</v>
      </c>
      <c r="J23" s="36">
        <f t="shared" si="31"/>
        <v>1.6574585635359115E-2</v>
      </c>
      <c r="K23" s="35">
        <f t="shared" ref="K23:L23" si="33">IFERROR(K15/K14,0)</f>
        <v>4.6992481203007516E-2</v>
      </c>
      <c r="L23" s="35">
        <f t="shared" si="33"/>
        <v>1.0441150197105713E-2</v>
      </c>
      <c r="M23" s="35"/>
    </row>
    <row r="24" spans="1:13" s="41" customFormat="1" x14ac:dyDescent="0.15">
      <c r="B24" s="39"/>
      <c r="C24" s="39"/>
      <c r="D24" s="39"/>
      <c r="E24" s="39"/>
      <c r="F24" s="57"/>
      <c r="J24" s="57"/>
    </row>
    <row r="25" spans="1:13" s="12" customFormat="1" x14ac:dyDescent="0.15">
      <c r="A25" s="12" t="s">
        <v>14</v>
      </c>
      <c r="B25" s="39"/>
      <c r="C25" s="39"/>
      <c r="D25" s="39"/>
      <c r="E25" s="29">
        <f>IFERROR((E5/#REF!)-1,0)</f>
        <v>0</v>
      </c>
      <c r="F25" s="30">
        <f t="shared" ref="F25:L25" si="34">IFERROR((F5/B5)-1,0)</f>
        <v>0</v>
      </c>
      <c r="G25" s="29">
        <f t="shared" si="34"/>
        <v>0</v>
      </c>
      <c r="H25" s="29">
        <f t="shared" si="34"/>
        <v>0</v>
      </c>
      <c r="I25" s="29">
        <f t="shared" si="34"/>
        <v>0</v>
      </c>
      <c r="J25" s="30">
        <f t="shared" ref="J25" si="35">IFERROR((J5/F5)-1,0)</f>
        <v>0</v>
      </c>
      <c r="K25" s="29">
        <f t="shared" si="34"/>
        <v>0</v>
      </c>
      <c r="L25" s="29">
        <f t="shared" si="34"/>
        <v>0.51865477771188351</v>
      </c>
      <c r="M25" s="29">
        <f>IFERROR((M5/I5)-1,0)</f>
        <v>0.30567685589519655</v>
      </c>
    </row>
    <row r="26" spans="1:13" s="12" customFormat="1" x14ac:dyDescent="0.15">
      <c r="A26" s="6" t="s">
        <v>30</v>
      </c>
      <c r="B26" s="39"/>
      <c r="C26" s="39"/>
      <c r="D26" s="39"/>
      <c r="E26" s="31" t="e">
        <f>E8/#REF!-1</f>
        <v>#REF!</v>
      </c>
      <c r="F26" s="32" t="e">
        <f t="shared" ref="F26:L29" si="36">F8/B8-1</f>
        <v>#DIV/0!</v>
      </c>
      <c r="G26" s="31" t="e">
        <f t="shared" si="36"/>
        <v>#DIV/0!</v>
      </c>
      <c r="H26" s="31" t="e">
        <f t="shared" si="36"/>
        <v>#DIV/0!</v>
      </c>
      <c r="I26" s="31">
        <f t="shared" si="36"/>
        <v>-1</v>
      </c>
      <c r="J26" s="32">
        <f t="shared" ref="J26:J28" si="37">J8/F8-1</f>
        <v>0.14497984448074508</v>
      </c>
      <c r="K26" s="31">
        <f t="shared" si="36"/>
        <v>0.11774568344265668</v>
      </c>
      <c r="L26" s="31">
        <f t="shared" si="36"/>
        <v>3.1315789473684212</v>
      </c>
      <c r="M26" s="31"/>
    </row>
    <row r="27" spans="1:13" s="12" customFormat="1" x14ac:dyDescent="0.15">
      <c r="A27" s="6" t="s">
        <v>31</v>
      </c>
      <c r="B27" s="39"/>
      <c r="C27" s="39"/>
      <c r="D27" s="39"/>
      <c r="E27" s="31" t="e">
        <f>E9/#REF!-1</f>
        <v>#REF!</v>
      </c>
      <c r="F27" s="32" t="e">
        <f t="shared" si="36"/>
        <v>#DIV/0!</v>
      </c>
      <c r="G27" s="31" t="e">
        <f t="shared" si="36"/>
        <v>#DIV/0!</v>
      </c>
      <c r="H27" s="31" t="e">
        <f t="shared" si="36"/>
        <v>#DIV/0!</v>
      </c>
      <c r="I27" s="31">
        <f t="shared" si="36"/>
        <v>-1</v>
      </c>
      <c r="J27" s="32">
        <f t="shared" si="37"/>
        <v>9.6583827883682805E-2</v>
      </c>
      <c r="K27" s="31">
        <f t="shared" si="36"/>
        <v>6.1339785399686875E-2</v>
      </c>
      <c r="L27" s="31">
        <f t="shared" si="36"/>
        <v>1.7916666666666665</v>
      </c>
      <c r="M27" s="31"/>
    </row>
    <row r="28" spans="1:13" s="12" customFormat="1" x14ac:dyDescent="0.15">
      <c r="A28" s="6" t="s">
        <v>32</v>
      </c>
      <c r="B28" s="39"/>
      <c r="C28" s="39"/>
      <c r="D28" s="39"/>
      <c r="E28" s="31" t="e">
        <f>E10/#REF!-1</f>
        <v>#REF!</v>
      </c>
      <c r="F28" s="32" t="e">
        <f t="shared" si="36"/>
        <v>#DIV/0!</v>
      </c>
      <c r="G28" s="31" t="e">
        <f t="shared" si="36"/>
        <v>#DIV/0!</v>
      </c>
      <c r="H28" s="31" t="e">
        <f t="shared" si="36"/>
        <v>#DIV/0!</v>
      </c>
      <c r="I28" s="31">
        <f t="shared" si="36"/>
        <v>-1</v>
      </c>
      <c r="J28" s="32">
        <f t="shared" si="37"/>
        <v>0.19158656134005891</v>
      </c>
      <c r="K28" s="31">
        <f t="shared" si="36"/>
        <v>6.2509528891598887E-3</v>
      </c>
      <c r="L28" s="31">
        <f t="shared" si="36"/>
        <v>3.5810810810810807</v>
      </c>
      <c r="M28" s="31"/>
    </row>
    <row r="29" spans="1:13" x14ac:dyDescent="0.15">
      <c r="A29" s="6" t="s">
        <v>59</v>
      </c>
      <c r="B29" s="39"/>
      <c r="C29" s="39"/>
      <c r="D29" s="39"/>
      <c r="E29" s="33" t="e">
        <f>E11/#REF!-1</f>
        <v>#REF!</v>
      </c>
      <c r="F29" s="34" t="e">
        <f>F11/B11-1</f>
        <v>#DIV/0!</v>
      </c>
      <c r="G29" s="33" t="e">
        <f t="shared" si="36"/>
        <v>#DIV/0!</v>
      </c>
      <c r="H29" s="33" t="e">
        <f t="shared" si="36"/>
        <v>#DIV/0!</v>
      </c>
      <c r="I29" s="33">
        <f t="shared" si="36"/>
        <v>-1</v>
      </c>
      <c r="J29" s="34">
        <f>J11/F11-1</f>
        <v>0.12802635154391151</v>
      </c>
      <c r="K29" s="33">
        <f t="shared" si="36"/>
        <v>6.9148115130304388E-2</v>
      </c>
      <c r="L29" s="33">
        <f t="shared" si="36"/>
        <v>2.6592592592592594</v>
      </c>
      <c r="M29" s="33"/>
    </row>
    <row r="30" spans="1:13" x14ac:dyDescent="0.15">
      <c r="B30" s="39"/>
      <c r="C30" s="39"/>
      <c r="D30" s="39"/>
      <c r="E30" s="44"/>
      <c r="G30" s="44"/>
    </row>
    <row r="31" spans="1:13" s="17" customFormat="1" x14ac:dyDescent="0.15">
      <c r="A31" s="17" t="s">
        <v>18</v>
      </c>
      <c r="B31" s="39"/>
      <c r="C31" s="39"/>
      <c r="D31" s="39"/>
      <c r="E31" s="24">
        <f t="shared" ref="E31:G31" si="38">E32-E33</f>
        <v>1126</v>
      </c>
      <c r="F31" s="25">
        <f t="shared" si="38"/>
        <v>0</v>
      </c>
      <c r="G31" s="24">
        <f t="shared" si="38"/>
        <v>0</v>
      </c>
      <c r="H31" s="24">
        <f t="shared" ref="H31" si="39">H32-H33</f>
        <v>735</v>
      </c>
      <c r="I31" s="24">
        <f t="shared" ref="I31" si="40">I32-I33</f>
        <v>735</v>
      </c>
      <c r="J31" s="25">
        <f t="shared" ref="J31:L31" si="41">J32-J33</f>
        <v>0</v>
      </c>
      <c r="K31" s="24">
        <f t="shared" si="41"/>
        <v>1237</v>
      </c>
      <c r="L31" s="24">
        <f t="shared" si="41"/>
        <v>1646</v>
      </c>
      <c r="M31" s="45"/>
    </row>
    <row r="32" spans="1:13" s="8" customFormat="1" x14ac:dyDescent="0.15">
      <c r="A32" s="8" t="s">
        <v>19</v>
      </c>
      <c r="B32" s="39"/>
      <c r="C32" s="39"/>
      <c r="D32" s="39"/>
      <c r="E32" s="23">
        <f>1116+10</f>
        <v>1126</v>
      </c>
      <c r="F32" s="22"/>
      <c r="G32" s="23"/>
      <c r="H32" s="23">
        <f>1079+52</f>
        <v>1131</v>
      </c>
      <c r="I32" s="23">
        <f>1079+52</f>
        <v>1131</v>
      </c>
      <c r="J32" s="22"/>
      <c r="K32" s="23">
        <f>1498+37</f>
        <v>1535</v>
      </c>
      <c r="L32" s="23">
        <f>1800+44</f>
        <v>1844</v>
      </c>
      <c r="M32" s="23"/>
    </row>
    <row r="33" spans="1:13" s="8" customFormat="1" x14ac:dyDescent="0.15">
      <c r="A33" s="8" t="s">
        <v>20</v>
      </c>
      <c r="B33" s="39"/>
      <c r="C33" s="39"/>
      <c r="D33" s="39"/>
      <c r="E33" s="23">
        <v>0</v>
      </c>
      <c r="F33" s="22"/>
      <c r="G33" s="23"/>
      <c r="H33" s="23">
        <v>396</v>
      </c>
      <c r="I33" s="23">
        <v>396</v>
      </c>
      <c r="J33" s="22"/>
      <c r="K33" s="23">
        <v>298</v>
      </c>
      <c r="L33" s="23">
        <v>198</v>
      </c>
      <c r="M33" s="23"/>
    </row>
    <row r="34" spans="1:13" s="8" customFormat="1" x14ac:dyDescent="0.15">
      <c r="B34" s="39"/>
      <c r="C34" s="39"/>
      <c r="D34" s="39"/>
      <c r="E34" s="23"/>
      <c r="F34" s="22"/>
      <c r="G34" s="23"/>
      <c r="H34" s="23"/>
      <c r="I34" s="23"/>
      <c r="J34" s="22"/>
      <c r="K34" s="23"/>
      <c r="L34" s="23"/>
      <c r="M34" s="23"/>
    </row>
    <row r="35" spans="1:13" s="8" customFormat="1" x14ac:dyDescent="0.15">
      <c r="A35" s="64" t="s">
        <v>44</v>
      </c>
      <c r="B35" s="39"/>
      <c r="C35" s="39"/>
      <c r="D35" s="39"/>
      <c r="E35" s="23">
        <v>23</v>
      </c>
      <c r="F35" s="22"/>
      <c r="G35" s="23"/>
      <c r="H35" s="23">
        <v>78</v>
      </c>
      <c r="I35" s="23">
        <v>51</v>
      </c>
      <c r="J35" s="22"/>
      <c r="K35" s="23">
        <v>55</v>
      </c>
      <c r="L35" s="23">
        <v>94</v>
      </c>
      <c r="M35" s="23"/>
    </row>
    <row r="36" spans="1:13" s="8" customFormat="1" x14ac:dyDescent="0.15">
      <c r="A36" s="64" t="s">
        <v>45</v>
      </c>
      <c r="B36" s="39"/>
      <c r="C36" s="39"/>
      <c r="D36" s="39"/>
      <c r="E36" s="23">
        <v>1431</v>
      </c>
      <c r="F36" s="22"/>
      <c r="G36" s="23"/>
      <c r="H36" s="23">
        <v>1594</v>
      </c>
      <c r="I36" s="23">
        <v>1594</v>
      </c>
      <c r="J36" s="22"/>
      <c r="K36" s="23">
        <v>1892</v>
      </c>
      <c r="L36" s="23">
        <v>2604</v>
      </c>
      <c r="M36" s="23"/>
    </row>
    <row r="37" spans="1:13" s="8" customFormat="1" x14ac:dyDescent="0.15">
      <c r="A37" s="64" t="s">
        <v>46</v>
      </c>
      <c r="B37" s="39"/>
      <c r="C37" s="39"/>
      <c r="D37" s="39"/>
      <c r="E37" s="23">
        <v>923</v>
      </c>
      <c r="F37" s="22"/>
      <c r="G37" s="23"/>
      <c r="H37" s="23">
        <v>1447</v>
      </c>
      <c r="I37" s="23">
        <v>1447</v>
      </c>
      <c r="J37" s="22"/>
      <c r="K37" s="23">
        <v>1163</v>
      </c>
      <c r="L37" s="23">
        <v>1352</v>
      </c>
      <c r="M37" s="23"/>
    </row>
    <row r="38" spans="1:13" s="8" customFormat="1" x14ac:dyDescent="0.15">
      <c r="B38" s="39"/>
      <c r="C38" s="39"/>
      <c r="D38" s="39"/>
      <c r="E38" s="23"/>
      <c r="F38" s="22"/>
      <c r="G38" s="23"/>
      <c r="H38" s="23"/>
      <c r="I38" s="23"/>
      <c r="J38" s="22"/>
      <c r="K38" s="23"/>
      <c r="L38" s="23"/>
      <c r="M38" s="23"/>
    </row>
    <row r="39" spans="1:13" s="8" customFormat="1" x14ac:dyDescent="0.15">
      <c r="A39" s="64" t="s">
        <v>47</v>
      </c>
      <c r="B39" s="39"/>
      <c r="C39" s="39"/>
      <c r="D39" s="39"/>
      <c r="E39" s="26">
        <f t="shared" ref="E39:J39" si="42">E36-E32-E35</f>
        <v>282</v>
      </c>
      <c r="F39" s="27">
        <f t="shared" si="42"/>
        <v>0</v>
      </c>
      <c r="G39" s="26">
        <f t="shared" si="42"/>
        <v>0</v>
      </c>
      <c r="H39" s="26">
        <f t="shared" si="42"/>
        <v>385</v>
      </c>
      <c r="I39" s="26">
        <f t="shared" si="42"/>
        <v>412</v>
      </c>
      <c r="J39" s="27">
        <f t="shared" si="42"/>
        <v>0</v>
      </c>
      <c r="K39" s="26">
        <f t="shared" ref="K39:L39" si="43">K36-K32-K35</f>
        <v>302</v>
      </c>
      <c r="L39" s="26">
        <f t="shared" si="43"/>
        <v>666</v>
      </c>
      <c r="M39" s="23"/>
    </row>
    <row r="40" spans="1:13" s="8" customFormat="1" x14ac:dyDescent="0.15">
      <c r="A40" s="64" t="s">
        <v>48</v>
      </c>
      <c r="B40" s="39"/>
      <c r="C40" s="39"/>
      <c r="D40" s="39"/>
      <c r="E40" s="26">
        <f t="shared" ref="E40:G40" si="44">E36-E37</f>
        <v>508</v>
      </c>
      <c r="F40" s="27">
        <f t="shared" si="44"/>
        <v>0</v>
      </c>
      <c r="G40" s="26">
        <f t="shared" si="44"/>
        <v>0</v>
      </c>
      <c r="H40" s="26">
        <f>H36-H37</f>
        <v>147</v>
      </c>
      <c r="I40" s="26">
        <f>I36-I37</f>
        <v>147</v>
      </c>
      <c r="J40" s="27">
        <f t="shared" ref="J40" si="45">J36-J37</f>
        <v>0</v>
      </c>
      <c r="K40" s="26">
        <f>K36-K37</f>
        <v>729</v>
      </c>
      <c r="L40" s="26">
        <f>L36-L37</f>
        <v>1252</v>
      </c>
      <c r="M40" s="23"/>
    </row>
    <row r="41" spans="1:13" s="8" customFormat="1" x14ac:dyDescent="0.15">
      <c r="B41" s="39"/>
      <c r="C41" s="39"/>
      <c r="D41" s="39"/>
      <c r="E41" s="23"/>
      <c r="F41" s="22"/>
      <c r="G41" s="23"/>
      <c r="H41" s="23"/>
      <c r="I41" s="23"/>
      <c r="J41" s="22"/>
      <c r="K41" s="23"/>
      <c r="L41" s="23"/>
      <c r="M41" s="23"/>
    </row>
    <row r="42" spans="1:13" s="17" customFormat="1" x14ac:dyDescent="0.15">
      <c r="A42" s="65" t="s">
        <v>49</v>
      </c>
      <c r="B42" s="39"/>
      <c r="C42" s="39"/>
      <c r="D42" s="39"/>
      <c r="E42" s="24">
        <f t="shared" ref="E42:I42" si="46">SUM(B17:E17)</f>
        <v>-1786.385</v>
      </c>
      <c r="F42" s="25">
        <f t="shared" si="46"/>
        <v>-3713.09</v>
      </c>
      <c r="G42" s="24">
        <f t="shared" si="46"/>
        <v>-5824.777</v>
      </c>
      <c r="H42" s="24">
        <f t="shared" si="46"/>
        <v>-5965.3090000000002</v>
      </c>
      <c r="I42" s="24">
        <f t="shared" si="46"/>
        <v>-3949.924</v>
      </c>
      <c r="J42" s="25">
        <f t="shared" ref="J42" si="47">SUM(G17:J17)</f>
        <v>-4159.2190000000001</v>
      </c>
      <c r="K42" s="24">
        <f>SUM(H17:K17)</f>
        <v>-4075.5320000000002</v>
      </c>
      <c r="L42" s="24">
        <f>SUM(I17:L17)</f>
        <v>-4787.9740000000002</v>
      </c>
      <c r="M42" s="45"/>
    </row>
    <row r="43" spans="1:13" x14ac:dyDescent="0.15">
      <c r="A43" s="18" t="s">
        <v>50</v>
      </c>
      <c r="B43" s="39"/>
      <c r="C43" s="39"/>
      <c r="D43" s="39"/>
      <c r="E43" s="33">
        <f t="shared" ref="E43:J43" si="48">E42/E40</f>
        <v>-3.5165059055118109</v>
      </c>
      <c r="F43" s="34" t="e">
        <f t="shared" si="48"/>
        <v>#DIV/0!</v>
      </c>
      <c r="G43" s="33" t="e">
        <f t="shared" si="48"/>
        <v>#DIV/0!</v>
      </c>
      <c r="H43" s="33">
        <f t="shared" si="48"/>
        <v>-40.580333333333336</v>
      </c>
      <c r="I43" s="33">
        <f t="shared" si="48"/>
        <v>-26.870231292517008</v>
      </c>
      <c r="J43" s="34" t="e">
        <f t="shared" si="48"/>
        <v>#DIV/0!</v>
      </c>
      <c r="K43" s="33">
        <f t="shared" ref="K43:L43" si="49">K42/K40</f>
        <v>-5.5905788751714676</v>
      </c>
      <c r="L43" s="33">
        <f t="shared" si="49"/>
        <v>-3.8242603833865818</v>
      </c>
    </row>
    <row r="44" spans="1:13" x14ac:dyDescent="0.15">
      <c r="A44" s="18" t="s">
        <v>51</v>
      </c>
      <c r="B44" s="39"/>
      <c r="C44" s="39"/>
      <c r="D44" s="39"/>
      <c r="E44" s="33">
        <f t="shared" ref="E44:J44" si="50">E42/E36</f>
        <v>-1.2483473095737248</v>
      </c>
      <c r="F44" s="34" t="e">
        <f t="shared" si="50"/>
        <v>#DIV/0!</v>
      </c>
      <c r="G44" s="33" t="e">
        <f t="shared" si="50"/>
        <v>#DIV/0!</v>
      </c>
      <c r="H44" s="33">
        <f t="shared" si="50"/>
        <v>-3.7423519447929738</v>
      </c>
      <c r="I44" s="33">
        <f t="shared" si="50"/>
        <v>-2.4779949811794229</v>
      </c>
      <c r="J44" s="34" t="e">
        <f t="shared" si="50"/>
        <v>#DIV/0!</v>
      </c>
      <c r="K44" s="33">
        <f t="shared" ref="K44:L44" si="51">K42/K36</f>
        <v>-2.1540866807610994</v>
      </c>
      <c r="L44" s="33">
        <f t="shared" si="51"/>
        <v>-1.8386996927803381</v>
      </c>
    </row>
    <row r="45" spans="1:13" x14ac:dyDescent="0.15">
      <c r="A45" s="18" t="s">
        <v>52</v>
      </c>
      <c r="B45" s="39"/>
      <c r="C45" s="39"/>
      <c r="D45" s="39"/>
      <c r="E45" s="33">
        <f t="shared" ref="E45:J45" si="52">E42/(E40-E35)</f>
        <v>-3.6832680412371133</v>
      </c>
      <c r="F45" s="34" t="e">
        <f t="shared" si="52"/>
        <v>#DIV/0!</v>
      </c>
      <c r="G45" s="33" t="e">
        <f t="shared" si="52"/>
        <v>#DIV/0!</v>
      </c>
      <c r="H45" s="33">
        <f t="shared" si="52"/>
        <v>-86.453753623188405</v>
      </c>
      <c r="I45" s="33">
        <f t="shared" si="52"/>
        <v>-41.145041666666664</v>
      </c>
      <c r="J45" s="34" t="e">
        <f t="shared" si="52"/>
        <v>#DIV/0!</v>
      </c>
      <c r="K45" s="33">
        <f t="shared" ref="K45:L45" si="53">K42/(K40-K35)</f>
        <v>-6.046783382789318</v>
      </c>
      <c r="L45" s="33">
        <f t="shared" si="53"/>
        <v>-4.1346925734024182</v>
      </c>
    </row>
    <row r="46" spans="1:13" x14ac:dyDescent="0.15">
      <c r="A46" s="18" t="s">
        <v>53</v>
      </c>
      <c r="B46" s="39"/>
      <c r="C46" s="39"/>
      <c r="D46" s="39"/>
      <c r="E46" s="33">
        <f t="shared" ref="E46:J46" si="54">E42/E39</f>
        <v>-6.3346985815602839</v>
      </c>
      <c r="F46" s="34" t="e">
        <f t="shared" si="54"/>
        <v>#DIV/0!</v>
      </c>
      <c r="G46" s="33" t="e">
        <f t="shared" si="54"/>
        <v>#DIV/0!</v>
      </c>
      <c r="H46" s="33">
        <f t="shared" si="54"/>
        <v>-15.494309090909091</v>
      </c>
      <c r="I46" s="33">
        <f t="shared" si="54"/>
        <v>-9.5871941747572809</v>
      </c>
      <c r="J46" s="34" t="e">
        <f t="shared" si="54"/>
        <v>#DIV/0!</v>
      </c>
      <c r="K46" s="33">
        <f t="shared" ref="K46:L46" si="55">K42/K39</f>
        <v>-13.495139072847683</v>
      </c>
      <c r="L46" s="33">
        <f t="shared" si="55"/>
        <v>-7.1891501501501507</v>
      </c>
    </row>
    <row r="47" spans="1:13" x14ac:dyDescent="0.15">
      <c r="B47" s="39"/>
      <c r="C47" s="39"/>
      <c r="D47" s="39"/>
    </row>
    <row r="48" spans="1:13" x14ac:dyDescent="0.15">
      <c r="A48" s="6" t="s">
        <v>58</v>
      </c>
      <c r="B48" s="39"/>
      <c r="C48" s="39"/>
      <c r="D48" s="39"/>
      <c r="E48" s="33" t="e">
        <f>E3/#REF!-1</f>
        <v>#REF!</v>
      </c>
      <c r="F48" s="34" t="e">
        <f t="shared" ref="F48:L48" si="56">F3/B3-1</f>
        <v>#DIV/0!</v>
      </c>
      <c r="G48" s="33" t="e">
        <f t="shared" si="56"/>
        <v>#DIV/0!</v>
      </c>
      <c r="H48" s="33" t="e">
        <f t="shared" si="56"/>
        <v>#DIV/0!</v>
      </c>
      <c r="I48" s="33" t="e">
        <f t="shared" si="56"/>
        <v>#DIV/0!</v>
      </c>
      <c r="J48" s="34" t="e">
        <f t="shared" si="56"/>
        <v>#DIV/0!</v>
      </c>
      <c r="K48" s="33" t="e">
        <f t="shared" si="56"/>
        <v>#DIV/0!</v>
      </c>
      <c r="L48" s="33">
        <f t="shared" si="56"/>
        <v>0.51865477771188351</v>
      </c>
      <c r="M48" s="33"/>
    </row>
    <row r="49" spans="2:4" x14ac:dyDescent="0.15">
      <c r="B49" s="39"/>
      <c r="C49" s="39"/>
      <c r="D49" s="39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7"/>
  <sheetViews>
    <sheetView zoomScale="120" zoomScaleNormal="120" workbookViewId="0">
      <selection activeCell="C14" sqref="C14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3" width="29.6640625" style="3" bestFit="1" customWidth="1"/>
    <col min="4" max="4" width="35.33203125" style="3" bestFit="1" customWidth="1"/>
    <col min="5" max="16384" width="10.83203125" style="3"/>
  </cols>
  <sheetData>
    <row r="3" spans="2:4" x14ac:dyDescent="0.15">
      <c r="B3" s="2" t="s">
        <v>75</v>
      </c>
    </row>
    <row r="5" spans="2:4" x14ac:dyDescent="0.15">
      <c r="B5" s="3" t="s">
        <v>70</v>
      </c>
      <c r="C5" s="3" t="s">
        <v>76</v>
      </c>
      <c r="D5" s="2" t="s">
        <v>77</v>
      </c>
    </row>
    <row r="6" spans="2:4" x14ac:dyDescent="0.15">
      <c r="B6" s="3" t="s">
        <v>71</v>
      </c>
      <c r="C6" s="3" t="s">
        <v>72</v>
      </c>
      <c r="D6" s="2" t="s">
        <v>78</v>
      </c>
    </row>
    <row r="7" spans="2:4" x14ac:dyDescent="0.15">
      <c r="B7" s="3" t="s">
        <v>73</v>
      </c>
      <c r="C7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2020-11-18T12:25:49Z</dcterms:modified>
</cp:coreProperties>
</file>