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ichaelsjoeberg/Dropbox/- PROJECTS/- Investing/stocks/"/>
    </mc:Choice>
  </mc:AlternateContent>
  <xr:revisionPtr revIDLastSave="0" documentId="13_ncr:1_{4CA64AED-A266-D14E-8E59-31F378DCDDBA}" xr6:coauthVersionLast="45" xr6:coauthVersionMax="45" xr10:uidLastSave="{00000000-0000-0000-0000-000000000000}"/>
  <bookViews>
    <workbookView xWindow="0" yWindow="460" windowWidth="16520" windowHeight="16540" tabRatio="500" xr2:uid="{00000000-000D-0000-FFFF-FFFF00000000}"/>
  </bookViews>
  <sheets>
    <sheet name="Main" sheetId="2" r:id="rId1"/>
    <sheet name="Reports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C3" i="2"/>
  <c r="F16" i="2"/>
  <c r="G16" i="2" s="1"/>
  <c r="E52" i="2"/>
  <c r="E49" i="2"/>
  <c r="E48" i="2"/>
  <c r="E45" i="2"/>
  <c r="E29" i="2"/>
  <c r="E27" i="2"/>
  <c r="E23" i="2"/>
  <c r="E22" i="2"/>
  <c r="F22" i="2" s="1"/>
  <c r="E16" i="2"/>
  <c r="E14" i="2"/>
  <c r="E17" i="2" s="1"/>
  <c r="E13" i="2"/>
  <c r="Q37" i="1"/>
  <c r="E47" i="2" s="1"/>
  <c r="Q34" i="1"/>
  <c r="E44" i="2" s="1"/>
  <c r="E43" i="2" s="1"/>
  <c r="Q41" i="1"/>
  <c r="Q42" i="1"/>
  <c r="Q33" i="1"/>
  <c r="C5" i="2" s="1"/>
  <c r="Q15" i="1"/>
  <c r="Q14" i="1"/>
  <c r="Q13" i="1"/>
  <c r="Q10" i="1"/>
  <c r="Q9" i="1"/>
  <c r="Q11" i="1" s="1"/>
  <c r="Q7" i="1"/>
  <c r="C4" i="2"/>
  <c r="C6" i="2" s="1"/>
  <c r="C7" i="2" s="1"/>
  <c r="F23" i="2"/>
  <c r="F40" i="2" s="1"/>
  <c r="D16" i="2"/>
  <c r="D59" i="2" s="1"/>
  <c r="D13" i="2"/>
  <c r="D14" i="2"/>
  <c r="D17" i="2"/>
  <c r="D60" i="2" s="1"/>
  <c r="D19" i="2"/>
  <c r="D21" i="2" s="1"/>
  <c r="E32" i="2"/>
  <c r="F59" i="2"/>
  <c r="E59" i="2"/>
  <c r="D44" i="2"/>
  <c r="D43" i="2" s="1"/>
  <c r="D22" i="2"/>
  <c r="D27" i="2"/>
  <c r="D29" i="2"/>
  <c r="D48" i="2"/>
  <c r="D52" i="2" s="1"/>
  <c r="D47" i="2"/>
  <c r="C13" i="2"/>
  <c r="C14" i="2"/>
  <c r="C16" i="2"/>
  <c r="C17" i="2" s="1"/>
  <c r="C60" i="2" s="1"/>
  <c r="D49" i="2"/>
  <c r="D45" i="2"/>
  <c r="D32" i="2"/>
  <c r="B16" i="2"/>
  <c r="B19" i="2" s="1"/>
  <c r="B21" i="2" s="1"/>
  <c r="B13" i="2"/>
  <c r="B14" i="2"/>
  <c r="B17" i="2"/>
  <c r="C22" i="2"/>
  <c r="C27" i="2"/>
  <c r="C29" i="2"/>
  <c r="C48" i="2"/>
  <c r="C49" i="2"/>
  <c r="C45" i="2"/>
  <c r="C32" i="2"/>
  <c r="B32" i="2"/>
  <c r="B29" i="2"/>
  <c r="B27" i="2"/>
  <c r="B24" i="2"/>
  <c r="B22" i="2"/>
  <c r="Q29" i="1"/>
  <c r="Q31" i="1"/>
  <c r="N31" i="1"/>
  <c r="L31" i="1"/>
  <c r="K31" i="1"/>
  <c r="Q30" i="1"/>
  <c r="K30" i="1"/>
  <c r="J30" i="1"/>
  <c r="G30" i="1"/>
  <c r="P29" i="1"/>
  <c r="O29" i="1"/>
  <c r="N29" i="1"/>
  <c r="M29" i="1"/>
  <c r="L29" i="1"/>
  <c r="K29" i="1"/>
  <c r="J29" i="1"/>
  <c r="I29" i="1"/>
  <c r="H29" i="1"/>
  <c r="G29" i="1"/>
  <c r="F29" i="1"/>
  <c r="Q50" i="1"/>
  <c r="F14" i="1"/>
  <c r="F31" i="1" s="1"/>
  <c r="B14" i="1"/>
  <c r="B15" i="1" s="1"/>
  <c r="I34" i="1"/>
  <c r="C44" i="2" s="1"/>
  <c r="C43" i="2" s="1"/>
  <c r="J37" i="1"/>
  <c r="J34" i="1"/>
  <c r="G7" i="1"/>
  <c r="G9" i="1" s="1"/>
  <c r="G10" i="1"/>
  <c r="C20" i="2" s="1"/>
  <c r="G13" i="1"/>
  <c r="G14" i="1"/>
  <c r="G31" i="1" s="1"/>
  <c r="G15" i="1"/>
  <c r="H7" i="1"/>
  <c r="H51" i="1" s="1"/>
  <c r="H10" i="1"/>
  <c r="H13" i="1"/>
  <c r="H14" i="1"/>
  <c r="H31" i="1" s="1"/>
  <c r="I7" i="1"/>
  <c r="I9" i="1" s="1"/>
  <c r="I10" i="1"/>
  <c r="I13" i="1"/>
  <c r="M30" i="1" s="1"/>
  <c r="I14" i="1"/>
  <c r="I31" i="1" s="1"/>
  <c r="I15" i="1"/>
  <c r="J7" i="1"/>
  <c r="J9" i="1"/>
  <c r="J11" i="1" s="1"/>
  <c r="J10" i="1"/>
  <c r="D20" i="2" s="1"/>
  <c r="J13" i="1"/>
  <c r="D23" i="2" s="1"/>
  <c r="J14" i="1"/>
  <c r="J31" i="1" s="1"/>
  <c r="J41" i="1"/>
  <c r="J42" i="1"/>
  <c r="K37" i="1"/>
  <c r="K34" i="1"/>
  <c r="K7" i="1"/>
  <c r="K9" i="1"/>
  <c r="K11" i="1" s="1"/>
  <c r="K10" i="1"/>
  <c r="K13" i="1"/>
  <c r="K14" i="1"/>
  <c r="D24" i="2" s="1"/>
  <c r="K15" i="1"/>
  <c r="K41" i="1"/>
  <c r="K42" i="1"/>
  <c r="F7" i="1"/>
  <c r="F9" i="1" s="1"/>
  <c r="F10" i="1"/>
  <c r="F13" i="1"/>
  <c r="C23" i="2" s="1"/>
  <c r="I37" i="1"/>
  <c r="C47" i="2" s="1"/>
  <c r="I41" i="1"/>
  <c r="I42" i="1"/>
  <c r="L37" i="1"/>
  <c r="L34" i="1"/>
  <c r="L7" i="1"/>
  <c r="L9" i="1"/>
  <c r="L10" i="1"/>
  <c r="L11" i="1"/>
  <c r="L13" i="1"/>
  <c r="L30" i="1" s="1"/>
  <c r="L14" i="1"/>
  <c r="P31" i="1" s="1"/>
  <c r="L41" i="1"/>
  <c r="L42" i="1"/>
  <c r="N7" i="1"/>
  <c r="N9" i="1" s="1"/>
  <c r="N51" i="1"/>
  <c r="M7" i="1"/>
  <c r="M9" i="1" s="1"/>
  <c r="L51" i="1"/>
  <c r="K51" i="1"/>
  <c r="J51" i="1"/>
  <c r="E7" i="1"/>
  <c r="I51" i="1" s="1"/>
  <c r="D7" i="1"/>
  <c r="D9" i="1" s="1"/>
  <c r="D11" i="1" s="1"/>
  <c r="C7" i="1"/>
  <c r="G51" i="1"/>
  <c r="B7" i="1"/>
  <c r="N50" i="1"/>
  <c r="M50" i="1"/>
  <c r="L50" i="1"/>
  <c r="K50" i="1"/>
  <c r="J50" i="1"/>
  <c r="I50" i="1"/>
  <c r="H50" i="1"/>
  <c r="G50" i="1"/>
  <c r="F50" i="1"/>
  <c r="B9" i="1"/>
  <c r="C9" i="1"/>
  <c r="M10" i="1"/>
  <c r="M14" i="1"/>
  <c r="M13" i="1"/>
  <c r="M15" i="1"/>
  <c r="N37" i="1"/>
  <c r="N34" i="1"/>
  <c r="N14" i="1"/>
  <c r="N13" i="1"/>
  <c r="N30" i="1" s="1"/>
  <c r="N10" i="1"/>
  <c r="E20" i="2" s="1"/>
  <c r="N15" i="1"/>
  <c r="N41" i="1"/>
  <c r="N42" i="1"/>
  <c r="N33" i="1"/>
  <c r="O50" i="1"/>
  <c r="O7" i="1"/>
  <c r="O9" i="1" s="1"/>
  <c r="O51" i="1"/>
  <c r="O37" i="1"/>
  <c r="O41" i="1" s="1"/>
  <c r="O34" i="1"/>
  <c r="O14" i="1"/>
  <c r="O15" i="1" s="1"/>
  <c r="O13" i="1"/>
  <c r="O30" i="1" s="1"/>
  <c r="O10" i="1"/>
  <c r="O42" i="1"/>
  <c r="O33" i="1"/>
  <c r="M37" i="1"/>
  <c r="M34" i="1"/>
  <c r="M41" i="1"/>
  <c r="M42" i="1"/>
  <c r="M33" i="1"/>
  <c r="P7" i="1"/>
  <c r="P9" i="1" s="1"/>
  <c r="P10" i="1"/>
  <c r="P13" i="1"/>
  <c r="P30" i="1" s="1"/>
  <c r="P14" i="1"/>
  <c r="P37" i="1"/>
  <c r="P34" i="1"/>
  <c r="P33" i="1" s="1"/>
  <c r="P41" i="1"/>
  <c r="P42" i="1"/>
  <c r="P50" i="1"/>
  <c r="E13" i="1"/>
  <c r="I30" i="1" s="1"/>
  <c r="E14" i="1"/>
  <c r="E15" i="1"/>
  <c r="D13" i="1"/>
  <c r="H30" i="1" s="1"/>
  <c r="D14" i="1"/>
  <c r="D15" i="1"/>
  <c r="C13" i="1"/>
  <c r="C14" i="1"/>
  <c r="C15" i="1" s="1"/>
  <c r="B13" i="1"/>
  <c r="B23" i="2" s="1"/>
  <c r="B25" i="2" s="1"/>
  <c r="E39" i="2"/>
  <c r="D39" i="2"/>
  <c r="C39" i="2"/>
  <c r="F32" i="2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D10" i="1"/>
  <c r="B10" i="1"/>
  <c r="B20" i="2" s="1"/>
  <c r="C10" i="1"/>
  <c r="C11" i="1" s="1"/>
  <c r="E10" i="1"/>
  <c r="B11" i="1"/>
  <c r="E12" i="2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L33" i="1"/>
  <c r="J33" i="1"/>
  <c r="K33" i="1"/>
  <c r="L24" i="1"/>
  <c r="E51" i="2" l="1"/>
  <c r="D34" i="2"/>
  <c r="D26" i="2"/>
  <c r="P11" i="1"/>
  <c r="P28" i="1"/>
  <c r="C40" i="2"/>
  <c r="C25" i="2"/>
  <c r="G28" i="1"/>
  <c r="K28" i="1"/>
  <c r="G11" i="1"/>
  <c r="E40" i="2"/>
  <c r="F28" i="1"/>
  <c r="J28" i="1"/>
  <c r="F11" i="1"/>
  <c r="Q16" i="1"/>
  <c r="Q24" i="1"/>
  <c r="C51" i="2"/>
  <c r="D41" i="2"/>
  <c r="C24" i="1"/>
  <c r="C16" i="1"/>
  <c r="I11" i="1"/>
  <c r="H16" i="2"/>
  <c r="G59" i="2"/>
  <c r="D24" i="1"/>
  <c r="D16" i="1"/>
  <c r="F27" i="2"/>
  <c r="E19" i="2"/>
  <c r="E60" i="2"/>
  <c r="F17" i="2"/>
  <c r="D40" i="2"/>
  <c r="D25" i="2"/>
  <c r="G22" i="2"/>
  <c r="F39" i="2"/>
  <c r="J24" i="1"/>
  <c r="B16" i="1"/>
  <c r="L28" i="1"/>
  <c r="K24" i="1"/>
  <c r="K16" i="1"/>
  <c r="B34" i="2"/>
  <c r="B26" i="2"/>
  <c r="B35" i="2" s="1"/>
  <c r="O28" i="1"/>
  <c r="O11" i="1"/>
  <c r="M28" i="1"/>
  <c r="M11" i="1"/>
  <c r="N28" i="1"/>
  <c r="N11" i="1"/>
  <c r="L15" i="1"/>
  <c r="L16" i="1" s="1"/>
  <c r="H9" i="1"/>
  <c r="M31" i="1"/>
  <c r="E24" i="2"/>
  <c r="D51" i="2"/>
  <c r="M51" i="1"/>
  <c r="Q51" i="1"/>
  <c r="O31" i="1"/>
  <c r="Q28" i="1"/>
  <c r="E25" i="2"/>
  <c r="F30" i="1"/>
  <c r="C24" i="2"/>
  <c r="C41" i="2" s="1"/>
  <c r="F15" i="1"/>
  <c r="P51" i="1"/>
  <c r="G23" i="2"/>
  <c r="B24" i="1"/>
  <c r="I33" i="1"/>
  <c r="F51" i="1"/>
  <c r="J15" i="1"/>
  <c r="J16" i="1" s="1"/>
  <c r="P15" i="1"/>
  <c r="C52" i="2"/>
  <c r="C59" i="2"/>
  <c r="H15" i="1"/>
  <c r="E9" i="1"/>
  <c r="E11" i="1" s="1"/>
  <c r="C19" i="2"/>
  <c r="J25" i="1" l="1"/>
  <c r="J18" i="1"/>
  <c r="E16" i="1"/>
  <c r="E24" i="1"/>
  <c r="G16" i="1"/>
  <c r="G24" i="1"/>
  <c r="Q18" i="1"/>
  <c r="Q25" i="1"/>
  <c r="F24" i="1"/>
  <c r="F16" i="1"/>
  <c r="B18" i="1"/>
  <c r="B25" i="1"/>
  <c r="L25" i="1"/>
  <c r="L18" i="1"/>
  <c r="H22" i="2"/>
  <c r="G39" i="2"/>
  <c r="C25" i="1"/>
  <c r="C18" i="1"/>
  <c r="P16" i="1"/>
  <c r="P24" i="1"/>
  <c r="I2" i="2"/>
  <c r="E38" i="2"/>
  <c r="I4" i="2" s="1"/>
  <c r="E21" i="2"/>
  <c r="F24" i="2"/>
  <c r="E41" i="2"/>
  <c r="I16" i="2"/>
  <c r="H59" i="2"/>
  <c r="D28" i="2"/>
  <c r="D35" i="2"/>
  <c r="K25" i="1"/>
  <c r="K18" i="1"/>
  <c r="H11" i="1"/>
  <c r="H28" i="1"/>
  <c r="I28" i="1"/>
  <c r="G40" i="2"/>
  <c r="H23" i="2"/>
  <c r="C21" i="2"/>
  <c r="C38" i="2"/>
  <c r="D38" i="2"/>
  <c r="D18" i="1"/>
  <c r="D25" i="1"/>
  <c r="I24" i="1"/>
  <c r="I16" i="1"/>
  <c r="N16" i="1"/>
  <c r="N24" i="1"/>
  <c r="M24" i="1"/>
  <c r="M16" i="1"/>
  <c r="O24" i="1"/>
  <c r="O16" i="1"/>
  <c r="G17" i="2"/>
  <c r="F60" i="2"/>
  <c r="F19" i="2"/>
  <c r="B20" i="1" l="1"/>
  <c r="B21" i="1" s="1"/>
  <c r="B26" i="1"/>
  <c r="Q20" i="1"/>
  <c r="Q21" i="1" s="1"/>
  <c r="Q26" i="1"/>
  <c r="I22" i="2"/>
  <c r="H39" i="2"/>
  <c r="I18" i="1"/>
  <c r="I25" i="1"/>
  <c r="D20" i="1"/>
  <c r="D21" i="1" s="1"/>
  <c r="D26" i="1"/>
  <c r="N25" i="1"/>
  <c r="N18" i="1"/>
  <c r="F41" i="2"/>
  <c r="G24" i="2"/>
  <c r="F25" i="2"/>
  <c r="L20" i="1"/>
  <c r="L26" i="1"/>
  <c r="G25" i="1"/>
  <c r="G18" i="1"/>
  <c r="H17" i="2"/>
  <c r="G60" i="2"/>
  <c r="G19" i="2"/>
  <c r="P25" i="1"/>
  <c r="P18" i="1"/>
  <c r="E18" i="1"/>
  <c r="E25" i="1"/>
  <c r="H16" i="1"/>
  <c r="H24" i="1"/>
  <c r="J26" i="1"/>
  <c r="J20" i="1"/>
  <c r="D36" i="2"/>
  <c r="D30" i="2"/>
  <c r="J16" i="2"/>
  <c r="I59" i="2"/>
  <c r="F25" i="1"/>
  <c r="F18" i="1"/>
  <c r="E26" i="2"/>
  <c r="E34" i="2"/>
  <c r="I5" i="2" s="1"/>
  <c r="C34" i="2"/>
  <c r="C26" i="2"/>
  <c r="F38" i="2"/>
  <c r="F21" i="2"/>
  <c r="F20" i="2"/>
  <c r="I23" i="2"/>
  <c r="H40" i="2"/>
  <c r="O25" i="1"/>
  <c r="O18" i="1"/>
  <c r="C26" i="1"/>
  <c r="C20" i="1"/>
  <c r="C21" i="1" s="1"/>
  <c r="M25" i="1"/>
  <c r="M18" i="1"/>
  <c r="K26" i="1"/>
  <c r="K20" i="1"/>
  <c r="J21" i="1" l="1"/>
  <c r="G41" i="2"/>
  <c r="H24" i="2"/>
  <c r="G25" i="2"/>
  <c r="J23" i="2"/>
  <c r="I40" i="2"/>
  <c r="N26" i="1"/>
  <c r="N20" i="1"/>
  <c r="F26" i="2"/>
  <c r="F34" i="2"/>
  <c r="H18" i="1"/>
  <c r="H25" i="1"/>
  <c r="C35" i="2"/>
  <c r="C28" i="2"/>
  <c r="E26" i="1"/>
  <c r="E20" i="1"/>
  <c r="E21" i="1" s="1"/>
  <c r="P26" i="1"/>
  <c r="P20" i="1"/>
  <c r="P21" i="1" s="1"/>
  <c r="I20" i="1"/>
  <c r="I26" i="1"/>
  <c r="K21" i="1"/>
  <c r="E28" i="2"/>
  <c r="E35" i="2"/>
  <c r="I6" i="2" s="1"/>
  <c r="G38" i="2"/>
  <c r="G21" i="2"/>
  <c r="G20" i="2"/>
  <c r="F26" i="1"/>
  <c r="F20" i="1"/>
  <c r="M20" i="1"/>
  <c r="M26" i="1"/>
  <c r="I17" i="2"/>
  <c r="H60" i="2"/>
  <c r="H19" i="2"/>
  <c r="I39" i="2"/>
  <c r="J22" i="2"/>
  <c r="G26" i="1"/>
  <c r="G20" i="1"/>
  <c r="J59" i="2"/>
  <c r="O26" i="1"/>
  <c r="O20" i="1"/>
  <c r="O21" i="1" s="1"/>
  <c r="D57" i="2"/>
  <c r="D56" i="2"/>
  <c r="D54" i="2"/>
  <c r="D55" i="2"/>
  <c r="D31" i="2"/>
  <c r="L21" i="1"/>
  <c r="B28" i="2"/>
  <c r="M21" i="1" l="1"/>
  <c r="P44" i="1"/>
  <c r="C30" i="2"/>
  <c r="C36" i="2"/>
  <c r="F28" i="2"/>
  <c r="F35" i="2"/>
  <c r="G21" i="1"/>
  <c r="E30" i="2"/>
  <c r="E36" i="2"/>
  <c r="N44" i="1"/>
  <c r="N21" i="1"/>
  <c r="Q44" i="1"/>
  <c r="J39" i="2"/>
  <c r="K22" i="2"/>
  <c r="K23" i="2"/>
  <c r="J40" i="2"/>
  <c r="B30" i="2"/>
  <c r="B31" i="2" s="1"/>
  <c r="B36" i="2"/>
  <c r="L44" i="1"/>
  <c r="I21" i="1"/>
  <c r="I24" i="2"/>
  <c r="H41" i="2"/>
  <c r="H25" i="2"/>
  <c r="O44" i="1"/>
  <c r="H38" i="2"/>
  <c r="H21" i="2"/>
  <c r="H20" i="1"/>
  <c r="H26" i="1"/>
  <c r="M44" i="1"/>
  <c r="F21" i="1"/>
  <c r="G26" i="2"/>
  <c r="G34" i="2"/>
  <c r="I60" i="2"/>
  <c r="J17" i="2"/>
  <c r="I19" i="2"/>
  <c r="M48" i="1" l="1"/>
  <c r="M47" i="1"/>
  <c r="M46" i="1"/>
  <c r="M45" i="1"/>
  <c r="L22" i="2"/>
  <c r="K39" i="2"/>
  <c r="H21" i="1"/>
  <c r="K44" i="1"/>
  <c r="H34" i="2"/>
  <c r="H26" i="2"/>
  <c r="H20" i="2"/>
  <c r="O48" i="1"/>
  <c r="O45" i="1"/>
  <c r="O47" i="1"/>
  <c r="O46" i="1"/>
  <c r="J44" i="1"/>
  <c r="J24" i="2"/>
  <c r="I41" i="2"/>
  <c r="I25" i="2"/>
  <c r="J60" i="2"/>
  <c r="J19" i="2"/>
  <c r="F30" i="2"/>
  <c r="F29" i="2"/>
  <c r="F36" i="2" s="1"/>
  <c r="P46" i="1"/>
  <c r="P45" i="1"/>
  <c r="P47" i="1"/>
  <c r="P48" i="1"/>
  <c r="Q48" i="1"/>
  <c r="Q45" i="1"/>
  <c r="Q47" i="1"/>
  <c r="Q46" i="1"/>
  <c r="N47" i="1"/>
  <c r="N46" i="1"/>
  <c r="N48" i="1"/>
  <c r="N45" i="1"/>
  <c r="E54" i="2"/>
  <c r="I3" i="2"/>
  <c r="E55" i="2"/>
  <c r="E56" i="2"/>
  <c r="E31" i="2"/>
  <c r="E57" i="2"/>
  <c r="I21" i="2"/>
  <c r="I38" i="2"/>
  <c r="I20" i="2"/>
  <c r="L48" i="1"/>
  <c r="L47" i="1"/>
  <c r="L46" i="1"/>
  <c r="L45" i="1"/>
  <c r="G35" i="2"/>
  <c r="C57" i="2"/>
  <c r="C31" i="2"/>
  <c r="C56" i="2"/>
  <c r="C55" i="2"/>
  <c r="C54" i="2"/>
  <c r="I44" i="1"/>
  <c r="L23" i="2"/>
  <c r="K40" i="2"/>
  <c r="L40" i="2" l="1"/>
  <c r="M23" i="2"/>
  <c r="I48" i="1"/>
  <c r="I47" i="1"/>
  <c r="I46" i="1"/>
  <c r="I45" i="1"/>
  <c r="K47" i="1"/>
  <c r="K46" i="1"/>
  <c r="K45" i="1"/>
  <c r="K48" i="1"/>
  <c r="J38" i="2"/>
  <c r="K19" i="2"/>
  <c r="M22" i="2"/>
  <c r="L39" i="2"/>
  <c r="H35" i="2"/>
  <c r="F31" i="2"/>
  <c r="F43" i="2"/>
  <c r="I26" i="2"/>
  <c r="I34" i="2"/>
  <c r="J21" i="2" s="1"/>
  <c r="J41" i="2"/>
  <c r="K24" i="2"/>
  <c r="J25" i="2"/>
  <c r="J45" i="1"/>
  <c r="J47" i="1"/>
  <c r="J46" i="1"/>
  <c r="J48" i="1"/>
  <c r="J34" i="2" l="1"/>
  <c r="J26" i="2"/>
  <c r="J20" i="2"/>
  <c r="I35" i="2"/>
  <c r="N22" i="2"/>
  <c r="M39" i="2"/>
  <c r="K38" i="2"/>
  <c r="L19" i="2"/>
  <c r="K21" i="2"/>
  <c r="L24" i="2"/>
  <c r="K41" i="2"/>
  <c r="K25" i="2"/>
  <c r="G27" i="2"/>
  <c r="G28" i="2" s="1"/>
  <c r="N23" i="2"/>
  <c r="M40" i="2"/>
  <c r="K34" i="2" l="1"/>
  <c r="K26" i="2"/>
  <c r="K20" i="2"/>
  <c r="G29" i="2"/>
  <c r="G36" i="2" s="1"/>
  <c r="G30" i="2"/>
  <c r="M24" i="2"/>
  <c r="L41" i="2"/>
  <c r="L25" i="2"/>
  <c r="L38" i="2"/>
  <c r="L21" i="2"/>
  <c r="L20" i="2"/>
  <c r="M19" i="2"/>
  <c r="N39" i="2"/>
  <c r="O22" i="2"/>
  <c r="O23" i="2"/>
  <c r="N40" i="2"/>
  <c r="J35" i="2"/>
  <c r="O40" i="2" l="1"/>
  <c r="P23" i="2"/>
  <c r="O39" i="2"/>
  <c r="P22" i="2"/>
  <c r="M38" i="2"/>
  <c r="N19" i="2"/>
  <c r="L26" i="2"/>
  <c r="L34" i="2"/>
  <c r="M21" i="2" s="1"/>
  <c r="N24" i="2"/>
  <c r="M41" i="2"/>
  <c r="M25" i="2"/>
  <c r="G31" i="2"/>
  <c r="G43" i="2"/>
  <c r="K35" i="2"/>
  <c r="M34" i="2" l="1"/>
  <c r="M26" i="2"/>
  <c r="M20" i="2"/>
  <c r="O24" i="2"/>
  <c r="N41" i="2"/>
  <c r="N25" i="2"/>
  <c r="L35" i="2"/>
  <c r="O19" i="2"/>
  <c r="N38" i="2"/>
  <c r="N21" i="2"/>
  <c r="P39" i="2"/>
  <c r="Q22" i="2"/>
  <c r="Q23" i="2"/>
  <c r="Q40" i="2" s="1"/>
  <c r="P40" i="2"/>
  <c r="H27" i="2"/>
  <c r="H28" i="2" s="1"/>
  <c r="Q39" i="2" l="1"/>
  <c r="N26" i="2"/>
  <c r="N34" i="2"/>
  <c r="O38" i="2"/>
  <c r="O21" i="2"/>
  <c r="P19" i="2"/>
  <c r="N20" i="2"/>
  <c r="P24" i="2"/>
  <c r="O41" i="2"/>
  <c r="O25" i="2"/>
  <c r="H29" i="2"/>
  <c r="H36" i="2" s="1"/>
  <c r="M35" i="2"/>
  <c r="Q19" i="2" l="1"/>
  <c r="P38" i="2"/>
  <c r="O26" i="2"/>
  <c r="O34" i="2"/>
  <c r="P21" i="2" s="1"/>
  <c r="O20" i="2"/>
  <c r="N35" i="2"/>
  <c r="H30" i="2"/>
  <c r="Q24" i="2"/>
  <c r="P41" i="2"/>
  <c r="P25" i="2"/>
  <c r="P26" i="2" l="1"/>
  <c r="P34" i="2"/>
  <c r="P20" i="2"/>
  <c r="H31" i="2"/>
  <c r="H43" i="2"/>
  <c r="Q41" i="2"/>
  <c r="Q25" i="2"/>
  <c r="O35" i="2"/>
  <c r="Q21" i="2"/>
  <c r="Q38" i="2"/>
  <c r="Q20" i="2"/>
  <c r="Q34" i="2" l="1"/>
  <c r="Q26" i="2"/>
  <c r="I27" i="2"/>
  <c r="I28" i="2" s="1"/>
  <c r="P35" i="2"/>
  <c r="Q35" i="2" l="1"/>
  <c r="I29" i="2"/>
  <c r="I36" i="2" s="1"/>
  <c r="I30" i="2"/>
  <c r="I31" i="2" l="1"/>
  <c r="I43" i="2"/>
  <c r="J27" i="2" l="1"/>
  <c r="J28" i="2" s="1"/>
  <c r="J29" i="2" l="1"/>
  <c r="J36" i="2" s="1"/>
  <c r="J30" i="2"/>
  <c r="J31" i="2" l="1"/>
  <c r="J43" i="2"/>
  <c r="K27" i="2" l="1"/>
  <c r="K28" i="2" s="1"/>
  <c r="K29" i="2" l="1"/>
  <c r="K36" i="2" s="1"/>
  <c r="K30" i="2" l="1"/>
  <c r="K31" i="2" l="1"/>
  <c r="K43" i="2"/>
  <c r="L27" i="2" l="1"/>
  <c r="L28" i="2" s="1"/>
  <c r="L29" i="2" l="1"/>
  <c r="L36" i="2" s="1"/>
  <c r="L30" i="2" l="1"/>
  <c r="L31" i="2" l="1"/>
  <c r="L43" i="2"/>
  <c r="M27" i="2" l="1"/>
  <c r="M28" i="2" s="1"/>
  <c r="M29" i="2" l="1"/>
  <c r="M36" i="2" s="1"/>
  <c r="M30" i="2"/>
  <c r="M31" i="2" l="1"/>
  <c r="M43" i="2"/>
  <c r="N27" i="2" l="1"/>
  <c r="N28" i="2" s="1"/>
  <c r="N29" i="2" l="1"/>
  <c r="N36" i="2" s="1"/>
  <c r="N30" i="2"/>
  <c r="N31" i="2" l="1"/>
  <c r="N43" i="2"/>
  <c r="O27" i="2" l="1"/>
  <c r="O28" i="2" s="1"/>
  <c r="O29" i="2" l="1"/>
  <c r="O36" i="2" s="1"/>
  <c r="O30" i="2"/>
  <c r="O31" i="2" l="1"/>
  <c r="O43" i="2"/>
  <c r="P27" i="2" l="1"/>
  <c r="P28" i="2" s="1"/>
  <c r="P29" i="2" l="1"/>
  <c r="P36" i="2" s="1"/>
  <c r="P30" i="2"/>
  <c r="P31" i="2" l="1"/>
  <c r="P43" i="2"/>
  <c r="Q27" i="2" l="1"/>
  <c r="Q28" i="2" s="1"/>
  <c r="Q29" i="2" l="1"/>
  <c r="Q36" i="2" s="1"/>
  <c r="Q30" i="2" l="1"/>
  <c r="Q31" i="2" l="1"/>
  <c r="R30" i="2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DQ30" i="2" s="1"/>
  <c r="DR30" i="2" s="1"/>
  <c r="F5" i="2" s="1"/>
  <c r="F6" i="2" s="1"/>
  <c r="Q43" i="2"/>
  <c r="F7" i="2" l="1"/>
  <c r="G7" i="2" l="1"/>
</calcChain>
</file>

<file path=xl/sharedStrings.xml><?xml version="1.0" encoding="utf-8"?>
<sst xmlns="http://schemas.openxmlformats.org/spreadsheetml/2006/main" count="153" uniqueCount="108">
  <si>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</si>
  <si>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</si>
  <si>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</si>
  <si>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</si>
  <si>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</si>
  <si>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</si>
  <si>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</si>
  <si>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</si>
  <si>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</si>
  <si>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</si>
  <si>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</si>
  <si>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</si>
  <si>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</si>
  <si>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</si>
  <si>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</si>
  <si>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</si>
  <si>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</si>
  <si>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</si>
  <si>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</si>
  <si>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</si>
  <si>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</si>
  <si>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</si>
  <si>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</si>
  <si>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</si>
  <si>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</si>
  <si>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</si>
  <si>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</si>
  <si>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</si>
  <si>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</si>
  <si>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</si>
  <si>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</si>
  <si>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</si>
  <si>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</si>
  <si>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</si>
  <si>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</si>
  <si>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</si>
  <si>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</si>
  <si>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</si>
  <si>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</si>
  <si>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</si>
  <si>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</si>
  <si>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</si>
  <si>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</si>
  <si>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</si>
  <si>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</si>
  <si>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</si>
  <si>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</si>
  <si>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</si>
  <si>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</si>
  <si>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</si>
  <si>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</si>
  <si>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</si>
  <si>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</si>
  <si>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</si>
  <si>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</si>
  <si>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</si>
  <si>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</si>
  <si>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</si>
  <si>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Transactions</t>
  </si>
  <si>
    <t>Active accounts</t>
  </si>
  <si>
    <t>TPV</t>
  </si>
  <si>
    <t>Transaction fees</t>
  </si>
  <si>
    <t>Other services</t>
  </si>
  <si>
    <t>Investor Relations</t>
  </si>
  <si>
    <t>Price</t>
  </si>
  <si>
    <t>CEO</t>
  </si>
  <si>
    <t>Expected return on invested capital (innovation grade)</t>
  </si>
  <si>
    <t>Market Cap</t>
  </si>
  <si>
    <t>Inflation + risk premium (opportunity cost)</t>
  </si>
  <si>
    <t>NPV on net income (terminal value)</t>
  </si>
  <si>
    <t>Founder</t>
  </si>
  <si>
    <t>EV</t>
  </si>
  <si>
    <t>per share</t>
  </si>
  <si>
    <t>PayPal Holdings Inc (PYPL)</t>
  </si>
  <si>
    <t>Elon Musk</t>
  </si>
  <si>
    <t>Peter Thiel</t>
  </si>
  <si>
    <t>Max Levchin</t>
  </si>
  <si>
    <t>Ken Howery</t>
  </si>
  <si>
    <t>Luke Nosek</t>
  </si>
  <si>
    <t>Dan Schulman</t>
  </si>
  <si>
    <t>ARPU</t>
  </si>
  <si>
    <t>R&amp;D y/y</t>
  </si>
  <si>
    <t>S&amp;M y/y</t>
  </si>
  <si>
    <t>G&amp;A y/y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</si>
  <si>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</si>
  <si>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</si>
  <si>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</si>
  <si>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</si>
  <si>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</si>
  <si>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</si>
  <si>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</si>
  <si>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</si>
  <si>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</si>
  <si>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ARPU y/y</t>
  </si>
  <si>
    <t>NI 12M</t>
  </si>
  <si>
    <t>EDGAR</t>
  </si>
  <si>
    <t>Active accounts y/y</t>
  </si>
  <si>
    <t>Q119</t>
  </si>
  <si>
    <t>Q219</t>
  </si>
  <si>
    <t>Q319</t>
  </si>
  <si>
    <t>Q419</t>
  </si>
  <si>
    <t>4 080-4 130 (guidance)</t>
  </si>
  <si>
    <t>17 850-18 100 (guidance)</t>
  </si>
  <si>
    <t>18/3/2019</t>
  </si>
  <si>
    <t>Earnings</t>
  </si>
  <si>
    <t>Growth</t>
  </si>
  <si>
    <t>GM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</si>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</sst>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5" fillId="0" borderId="0" xfId="4" applyFont="1" applyBorder="1"/>
    <xf numFmtId="0" fontId="6" fillId="0" borderId="0" xfId="0" applyFont="1"/>
    <xf numFmtId="0" fontId="7" fillId="0" borderId="0" xfId="0" applyFont="1"/>
    <xf numFmtId="4" fontId="7" fillId="0" borderId="0" xfId="0" applyNumberFormat="1" applyFont="1" applyBorder="1"/>
    <xf numFmtId="0" fontId="7" fillId="0" borderId="0" xfId="0" applyFont="1" applyBorder="1"/>
    <xf numFmtId="10" fontId="7" fillId="0" borderId="0" xfId="0" applyNumberFormat="1" applyFont="1"/>
    <xf numFmtId="3" fontId="7" fillId="0" borderId="0" xfId="0" applyNumberFormat="1" applyFont="1" applyBorder="1"/>
    <xf numFmtId="0" fontId="8" fillId="0" borderId="0" xfId="0" applyFont="1"/>
    <xf numFmtId="0" fontId="5" fillId="0" borderId="0" xfId="4" applyFont="1"/>
    <xf numFmtId="3" fontId="7" fillId="2" borderId="0" xfId="0" applyNumberFormat="1" applyFont="1" applyFill="1" applyBorder="1"/>
    <xf numFmtId="164" fontId="7" fillId="2" borderId="0" xfId="0" applyNumberFormat="1" applyFont="1" applyFill="1"/>
    <xf numFmtId="0" fontId="6" fillId="0" borderId="0" xfId="0" applyFont="1" applyBorder="1"/>
    <xf numFmtId="164" fontId="6" fillId="2" borderId="0" xfId="0" applyNumberFormat="1" applyFont="1" applyFill="1"/>
    <xf numFmtId="4" fontId="7" fillId="2" borderId="0" xfId="0" applyNumberFormat="1" applyFont="1" applyFill="1" applyBorder="1"/>
    <xf numFmtId="0" fontId="8" fillId="0" borderId="0" xfId="0" applyFont="1" applyBorder="1"/>
    <xf numFmtId="4" fontId="7" fillId="2" borderId="0" xfId="0" applyNumberFormat="1" applyFont="1" applyFill="1"/>
    <xf numFmtId="9" fontId="7" fillId="0" borderId="0" xfId="0" applyNumberFormat="1" applyFont="1"/>
    <xf numFmtId="164" fontId="7" fillId="0" borderId="0" xfId="0" applyNumberFormat="1" applyFont="1"/>
    <xf numFmtId="3" fontId="6" fillId="0" borderId="0" xfId="0" applyNumberFormat="1" applyFont="1" applyBorder="1"/>
    <xf numFmtId="2" fontId="7" fillId="0" borderId="0" xfId="0" applyNumberFormat="1" applyFont="1" applyBorder="1"/>
    <xf numFmtId="9" fontId="6" fillId="0" borderId="0" xfId="1" applyFont="1" applyBorder="1"/>
    <xf numFmtId="9" fontId="7" fillId="0" borderId="0" xfId="0" applyNumberFormat="1" applyFont="1" applyBorder="1"/>
    <xf numFmtId="9" fontId="7" fillId="0" borderId="0" xfId="1" applyFont="1" applyBorder="1"/>
    <xf numFmtId="3" fontId="6" fillId="2" borderId="0" xfId="0" applyNumberFormat="1" applyFont="1" applyFill="1" applyBorder="1"/>
    <xf numFmtId="2" fontId="7" fillId="2" borderId="0" xfId="0" applyNumberFormat="1" applyFont="1" applyFill="1" applyBorder="1"/>
    <xf numFmtId="0" fontId="7" fillId="0" borderId="0" xfId="0" applyFont="1" applyFill="1" applyBorder="1"/>
    <xf numFmtId="0" fontId="6" fillId="0" borderId="0" xfId="0" applyFont="1" applyFill="1" applyBorder="1"/>
    <xf numFmtId="3" fontId="7" fillId="0" borderId="0" xfId="0" applyNumberFormat="1" applyFont="1"/>
    <xf numFmtId="3" fontId="7" fillId="0" borderId="1" xfId="0" applyNumberFormat="1" applyFont="1" applyBorder="1"/>
    <xf numFmtId="0" fontId="7" fillId="0" borderId="1" xfId="0" applyFont="1" applyBorder="1"/>
    <xf numFmtId="3" fontId="7" fillId="2" borderId="0" xfId="0" applyNumberFormat="1" applyFont="1" applyFill="1"/>
    <xf numFmtId="9" fontId="7" fillId="0" borderId="1" xfId="0" applyNumberFormat="1" applyFont="1" applyBorder="1"/>
    <xf numFmtId="0" fontId="6" fillId="0" borderId="1" xfId="0" applyFont="1" applyBorder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7" fillId="2" borderId="0" xfId="0" applyNumberFormat="1" applyFont="1" applyFill="1" applyBorder="1" applyAlignment="1">
      <alignment horizontal="right"/>
    </xf>
    <xf numFmtId="3" fontId="7" fillId="2" borderId="1" xfId="0" applyNumberFormat="1" applyFont="1" applyFill="1" applyBorder="1" applyAlignment="1">
      <alignment horizontal="right"/>
    </xf>
    <xf numFmtId="3" fontId="7" fillId="2" borderId="0" xfId="0" applyNumberFormat="1" applyFont="1" applyFill="1" applyAlignment="1">
      <alignment horizontal="right"/>
    </xf>
    <xf numFmtId="2" fontId="7" fillId="2" borderId="0" xfId="0" applyNumberFormat="1" applyFont="1" applyFill="1" applyBorder="1" applyAlignment="1">
      <alignment horizontal="right"/>
    </xf>
    <xf numFmtId="2" fontId="7" fillId="2" borderId="1" xfId="0" applyNumberFormat="1" applyFont="1" applyFill="1" applyBorder="1" applyAlignment="1">
      <alignment horizontal="right"/>
    </xf>
    <xf numFmtId="2" fontId="7" fillId="2" borderId="0" xfId="0" applyNumberFormat="1" applyFont="1" applyFill="1" applyAlignment="1">
      <alignment horizontal="right"/>
    </xf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9" fontId="7" fillId="0" borderId="0" xfId="0" applyNumberFormat="1" applyFont="1" applyAlignment="1">
      <alignment horizontal="right"/>
    </xf>
    <xf numFmtId="9" fontId="7" fillId="0" borderId="0" xfId="1" applyFont="1" applyBorder="1" applyAlignment="1">
      <alignment horizontal="right"/>
    </xf>
    <xf numFmtId="9" fontId="7" fillId="0" borderId="1" xfId="1" applyFont="1" applyBorder="1" applyAlignment="1">
      <alignment horizontal="right"/>
    </xf>
    <xf numFmtId="9" fontId="7" fillId="0" borderId="0" xfId="1" applyFont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7" fillId="0" borderId="0" xfId="1" applyNumberFormat="1" applyFont="1" applyBorder="1" applyAlignment="1">
      <alignment horizontal="right"/>
    </xf>
    <xf numFmtId="9" fontId="7" fillId="0" borderId="1" xfId="1" applyNumberFormat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4" fontId="7" fillId="0" borderId="0" xfId="0" applyNumberFormat="1" applyFont="1"/>
    <xf numFmtId="4" fontId="7" fillId="2" borderId="0" xfId="0" applyNumberFormat="1" applyFont="1" applyFill="1" applyBorder="1" applyAlignment="1">
      <alignment horizontal="right"/>
    </xf>
    <xf numFmtId="4" fontId="7" fillId="0" borderId="1" xfId="0" applyNumberFormat="1" applyFont="1" applyBorder="1"/>
    <xf numFmtId="9" fontId="7" fillId="0" borderId="0" xfId="0" applyNumberFormat="1" applyFont="1" applyFill="1" applyBorder="1"/>
    <xf numFmtId="4" fontId="7" fillId="2" borderId="1" xfId="0" applyNumberFormat="1" applyFont="1" applyFill="1" applyBorder="1" applyAlignment="1">
      <alignment horizontal="right"/>
    </xf>
    <xf numFmtId="3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3" fontId="7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9" fontId="6" fillId="0" borderId="0" xfId="1" applyNumberFormat="1" applyFont="1" applyFill="1" applyBorder="1" applyAlignment="1">
      <alignment horizontal="right"/>
    </xf>
    <xf numFmtId="9" fontId="7" fillId="0" borderId="0" xfId="1" applyNumberFormat="1" applyFont="1" applyFill="1" applyBorder="1" applyAlignment="1">
      <alignment horizontal="right"/>
    </xf>
    <xf numFmtId="9" fontId="7" fillId="0" borderId="0" xfId="0" applyNumberFormat="1" applyFont="1" applyFill="1" applyAlignment="1">
      <alignment horizontal="right"/>
    </xf>
    <xf numFmtId="4" fontId="7" fillId="0" borderId="1" xfId="0" applyNumberFormat="1" applyFont="1" applyBorder="1" applyAlignment="1">
      <alignment horizontal="right"/>
    </xf>
    <xf numFmtId="4" fontId="7" fillId="0" borderId="0" xfId="0" applyNumberFormat="1" applyFont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0" xfId="0" applyFont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11</xdr:row>
      <xdr:rowOff>0</xdr:rowOff>
    </xdr:from>
    <xdr:to>
      <xdr:col>5</xdr:col>
      <xdr:colOff>127000</xdr:colOff>
      <xdr:row>61</xdr:row>
      <xdr:rowOff>25400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787900" y="1816100"/>
          <a:ext cx="0" cy="8280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165100</xdr:colOff>
      <xdr:row>1</xdr:row>
      <xdr:rowOff>0</xdr:rowOff>
    </xdr:from>
    <xdr:to>
      <xdr:col>17</xdr:col>
      <xdr:colOff>165100</xdr:colOff>
      <xdr:row>55</xdr:row>
      <xdr:rowOff>25400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14706600" y="165100"/>
          <a:ext cx="0" cy="8940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en.wikipedia.org/wiki/Elon_Musk" TargetMode="External"/><Relationship Id="rId7" Type="http://schemas.openxmlformats.org/officeDocument/2006/relationships/hyperlink" Target="https://en.wikipedia.org/wiki/Ken_Howery" TargetMode="External"/><Relationship Id="rId2" Type="http://schemas.openxmlformats.org/officeDocument/2006/relationships/hyperlink" Target="https://en.wikipedia.org/wiki/Dan_Schulman" TargetMode="External"/><Relationship Id="rId1" Type="http://schemas.openxmlformats.org/officeDocument/2006/relationships/hyperlink" Target="https://investor.paypal-corp.com/investor-relations" TargetMode="External"/><Relationship Id="rId6" Type="http://schemas.openxmlformats.org/officeDocument/2006/relationships/hyperlink" Target="https://en.wikipedia.org/wiki/Luke_Nosek" TargetMode="External"/><Relationship Id="rId5" Type="http://schemas.openxmlformats.org/officeDocument/2006/relationships/hyperlink" Target="https://en.wikipedia.org/wiki/Max_Levchin" TargetMode="External"/><Relationship Id="rId4" Type="http://schemas.openxmlformats.org/officeDocument/2006/relationships/hyperlink" Target="https://en.wikipedia.org/wiki/Peter_Thie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1633917&amp;owner=exclude&amp;count=40&amp;hidefilings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63"/>
  <sheetViews>
    <sheetView tabSelected="1" workbookViewId="0">
      <pane xSplit="1" ySplit="12" topLeftCell="B13" activePane="bottomRight" state="frozen"/>
      <selection pane="topRight" activeCell="B1" sqref="B1"/>
      <selection pane="bottomLeft" activeCell="A11" sqref="A11"/>
      <selection pane="bottomRight" activeCell="D9" sqref="D9"/>
    </sheetView>
  </sheetViews>
  <sheetFormatPr baseColWidth="10" defaultRowHeight="13" x14ac:dyDescent="0.15"/>
  <cols>
    <col min="1" max="1" width="17.1640625" style="3" bestFit="1" customWidth="1"/>
    <col min="2" max="20" width="11" style="3" bestFit="1" customWidth="1"/>
    <col min="21" max="122" width="11" style="3" customWidth="1"/>
    <col min="123" max="16384" width="10.83203125" style="3"/>
  </cols>
  <sheetData>
    <row r="1" spans="1:17" x14ac:dyDescent="0.15">
      <c r="A1" s="1" t="s">
        <v>63</v>
      </c>
      <c r="B1" s="2" t="s">
        <v>73</v>
      </c>
    </row>
    <row r="2" spans="1:17" x14ac:dyDescent="0.15">
      <c r="B2" s="3" t="s">
        <v>64</v>
      </c>
      <c r="C2" s="4">
        <v>99.83</v>
      </c>
      <c r="D2" s="3" t="s">
        <v>103</v>
      </c>
      <c r="E2" s="5" t="s">
        <v>37</v>
      </c>
      <c r="F2" s="6">
        <v>-0.02</v>
      </c>
      <c r="H2" s="3" t="s">
        <v>4</v>
      </c>
      <c r="I2" s="28">
        <f>E19</f>
        <v>15451</v>
      </c>
    </row>
    <row r="3" spans="1:17" x14ac:dyDescent="0.15">
      <c r="A3" s="2" t="s">
        <v>65</v>
      </c>
      <c r="B3" s="3" t="s">
        <v>17</v>
      </c>
      <c r="C3" s="7">
        <f>Reports!Q22</f>
        <v>1196</v>
      </c>
      <c r="D3" s="3" t="s">
        <v>45</v>
      </c>
      <c r="E3" s="5" t="s">
        <v>38</v>
      </c>
      <c r="F3" s="6">
        <v>0.02</v>
      </c>
      <c r="G3" s="8" t="s">
        <v>66</v>
      </c>
      <c r="H3" s="3" t="s">
        <v>104</v>
      </c>
      <c r="I3" s="28">
        <f>E30</f>
        <v>2057</v>
      </c>
    </row>
    <row r="4" spans="1:17" x14ac:dyDescent="0.15">
      <c r="A4" s="9" t="s">
        <v>79</v>
      </c>
      <c r="B4" s="3" t="s">
        <v>67</v>
      </c>
      <c r="C4" s="10">
        <f>C2*C3</f>
        <v>119396.68</v>
      </c>
      <c r="E4" s="5" t="s">
        <v>39</v>
      </c>
      <c r="F4" s="6">
        <f>2%+3%</f>
        <v>0.05</v>
      </c>
      <c r="G4" s="8" t="s">
        <v>68</v>
      </c>
      <c r="H4" s="3" t="s">
        <v>105</v>
      </c>
      <c r="I4" s="17">
        <f>E38</f>
        <v>0.18000610966855057</v>
      </c>
    </row>
    <row r="5" spans="1:17" x14ac:dyDescent="0.15">
      <c r="B5" s="3" t="s">
        <v>33</v>
      </c>
      <c r="C5" s="7">
        <f>Reports!Q33</f>
        <v>8082</v>
      </c>
      <c r="D5" s="3" t="s">
        <v>45</v>
      </c>
      <c r="E5" s="5" t="s">
        <v>40</v>
      </c>
      <c r="F5" s="11">
        <f>NPV(F4,F30:DR30)</f>
        <v>176078.16118790201</v>
      </c>
      <c r="G5" s="8" t="s">
        <v>69</v>
      </c>
      <c r="H5" s="3" t="s">
        <v>106</v>
      </c>
      <c r="I5" s="17">
        <f>E34</f>
        <v>0.5563393955083813</v>
      </c>
    </row>
    <row r="6" spans="1:17" x14ac:dyDescent="0.15">
      <c r="A6" s="2" t="s">
        <v>70</v>
      </c>
      <c r="B6" s="3" t="s">
        <v>71</v>
      </c>
      <c r="C6" s="10">
        <f>C4-C5</f>
        <v>111314.68</v>
      </c>
      <c r="E6" s="12" t="s">
        <v>41</v>
      </c>
      <c r="F6" s="13">
        <f>F5+C5</f>
        <v>184160.16118790201</v>
      </c>
      <c r="H6" s="3" t="s">
        <v>107</v>
      </c>
      <c r="I6" s="17">
        <f>E35</f>
        <v>0.1419972817293379</v>
      </c>
    </row>
    <row r="7" spans="1:17" x14ac:dyDescent="0.15">
      <c r="A7" s="9" t="s">
        <v>74</v>
      </c>
      <c r="B7" s="8" t="s">
        <v>72</v>
      </c>
      <c r="C7" s="14">
        <f>C6/C3</f>
        <v>93.072474916387961</v>
      </c>
      <c r="E7" s="15" t="s">
        <v>72</v>
      </c>
      <c r="F7" s="16">
        <f>F6/C3</f>
        <v>153.98006788286122</v>
      </c>
      <c r="G7" s="17">
        <f>F7/C2-1</f>
        <v>0.54242279758450596</v>
      </c>
    </row>
    <row r="8" spans="1:17" x14ac:dyDescent="0.15">
      <c r="A8" s="9" t="s">
        <v>75</v>
      </c>
      <c r="E8" s="5"/>
      <c r="F8" s="18"/>
    </row>
    <row r="9" spans="1:17" x14ac:dyDescent="0.15">
      <c r="A9" s="9" t="s">
        <v>76</v>
      </c>
      <c r="E9" s="5"/>
      <c r="F9" s="18"/>
    </row>
    <row r="10" spans="1:17" x14ac:dyDescent="0.15">
      <c r="A10" s="9" t="s">
        <v>77</v>
      </c>
      <c r="E10" s="5"/>
      <c r="F10" s="18"/>
    </row>
    <row r="11" spans="1:17" x14ac:dyDescent="0.15">
      <c r="A11" s="9" t="s">
        <v>78</v>
      </c>
      <c r="E11" s="5"/>
      <c r="F11" s="18"/>
    </row>
    <row r="12" spans="1:17" x14ac:dyDescent="0.15">
      <c r="B12" s="3">
        <v>2015</v>
      </c>
      <c r="C12" s="3">
        <v>2016</v>
      </c>
      <c r="D12" s="3">
        <v>2017</v>
      </c>
      <c r="E12" s="3">
        <f>D12+1</f>
        <v>2018</v>
      </c>
      <c r="F12" s="3">
        <f t="shared" ref="F12:Q12" si="0">E12+1</f>
        <v>2019</v>
      </c>
      <c r="G12" s="3">
        <f t="shared" si="0"/>
        <v>2020</v>
      </c>
      <c r="H12" s="3">
        <f t="shared" si="0"/>
        <v>2021</v>
      </c>
      <c r="I12" s="3">
        <f t="shared" si="0"/>
        <v>2022</v>
      </c>
      <c r="J12" s="3">
        <f t="shared" si="0"/>
        <v>2023</v>
      </c>
      <c r="K12" s="3">
        <f t="shared" si="0"/>
        <v>2024</v>
      </c>
      <c r="L12" s="3">
        <f t="shared" si="0"/>
        <v>2025</v>
      </c>
      <c r="M12" s="3">
        <f t="shared" si="0"/>
        <v>2026</v>
      </c>
      <c r="N12" s="3">
        <f t="shared" si="0"/>
        <v>2027</v>
      </c>
      <c r="O12" s="3">
        <f t="shared" si="0"/>
        <v>2028</v>
      </c>
      <c r="P12" s="3">
        <f t="shared" si="0"/>
        <v>2029</v>
      </c>
      <c r="Q12" s="3">
        <f t="shared" si="0"/>
        <v>2030</v>
      </c>
    </row>
    <row r="13" spans="1:17" x14ac:dyDescent="0.15">
      <c r="A13" s="3" t="s">
        <v>61</v>
      </c>
      <c r="B13" s="7">
        <f>SUM(Reports!B3:E3)</f>
        <v>8128</v>
      </c>
      <c r="C13" s="7">
        <f>SUM(Reports!F3:I3)</f>
        <v>9490</v>
      </c>
      <c r="D13" s="28">
        <f>SUM(Reports!J3:M3)</f>
        <v>11478</v>
      </c>
      <c r="E13" s="28">
        <f>SUM(Reports!N3:Q3)</f>
        <v>13709</v>
      </c>
    </row>
    <row r="14" spans="1:17" x14ac:dyDescent="0.15">
      <c r="A14" s="3" t="s">
        <v>62</v>
      </c>
      <c r="B14" s="7">
        <f>SUM(Reports!B4:E4)</f>
        <v>1120</v>
      </c>
      <c r="C14" s="7">
        <f>SUM(Reports!F4:I4)</f>
        <v>1352</v>
      </c>
      <c r="D14" s="28">
        <f>SUM(Reports!J4:M4)</f>
        <v>1616</v>
      </c>
      <c r="E14" s="28">
        <f>SUM(Reports!N4:Q4)</f>
        <v>1742</v>
      </c>
    </row>
    <row r="15" spans="1:17" x14ac:dyDescent="0.15">
      <c r="B15" s="7"/>
      <c r="C15" s="7"/>
    </row>
    <row r="16" spans="1:17" s="28" customFormat="1" x14ac:dyDescent="0.15">
      <c r="A16" s="28" t="s">
        <v>59</v>
      </c>
      <c r="B16" s="7">
        <f>Reports!E6</f>
        <v>179</v>
      </c>
      <c r="C16" s="7">
        <f>Reports!I6</f>
        <v>197</v>
      </c>
      <c r="D16" s="28">
        <f>Reports!M6</f>
        <v>227</v>
      </c>
      <c r="E16" s="28">
        <f>Reports!Q6</f>
        <v>267</v>
      </c>
      <c r="F16" s="28">
        <f>E16*1.2</f>
        <v>320.39999999999998</v>
      </c>
      <c r="G16" s="28">
        <f t="shared" ref="G16:J16" si="1">F16*1.2</f>
        <v>384.47999999999996</v>
      </c>
      <c r="H16" s="28">
        <f t="shared" si="1"/>
        <v>461.37599999999992</v>
      </c>
      <c r="I16" s="28">
        <f t="shared" si="1"/>
        <v>553.6511999999999</v>
      </c>
      <c r="J16" s="28">
        <f t="shared" si="1"/>
        <v>664.38143999999988</v>
      </c>
    </row>
    <row r="17" spans="1:122" s="28" customFormat="1" x14ac:dyDescent="0.15">
      <c r="A17" s="28" t="s">
        <v>80</v>
      </c>
      <c r="B17" s="10">
        <f>SUM(B13:B14)/B16</f>
        <v>51.66480446927374</v>
      </c>
      <c r="C17" s="10">
        <f>SUM(C13:C14)/C16</f>
        <v>55.035532994923855</v>
      </c>
      <c r="D17" s="10">
        <f>SUM(D13:D14)/D16</f>
        <v>57.682819383259911</v>
      </c>
      <c r="E17" s="10">
        <f>SUM(E13:E14)/E16</f>
        <v>57.868913857677903</v>
      </c>
      <c r="F17" s="28">
        <f>E17*0.98</f>
        <v>56.711535580524341</v>
      </c>
      <c r="G17" s="28">
        <f t="shared" ref="G17:J17" si="2">F17*0.98</f>
        <v>55.577304868913856</v>
      </c>
      <c r="H17" s="28">
        <f t="shared" si="2"/>
        <v>54.465758771535576</v>
      </c>
      <c r="I17" s="28">
        <f t="shared" si="2"/>
        <v>53.376443596104863</v>
      </c>
      <c r="J17" s="28">
        <f t="shared" si="2"/>
        <v>52.308914724182763</v>
      </c>
    </row>
    <row r="18" spans="1:122" x14ac:dyDescent="0.15">
      <c r="F18" s="81" t="s">
        <v>102</v>
      </c>
    </row>
    <row r="19" spans="1:122" x14ac:dyDescent="0.15">
      <c r="A19" s="2" t="s">
        <v>4</v>
      </c>
      <c r="B19" s="24">
        <f>B16*B17</f>
        <v>9248</v>
      </c>
      <c r="C19" s="24">
        <f>C16*C17</f>
        <v>10842</v>
      </c>
      <c r="D19" s="24">
        <f>D16*D17</f>
        <v>13094</v>
      </c>
      <c r="E19" s="24">
        <f>E16*E17</f>
        <v>15451</v>
      </c>
      <c r="F19" s="19">
        <f>F16*F17</f>
        <v>18170.375999999997</v>
      </c>
      <c r="G19" s="19">
        <f t="shared" ref="G19:J19" si="3">G16*G17</f>
        <v>21368.362175999999</v>
      </c>
      <c r="H19" s="19">
        <f t="shared" si="3"/>
        <v>25129.193918975994</v>
      </c>
      <c r="I19" s="19">
        <f t="shared" si="3"/>
        <v>29551.932048715767</v>
      </c>
      <c r="J19" s="19">
        <f t="shared" si="3"/>
        <v>34753.072089289744</v>
      </c>
      <c r="K19" s="19">
        <f t="shared" ref="K19:Q19" si="4">J19*1.05</f>
        <v>36490.725693754233</v>
      </c>
      <c r="L19" s="19">
        <f t="shared" si="4"/>
        <v>38315.261978441944</v>
      </c>
      <c r="M19" s="19">
        <f t="shared" si="4"/>
        <v>40231.025077364044</v>
      </c>
      <c r="N19" s="19">
        <f t="shared" si="4"/>
        <v>42242.576331232245</v>
      </c>
      <c r="O19" s="19">
        <f t="shared" si="4"/>
        <v>44354.705147793858</v>
      </c>
      <c r="P19" s="19">
        <f t="shared" si="4"/>
        <v>46572.440405183552</v>
      </c>
      <c r="Q19" s="19">
        <f t="shared" si="4"/>
        <v>48901.062425442731</v>
      </c>
      <c r="R19" s="19"/>
      <c r="S19" s="19"/>
      <c r="T19" s="19"/>
      <c r="U19" s="19"/>
      <c r="V19" s="19"/>
    </row>
    <row r="20" spans="1:122" x14ac:dyDescent="0.15">
      <c r="A20" s="3" t="s">
        <v>5</v>
      </c>
      <c r="B20" s="7">
        <f>SUM(Reports!B10:E10)</f>
        <v>3419</v>
      </c>
      <c r="C20" s="7">
        <f>SUM(Reports!F10:I10)</f>
        <v>4434</v>
      </c>
      <c r="D20" s="28">
        <f>SUM(Reports!J10:M10)</f>
        <v>5430</v>
      </c>
      <c r="E20" s="28">
        <f>SUM(Reports!N10:Q10)</f>
        <v>6855</v>
      </c>
      <c r="F20" s="7">
        <f t="shared" ref="F20" si="5">F19-F21</f>
        <v>8061.48</v>
      </c>
      <c r="G20" s="7">
        <f>G19-G21</f>
        <v>9480.3004799999999</v>
      </c>
      <c r="H20" s="7">
        <f t="shared" ref="H20" si="6">H19-H21</f>
        <v>11148.833364479999</v>
      </c>
      <c r="I20" s="7">
        <f t="shared" ref="I20" si="7">I19-I21</f>
        <v>13111.028036628479</v>
      </c>
      <c r="J20" s="7">
        <f t="shared" ref="J20" si="8">J19-J21</f>
        <v>15418.568971075088</v>
      </c>
      <c r="K20" s="7">
        <f t="shared" ref="K20" si="9">K19-K21</f>
        <v>16189.497419628846</v>
      </c>
      <c r="L20" s="7">
        <f t="shared" ref="L20" si="10">L19-L21</f>
        <v>16998.972290610287</v>
      </c>
      <c r="M20" s="7">
        <f t="shared" ref="M20" si="11">M19-M21</f>
        <v>17848.920905140803</v>
      </c>
      <c r="N20" s="7">
        <f t="shared" ref="N20" si="12">N19-N21</f>
        <v>18741.366950397842</v>
      </c>
      <c r="O20" s="7">
        <f t="shared" ref="O20" si="13">O19-O21</f>
        <v>19678.435297917735</v>
      </c>
      <c r="P20" s="7">
        <f t="shared" ref="P20" si="14">P19-P21</f>
        <v>20662.357062813622</v>
      </c>
      <c r="Q20" s="7">
        <f t="shared" ref="Q20" si="15">Q19-Q21</f>
        <v>21695.474915954303</v>
      </c>
      <c r="R20" s="7"/>
      <c r="S20" s="7"/>
      <c r="T20" s="7"/>
      <c r="U20" s="7"/>
      <c r="V20" s="7"/>
    </row>
    <row r="21" spans="1:122" x14ac:dyDescent="0.15">
      <c r="A21" s="3" t="s">
        <v>6</v>
      </c>
      <c r="B21" s="10">
        <f>B19-B20</f>
        <v>5829</v>
      </c>
      <c r="C21" s="10">
        <f>C19-C20</f>
        <v>6408</v>
      </c>
      <c r="D21" s="10">
        <f>D19-D20</f>
        <v>7664</v>
      </c>
      <c r="E21" s="10">
        <f>E19-E20</f>
        <v>8596</v>
      </c>
      <c r="F21" s="7">
        <f t="shared" ref="F21:Q21" si="16">F19*E34</f>
        <v>10108.895999999997</v>
      </c>
      <c r="G21" s="7">
        <f t="shared" si="16"/>
        <v>11888.061695999999</v>
      </c>
      <c r="H21" s="7">
        <f t="shared" si="16"/>
        <v>13980.360554495996</v>
      </c>
      <c r="I21" s="7">
        <f t="shared" si="16"/>
        <v>16440.904012087289</v>
      </c>
      <c r="J21" s="7">
        <f t="shared" si="16"/>
        <v>19334.503118214656</v>
      </c>
      <c r="K21" s="7">
        <f t="shared" si="16"/>
        <v>20301.228274125388</v>
      </c>
      <c r="L21" s="7">
        <f t="shared" si="16"/>
        <v>21316.289687831657</v>
      </c>
      <c r="M21" s="7">
        <f t="shared" si="16"/>
        <v>22382.10417222324</v>
      </c>
      <c r="N21" s="7">
        <f t="shared" si="16"/>
        <v>23501.209380834403</v>
      </c>
      <c r="O21" s="7">
        <f t="shared" si="16"/>
        <v>24676.269849876124</v>
      </c>
      <c r="P21" s="7">
        <f t="shared" si="16"/>
        <v>25910.08334236993</v>
      </c>
      <c r="Q21" s="7">
        <f t="shared" si="16"/>
        <v>27205.587509488429</v>
      </c>
      <c r="R21" s="7"/>
      <c r="S21" s="7"/>
      <c r="T21" s="7"/>
      <c r="U21" s="7"/>
      <c r="V21" s="7"/>
    </row>
    <row r="22" spans="1:122" x14ac:dyDescent="0.15">
      <c r="A22" s="3" t="s">
        <v>7</v>
      </c>
      <c r="B22" s="7">
        <f>SUM(Reports!B12:E12)</f>
        <v>825</v>
      </c>
      <c r="C22" s="7">
        <f>SUM(Reports!F12:I12)</f>
        <v>834</v>
      </c>
      <c r="D22" s="28">
        <f>SUM(Reports!J12:M12)</f>
        <v>953</v>
      </c>
      <c r="E22" s="28">
        <f>SUM(Reports!N12:Q12)</f>
        <v>1071</v>
      </c>
      <c r="F22" s="7">
        <f>E22*1.1</f>
        <v>1178.1000000000001</v>
      </c>
      <c r="G22" s="7">
        <f t="shared" ref="G22:J22" si="17">F22*1.1</f>
        <v>1295.9100000000003</v>
      </c>
      <c r="H22" s="7">
        <f t="shared" si="17"/>
        <v>1425.5010000000004</v>
      </c>
      <c r="I22" s="7">
        <f t="shared" si="17"/>
        <v>1568.0511000000006</v>
      </c>
      <c r="J22" s="7">
        <f t="shared" si="17"/>
        <v>1724.8562100000008</v>
      </c>
      <c r="K22" s="7">
        <f>J22*0.98</f>
        <v>1690.3590858000007</v>
      </c>
      <c r="L22" s="7">
        <f t="shared" ref="L22:Q22" si="18">K22*0.98</f>
        <v>1656.5519040840006</v>
      </c>
      <c r="M22" s="7">
        <f t="shared" si="18"/>
        <v>1623.4208660023205</v>
      </c>
      <c r="N22" s="7">
        <f t="shared" si="18"/>
        <v>1590.9524486822741</v>
      </c>
      <c r="O22" s="7">
        <f t="shared" si="18"/>
        <v>1559.1333997086285</v>
      </c>
      <c r="P22" s="7">
        <f t="shared" si="18"/>
        <v>1527.950731714456</v>
      </c>
      <c r="Q22" s="7">
        <f t="shared" si="18"/>
        <v>1497.3917170801669</v>
      </c>
      <c r="R22" s="7"/>
      <c r="S22" s="7"/>
      <c r="T22" s="7"/>
      <c r="U22" s="7"/>
      <c r="V22" s="7"/>
    </row>
    <row r="23" spans="1:122" x14ac:dyDescent="0.15">
      <c r="A23" s="3" t="s">
        <v>8</v>
      </c>
      <c r="B23" s="7">
        <f>SUM(Reports!B13:E13)</f>
        <v>2089</v>
      </c>
      <c r="C23" s="7">
        <f>SUM(Reports!F13:I13)</f>
        <v>2236</v>
      </c>
      <c r="D23" s="28">
        <f>SUM(Reports!J13:M13)</f>
        <v>2492</v>
      </c>
      <c r="E23" s="28">
        <f>SUM(Reports!N13:Q13)</f>
        <v>2795</v>
      </c>
      <c r="F23" s="7">
        <f t="shared" ref="F23" si="19">E23*1.1</f>
        <v>3074.5000000000005</v>
      </c>
      <c r="G23" s="7">
        <f t="shared" ref="G23" si="20">F23*1.1</f>
        <v>3381.9500000000007</v>
      </c>
      <c r="H23" s="7">
        <f t="shared" ref="H23" si="21">G23*1.1</f>
        <v>3720.1450000000009</v>
      </c>
      <c r="I23" s="7">
        <f t="shared" ref="I23:J23" si="22">H23*1.1</f>
        <v>4092.1595000000011</v>
      </c>
      <c r="J23" s="7">
        <f t="shared" si="22"/>
        <v>4501.3754500000014</v>
      </c>
      <c r="K23" s="7">
        <f t="shared" ref="K23:M23" si="23">J23*1.02</f>
        <v>4591.4029590000018</v>
      </c>
      <c r="L23" s="7">
        <f t="shared" si="23"/>
        <v>4683.2310181800021</v>
      </c>
      <c r="M23" s="7">
        <f t="shared" si="23"/>
        <v>4776.8956385436022</v>
      </c>
      <c r="N23" s="7">
        <f t="shared" ref="N23:Q23" si="24">M23*1.02</f>
        <v>4872.4335513144742</v>
      </c>
      <c r="O23" s="7">
        <f t="shared" si="24"/>
        <v>4969.8822223407642</v>
      </c>
      <c r="P23" s="7">
        <f t="shared" si="24"/>
        <v>5069.2798667875795</v>
      </c>
      <c r="Q23" s="7">
        <f t="shared" si="24"/>
        <v>5170.6654641233308</v>
      </c>
      <c r="R23" s="7"/>
      <c r="S23" s="7"/>
      <c r="T23" s="7"/>
      <c r="U23" s="7"/>
      <c r="V23" s="7"/>
    </row>
    <row r="24" spans="1:122" x14ac:dyDescent="0.15">
      <c r="A24" s="3" t="s">
        <v>9</v>
      </c>
      <c r="B24" s="7">
        <f>SUM(Reports!B14:E14)</f>
        <v>1454</v>
      </c>
      <c r="C24" s="7">
        <f>SUM(Reports!F14:I14)</f>
        <v>1752</v>
      </c>
      <c r="D24" s="28">
        <f>SUM(Reports!J14:M14)</f>
        <v>2092</v>
      </c>
      <c r="E24" s="28">
        <f>SUM(Reports!N14:Q14)</f>
        <v>2536</v>
      </c>
      <c r="F24" s="7">
        <f>E24*1.2</f>
        <v>3043.2</v>
      </c>
      <c r="G24" s="7">
        <f t="shared" ref="G24:J24" si="25">F24*1.2</f>
        <v>3651.8399999999997</v>
      </c>
      <c r="H24" s="7">
        <f t="shared" si="25"/>
        <v>4382.2079999999996</v>
      </c>
      <c r="I24" s="7">
        <f t="shared" si="25"/>
        <v>5258.6495999999997</v>
      </c>
      <c r="J24" s="7">
        <f t="shared" si="25"/>
        <v>6310.3795199999995</v>
      </c>
      <c r="K24" s="7">
        <f t="shared" ref="K24:Q24" si="26">J24*0.98</f>
        <v>6184.1719295999992</v>
      </c>
      <c r="L24" s="7">
        <f t="shared" si="26"/>
        <v>6060.4884910079991</v>
      </c>
      <c r="M24" s="7">
        <f t="shared" si="26"/>
        <v>5939.2787211878394</v>
      </c>
      <c r="N24" s="7">
        <f t="shared" si="26"/>
        <v>5820.4931467640827</v>
      </c>
      <c r="O24" s="7">
        <f t="shared" si="26"/>
        <v>5704.0832838288006</v>
      </c>
      <c r="P24" s="7">
        <f t="shared" si="26"/>
        <v>5590.0016181522242</v>
      </c>
      <c r="Q24" s="7">
        <f t="shared" si="26"/>
        <v>5478.2015857891793</v>
      </c>
      <c r="R24" s="7"/>
      <c r="S24" s="7"/>
      <c r="T24" s="7"/>
      <c r="U24" s="7"/>
      <c r="V24" s="7"/>
    </row>
    <row r="25" spans="1:122" x14ac:dyDescent="0.15">
      <c r="A25" s="3" t="s">
        <v>10</v>
      </c>
      <c r="B25" s="10">
        <f>SUM(B22:B24)</f>
        <v>4368</v>
      </c>
      <c r="C25" s="10">
        <f>SUM(C22:C24)</f>
        <v>4822</v>
      </c>
      <c r="D25" s="10">
        <f>SUM(D22:D24)</f>
        <v>5537</v>
      </c>
      <c r="E25" s="10">
        <f>SUM(E22:E24)</f>
        <v>6402</v>
      </c>
      <c r="F25" s="7">
        <f t="shared" ref="F25:G25" si="27">SUM(F22:F24)</f>
        <v>7295.8</v>
      </c>
      <c r="G25" s="7">
        <f t="shared" si="27"/>
        <v>8329.7000000000007</v>
      </c>
      <c r="H25" s="7">
        <f t="shared" ref="H25" si="28">SUM(H22:H24)</f>
        <v>9527.8540000000012</v>
      </c>
      <c r="I25" s="7">
        <f t="shared" ref="I25" si="29">SUM(I22:I24)</f>
        <v>10918.860200000003</v>
      </c>
      <c r="J25" s="7">
        <f t="shared" ref="J25" si="30">SUM(J22:J24)</f>
        <v>12536.611180000002</v>
      </c>
      <c r="K25" s="7">
        <f t="shared" ref="K25" si="31">SUM(K22:K24)</f>
        <v>12465.933974400003</v>
      </c>
      <c r="L25" s="7">
        <f t="shared" ref="L25" si="32">SUM(L22:L24)</f>
        <v>12400.271413272003</v>
      </c>
      <c r="M25" s="7">
        <f t="shared" ref="M25" si="33">SUM(M22:M24)</f>
        <v>12339.595225733763</v>
      </c>
      <c r="N25" s="7">
        <f t="shared" ref="N25" si="34">SUM(N22:N24)</f>
        <v>12283.879146760832</v>
      </c>
      <c r="O25" s="7">
        <f t="shared" ref="O25" si="35">SUM(O22:O24)</f>
        <v>12233.098905878192</v>
      </c>
      <c r="P25" s="7">
        <f t="shared" ref="P25" si="36">SUM(P22:P24)</f>
        <v>12187.23221665426</v>
      </c>
      <c r="Q25" s="7">
        <f t="shared" ref="Q25" si="37">SUM(Q22:Q24)</f>
        <v>12146.258766992676</v>
      </c>
      <c r="R25" s="7"/>
      <c r="S25" s="7"/>
      <c r="T25" s="7"/>
      <c r="U25" s="7"/>
      <c r="V25" s="7"/>
    </row>
    <row r="26" spans="1:122" x14ac:dyDescent="0.15">
      <c r="A26" s="3" t="s">
        <v>11</v>
      </c>
      <c r="B26" s="10">
        <f>B21-B25</f>
        <v>1461</v>
      </c>
      <c r="C26" s="10">
        <f>C21-C25</f>
        <v>1586</v>
      </c>
      <c r="D26" s="10">
        <f>D21-D25</f>
        <v>2127</v>
      </c>
      <c r="E26" s="10">
        <f>E21-E25</f>
        <v>2194</v>
      </c>
      <c r="F26" s="7">
        <f t="shared" ref="F26:G26" si="38">F21-F25</f>
        <v>2813.0959999999968</v>
      </c>
      <c r="G26" s="7">
        <f t="shared" si="38"/>
        <v>3558.3616959999981</v>
      </c>
      <c r="H26" s="7">
        <f t="shared" ref="H26" si="39">H21-H25</f>
        <v>4452.5065544959944</v>
      </c>
      <c r="I26" s="7">
        <f t="shared" ref="I26" si="40">I21-I25</f>
        <v>5522.0438120872859</v>
      </c>
      <c r="J26" s="7">
        <f t="shared" ref="J26" si="41">J21-J25</f>
        <v>6797.8919382146541</v>
      </c>
      <c r="K26" s="7">
        <f t="shared" ref="K26" si="42">K21-K25</f>
        <v>7835.2942997253849</v>
      </c>
      <c r="L26" s="7">
        <f t="shared" ref="L26" si="43">L21-L25</f>
        <v>8916.0182745596539</v>
      </c>
      <c r="M26" s="7">
        <f t="shared" ref="M26" si="44">M21-M25</f>
        <v>10042.508946489477</v>
      </c>
      <c r="N26" s="7">
        <f t="shared" ref="N26" si="45">N21-N25</f>
        <v>11217.330234073572</v>
      </c>
      <c r="O26" s="7">
        <f t="shared" ref="O26" si="46">O21-O25</f>
        <v>12443.170943997931</v>
      </c>
      <c r="P26" s="7">
        <f t="shared" ref="P26" si="47">P21-P25</f>
        <v>13722.85112571567</v>
      </c>
      <c r="Q26" s="7">
        <f t="shared" ref="Q26" si="48">Q21-Q25</f>
        <v>15059.328742495753</v>
      </c>
      <c r="R26" s="7"/>
      <c r="S26" s="7"/>
      <c r="T26" s="7"/>
      <c r="U26" s="7"/>
      <c r="V26" s="7"/>
    </row>
    <row r="27" spans="1:122" x14ac:dyDescent="0.15">
      <c r="A27" s="3" t="s">
        <v>12</v>
      </c>
      <c r="B27" s="7">
        <f>SUM(Reports!B17:E17)</f>
        <v>27</v>
      </c>
      <c r="C27" s="7">
        <f>SUM(Reports!F17:I17)</f>
        <v>45</v>
      </c>
      <c r="D27" s="28">
        <f>SUM(Reports!J17:M17)</f>
        <v>73</v>
      </c>
      <c r="E27" s="28">
        <f>SUM(Reports!N17:Q17)</f>
        <v>182</v>
      </c>
      <c r="F27" s="7">
        <f>E43*$F$3</f>
        <v>161.64000000000001</v>
      </c>
      <c r="G27" s="7">
        <f t="shared" ref="G27:Q27" si="49">F43*$F$3</f>
        <v>212.21051199999994</v>
      </c>
      <c r="H27" s="7">
        <f t="shared" si="49"/>
        <v>276.31023953599993</v>
      </c>
      <c r="I27" s="7">
        <f t="shared" si="49"/>
        <v>356.70012503454382</v>
      </c>
      <c r="J27" s="7">
        <f t="shared" si="49"/>
        <v>456.63877196561498</v>
      </c>
      <c r="K27" s="7">
        <f t="shared" si="49"/>
        <v>579.96579403867952</v>
      </c>
      <c r="L27" s="7">
        <f t="shared" si="49"/>
        <v>723.02521563266862</v>
      </c>
      <c r="M27" s="7">
        <f t="shared" si="49"/>
        <v>886.88895496593807</v>
      </c>
      <c r="N27" s="7">
        <f t="shared" si="49"/>
        <v>1072.68871929068</v>
      </c>
      <c r="O27" s="7">
        <f t="shared" si="49"/>
        <v>1281.6190414978723</v>
      </c>
      <c r="P27" s="7">
        <f t="shared" si="49"/>
        <v>1514.940471251301</v>
      </c>
      <c r="Q27" s="7">
        <f t="shared" si="49"/>
        <v>1773.9829283997396</v>
      </c>
      <c r="R27" s="7"/>
      <c r="S27" s="7"/>
      <c r="T27" s="7"/>
      <c r="U27" s="7"/>
      <c r="V27" s="7"/>
    </row>
    <row r="28" spans="1:122" x14ac:dyDescent="0.15">
      <c r="A28" s="3" t="s">
        <v>13</v>
      </c>
      <c r="B28" s="10">
        <f>SUM(Reports!B18:E18)</f>
        <v>1488</v>
      </c>
      <c r="C28" s="10">
        <f>C26+C27</f>
        <v>1631</v>
      </c>
      <c r="D28" s="10">
        <f>D26+D27</f>
        <v>2200</v>
      </c>
      <c r="E28" s="10">
        <f>E26+E27</f>
        <v>2376</v>
      </c>
      <c r="F28" s="7">
        <f t="shared" ref="F28:G28" si="50">F26+F27</f>
        <v>2974.7359999999967</v>
      </c>
      <c r="G28" s="7">
        <f t="shared" si="50"/>
        <v>3770.5722079999982</v>
      </c>
      <c r="H28" s="7">
        <f t="shared" ref="H28" si="51">H26+H27</f>
        <v>4728.8167940319945</v>
      </c>
      <c r="I28" s="7">
        <f t="shared" ref="I28" si="52">I26+I27</f>
        <v>5878.7439371218297</v>
      </c>
      <c r="J28" s="7">
        <f t="shared" ref="J28" si="53">J26+J27</f>
        <v>7254.5307101802691</v>
      </c>
      <c r="K28" s="7">
        <f t="shared" ref="K28" si="54">K26+K27</f>
        <v>8415.2600937640636</v>
      </c>
      <c r="L28" s="7">
        <f t="shared" ref="L28" si="55">L26+L27</f>
        <v>9639.0434901923218</v>
      </c>
      <c r="M28" s="7">
        <f t="shared" ref="M28" si="56">M26+M27</f>
        <v>10929.397901455415</v>
      </c>
      <c r="N28" s="7">
        <f t="shared" ref="N28" si="57">N26+N27</f>
        <v>12290.018953364252</v>
      </c>
      <c r="O28" s="7">
        <f t="shared" ref="O28" si="58">O26+O27</f>
        <v>13724.789985495803</v>
      </c>
      <c r="P28" s="7">
        <f t="shared" ref="P28" si="59">P26+P27</f>
        <v>15237.79159696697</v>
      </c>
      <c r="Q28" s="7">
        <f t="shared" ref="Q28" si="60">Q26+Q27</f>
        <v>16833.311670895491</v>
      </c>
      <c r="R28" s="7"/>
      <c r="S28" s="7"/>
      <c r="T28" s="7"/>
      <c r="U28" s="7"/>
      <c r="V28" s="7"/>
    </row>
    <row r="29" spans="1:122" x14ac:dyDescent="0.15">
      <c r="A29" s="3" t="s">
        <v>14</v>
      </c>
      <c r="B29" s="7">
        <f>SUM(Reports!B19:E19)</f>
        <v>260</v>
      </c>
      <c r="C29" s="7">
        <f>SUM(Reports!F19:I19)</f>
        <v>230</v>
      </c>
      <c r="D29" s="28">
        <f>SUM(Reports!J19:M19)</f>
        <v>405</v>
      </c>
      <c r="E29" s="28">
        <f>SUM(Reports!N19:Q19)</f>
        <v>319</v>
      </c>
      <c r="F29" s="7">
        <f>F28*0.15</f>
        <v>446.21039999999948</v>
      </c>
      <c r="G29" s="7">
        <f t="shared" ref="G29:Q29" si="61">G28*0.15</f>
        <v>565.58583119999969</v>
      </c>
      <c r="H29" s="7">
        <f t="shared" si="61"/>
        <v>709.3225191047992</v>
      </c>
      <c r="I29" s="7">
        <f t="shared" si="61"/>
        <v>881.81159056827448</v>
      </c>
      <c r="J29" s="7">
        <f t="shared" si="61"/>
        <v>1088.1796065270403</v>
      </c>
      <c r="K29" s="7">
        <f t="shared" si="61"/>
        <v>1262.2890140646095</v>
      </c>
      <c r="L29" s="7">
        <f t="shared" si="61"/>
        <v>1445.8565235288481</v>
      </c>
      <c r="M29" s="7">
        <f t="shared" si="61"/>
        <v>1639.4096852183122</v>
      </c>
      <c r="N29" s="7">
        <f t="shared" si="61"/>
        <v>1843.5028430046377</v>
      </c>
      <c r="O29" s="7">
        <f t="shared" si="61"/>
        <v>2058.7184978243704</v>
      </c>
      <c r="P29" s="7">
        <f t="shared" si="61"/>
        <v>2285.6687395450454</v>
      </c>
      <c r="Q29" s="7">
        <f t="shared" si="61"/>
        <v>2524.9967506343237</v>
      </c>
      <c r="R29" s="7"/>
      <c r="S29" s="7"/>
      <c r="T29" s="7"/>
      <c r="U29" s="7"/>
      <c r="V29" s="7"/>
    </row>
    <row r="30" spans="1:122" s="2" customFormat="1" x14ac:dyDescent="0.15">
      <c r="A30" s="2" t="s">
        <v>15</v>
      </c>
      <c r="B30" s="24">
        <f>B28-B29</f>
        <v>1228</v>
      </c>
      <c r="C30" s="24">
        <f>C28-C29</f>
        <v>1401</v>
      </c>
      <c r="D30" s="24">
        <f>D28-D29</f>
        <v>1795</v>
      </c>
      <c r="E30" s="24">
        <f t="shared" ref="E30:G30" si="62">E28-E29</f>
        <v>2057</v>
      </c>
      <c r="F30" s="24">
        <f t="shared" si="62"/>
        <v>2528.5255999999972</v>
      </c>
      <c r="G30" s="24">
        <f t="shared" si="62"/>
        <v>3204.9863767999987</v>
      </c>
      <c r="H30" s="24">
        <f t="shared" ref="H30" si="63">H28-H29</f>
        <v>4019.4942749271954</v>
      </c>
      <c r="I30" s="24">
        <f t="shared" ref="I30" si="64">I28-I29</f>
        <v>4996.9323465535554</v>
      </c>
      <c r="J30" s="24">
        <f t="shared" ref="J30" si="65">J28-J29</f>
        <v>6166.3511036532291</v>
      </c>
      <c r="K30" s="24">
        <f t="shared" ref="K30" si="66">K28-K29</f>
        <v>7152.9710796994541</v>
      </c>
      <c r="L30" s="24">
        <f t="shared" ref="L30" si="67">L28-L29</f>
        <v>8193.1869666634739</v>
      </c>
      <c r="M30" s="24">
        <f t="shared" ref="M30" si="68">M28-M29</f>
        <v>9289.9882162371032</v>
      </c>
      <c r="N30" s="24">
        <f t="shared" ref="N30" si="69">N28-N29</f>
        <v>10446.516110359615</v>
      </c>
      <c r="O30" s="24">
        <f t="shared" ref="O30" si="70">O28-O29</f>
        <v>11666.071487671434</v>
      </c>
      <c r="P30" s="24">
        <f t="shared" ref="P30" si="71">P28-P29</f>
        <v>12952.122857421924</v>
      </c>
      <c r="Q30" s="24">
        <f t="shared" ref="Q30" si="72">Q28-Q29</f>
        <v>14308.314920261168</v>
      </c>
      <c r="R30" s="24">
        <f>Q30*($F$2+1)</f>
        <v>14022.148621855944</v>
      </c>
      <c r="S30" s="24">
        <f t="shared" ref="S30:CD30" si="73">R30*($F$2+1)</f>
        <v>13741.705649418825</v>
      </c>
      <c r="T30" s="24">
        <f t="shared" si="73"/>
        <v>13466.871536430448</v>
      </c>
      <c r="U30" s="24">
        <f t="shared" si="73"/>
        <v>13197.53410570184</v>
      </c>
      <c r="V30" s="24">
        <f t="shared" si="73"/>
        <v>12933.583423587803</v>
      </c>
      <c r="W30" s="24">
        <f t="shared" si="73"/>
        <v>12674.911755116047</v>
      </c>
      <c r="X30" s="24">
        <f t="shared" si="73"/>
        <v>12421.413520013726</v>
      </c>
      <c r="Y30" s="24">
        <f t="shared" si="73"/>
        <v>12172.985249613452</v>
      </c>
      <c r="Z30" s="24">
        <f t="shared" si="73"/>
        <v>11929.525544621183</v>
      </c>
      <c r="AA30" s="24">
        <f t="shared" si="73"/>
        <v>11690.93503372876</v>
      </c>
      <c r="AB30" s="24">
        <f t="shared" si="73"/>
        <v>11457.116333054184</v>
      </c>
      <c r="AC30" s="24">
        <f t="shared" si="73"/>
        <v>11227.9740063931</v>
      </c>
      <c r="AD30" s="24">
        <f t="shared" si="73"/>
        <v>11003.414526265238</v>
      </c>
      <c r="AE30" s="24">
        <f t="shared" si="73"/>
        <v>10783.346235739933</v>
      </c>
      <c r="AF30" s="24">
        <f t="shared" si="73"/>
        <v>10567.679311025135</v>
      </c>
      <c r="AG30" s="24">
        <f t="shared" si="73"/>
        <v>10356.325724804632</v>
      </c>
      <c r="AH30" s="24">
        <f t="shared" si="73"/>
        <v>10149.199210308539</v>
      </c>
      <c r="AI30" s="24">
        <f t="shared" si="73"/>
        <v>9946.2152261023693</v>
      </c>
      <c r="AJ30" s="24">
        <f t="shared" si="73"/>
        <v>9747.2909215803211</v>
      </c>
      <c r="AK30" s="24">
        <f t="shared" si="73"/>
        <v>9552.3451031487148</v>
      </c>
      <c r="AL30" s="24">
        <f t="shared" si="73"/>
        <v>9361.2982010857395</v>
      </c>
      <c r="AM30" s="24">
        <f t="shared" si="73"/>
        <v>9174.0722370640251</v>
      </c>
      <c r="AN30" s="24">
        <f t="shared" si="73"/>
        <v>8990.5907923227442</v>
      </c>
      <c r="AO30" s="24">
        <f t="shared" si="73"/>
        <v>8810.7789764762892</v>
      </c>
      <c r="AP30" s="24">
        <f t="shared" si="73"/>
        <v>8634.5633969467635</v>
      </c>
      <c r="AQ30" s="24">
        <f t="shared" si="73"/>
        <v>8461.8721290078283</v>
      </c>
      <c r="AR30" s="24">
        <f t="shared" si="73"/>
        <v>8292.6346864276711</v>
      </c>
      <c r="AS30" s="24">
        <f t="shared" si="73"/>
        <v>8126.7819926991178</v>
      </c>
      <c r="AT30" s="24">
        <f t="shared" si="73"/>
        <v>7964.2463528451353</v>
      </c>
      <c r="AU30" s="24">
        <f t="shared" si="73"/>
        <v>7804.9614257882322</v>
      </c>
      <c r="AV30" s="24">
        <f t="shared" si="73"/>
        <v>7648.8621972724677</v>
      </c>
      <c r="AW30" s="24">
        <f t="shared" si="73"/>
        <v>7495.8849533270186</v>
      </c>
      <c r="AX30" s="24">
        <f t="shared" si="73"/>
        <v>7345.9672542604785</v>
      </c>
      <c r="AY30" s="24">
        <f t="shared" si="73"/>
        <v>7199.0479091752686</v>
      </c>
      <c r="AZ30" s="24">
        <f t="shared" si="73"/>
        <v>7055.0669509917634</v>
      </c>
      <c r="BA30" s="24">
        <f t="shared" si="73"/>
        <v>6913.9656119719284</v>
      </c>
      <c r="BB30" s="24">
        <f t="shared" si="73"/>
        <v>6775.6862997324897</v>
      </c>
      <c r="BC30" s="24">
        <f t="shared" si="73"/>
        <v>6640.1725737378401</v>
      </c>
      <c r="BD30" s="24">
        <f t="shared" si="73"/>
        <v>6507.3691222630832</v>
      </c>
      <c r="BE30" s="24">
        <f t="shared" si="73"/>
        <v>6377.2217398178218</v>
      </c>
      <c r="BF30" s="24">
        <f t="shared" si="73"/>
        <v>6249.6773050214651</v>
      </c>
      <c r="BG30" s="24">
        <f t="shared" si="73"/>
        <v>6124.6837589210354</v>
      </c>
      <c r="BH30" s="24">
        <f t="shared" si="73"/>
        <v>6002.1900837426147</v>
      </c>
      <c r="BI30" s="24">
        <f t="shared" si="73"/>
        <v>5882.1462820677625</v>
      </c>
      <c r="BJ30" s="24">
        <f t="shared" si="73"/>
        <v>5764.5033564264068</v>
      </c>
      <c r="BK30" s="24">
        <f t="shared" si="73"/>
        <v>5649.2132892978789</v>
      </c>
      <c r="BL30" s="24">
        <f t="shared" si="73"/>
        <v>5536.2290235119208</v>
      </c>
      <c r="BM30" s="24">
        <f t="shared" si="73"/>
        <v>5425.504443041682</v>
      </c>
      <c r="BN30" s="24">
        <f t="shared" si="73"/>
        <v>5316.9943541808479</v>
      </c>
      <c r="BO30" s="24">
        <f t="shared" si="73"/>
        <v>5210.6544670972307</v>
      </c>
      <c r="BP30" s="24">
        <f t="shared" si="73"/>
        <v>5106.4413777552863</v>
      </c>
      <c r="BQ30" s="24">
        <f t="shared" si="73"/>
        <v>5004.3125502001803</v>
      </c>
      <c r="BR30" s="24">
        <f t="shared" si="73"/>
        <v>4904.226299196177</v>
      </c>
      <c r="BS30" s="24">
        <f t="shared" si="73"/>
        <v>4806.1417732122536</v>
      </c>
      <c r="BT30" s="24">
        <f t="shared" si="73"/>
        <v>4710.0189377480083</v>
      </c>
      <c r="BU30" s="24">
        <f t="shared" si="73"/>
        <v>4615.8185589930481</v>
      </c>
      <c r="BV30" s="24">
        <f t="shared" si="73"/>
        <v>4523.5021878131874</v>
      </c>
      <c r="BW30" s="24">
        <f t="shared" si="73"/>
        <v>4433.0321440569232</v>
      </c>
      <c r="BX30" s="24">
        <f t="shared" si="73"/>
        <v>4344.3715011757849</v>
      </c>
      <c r="BY30" s="24">
        <f t="shared" si="73"/>
        <v>4257.4840711522693</v>
      </c>
      <c r="BZ30" s="24">
        <f t="shared" si="73"/>
        <v>4172.3343897292234</v>
      </c>
      <c r="CA30" s="24">
        <f t="shared" si="73"/>
        <v>4088.8877019346387</v>
      </c>
      <c r="CB30" s="24">
        <f t="shared" si="73"/>
        <v>4007.1099478959459</v>
      </c>
      <c r="CC30" s="24">
        <f t="shared" si="73"/>
        <v>3926.9677489380269</v>
      </c>
      <c r="CD30" s="24">
        <f t="shared" si="73"/>
        <v>3848.4283939592665</v>
      </c>
      <c r="CE30" s="24">
        <f t="shared" ref="CE30:DR30" si="74">CD30*($F$2+1)</f>
        <v>3771.4598260800813</v>
      </c>
      <c r="CF30" s="24">
        <f t="shared" si="74"/>
        <v>3696.0306295584796</v>
      </c>
      <c r="CG30" s="24">
        <f t="shared" si="74"/>
        <v>3622.11001696731</v>
      </c>
      <c r="CH30" s="24">
        <f t="shared" si="74"/>
        <v>3549.6678166279639</v>
      </c>
      <c r="CI30" s="24">
        <f t="shared" si="74"/>
        <v>3478.6744602954045</v>
      </c>
      <c r="CJ30" s="24">
        <f t="shared" si="74"/>
        <v>3409.1009710894964</v>
      </c>
      <c r="CK30" s="24">
        <f t="shared" si="74"/>
        <v>3340.9189516677066</v>
      </c>
      <c r="CL30" s="24">
        <f t="shared" si="74"/>
        <v>3274.1005726343524</v>
      </c>
      <c r="CM30" s="24">
        <f t="shared" si="74"/>
        <v>3208.6185611816654</v>
      </c>
      <c r="CN30" s="24">
        <f t="shared" si="74"/>
        <v>3144.4461899580319</v>
      </c>
      <c r="CO30" s="24">
        <f t="shared" si="74"/>
        <v>3081.5572661588712</v>
      </c>
      <c r="CP30" s="24">
        <f t="shared" si="74"/>
        <v>3019.9261208356938</v>
      </c>
      <c r="CQ30" s="24">
        <f t="shared" si="74"/>
        <v>2959.5275984189798</v>
      </c>
      <c r="CR30" s="24">
        <f t="shared" si="74"/>
        <v>2900.3370464506002</v>
      </c>
      <c r="CS30" s="24">
        <f t="shared" si="74"/>
        <v>2842.3303055215879</v>
      </c>
      <c r="CT30" s="24">
        <f t="shared" si="74"/>
        <v>2785.4836994111561</v>
      </c>
      <c r="CU30" s="24">
        <f t="shared" si="74"/>
        <v>2729.7740254229329</v>
      </c>
      <c r="CV30" s="24">
        <f t="shared" si="74"/>
        <v>2675.1785449144741</v>
      </c>
      <c r="CW30" s="24">
        <f t="shared" si="74"/>
        <v>2621.6749740161845</v>
      </c>
      <c r="CX30" s="24">
        <f t="shared" si="74"/>
        <v>2569.2414745358606</v>
      </c>
      <c r="CY30" s="24">
        <f t="shared" si="74"/>
        <v>2517.8566450451435</v>
      </c>
      <c r="CZ30" s="24">
        <f t="shared" si="74"/>
        <v>2467.4995121442407</v>
      </c>
      <c r="DA30" s="24">
        <f t="shared" si="74"/>
        <v>2418.1495219013559</v>
      </c>
      <c r="DB30" s="24">
        <f t="shared" si="74"/>
        <v>2369.7865314633286</v>
      </c>
      <c r="DC30" s="24">
        <f t="shared" si="74"/>
        <v>2322.3908008340618</v>
      </c>
      <c r="DD30" s="24">
        <f t="shared" si="74"/>
        <v>2275.9429848173804</v>
      </c>
      <c r="DE30" s="24">
        <f t="shared" si="74"/>
        <v>2230.4241251210328</v>
      </c>
      <c r="DF30" s="24">
        <f t="shared" si="74"/>
        <v>2185.8156426186119</v>
      </c>
      <c r="DG30" s="24">
        <f t="shared" si="74"/>
        <v>2142.0993297662399</v>
      </c>
      <c r="DH30" s="24">
        <f t="shared" si="74"/>
        <v>2099.2573431709152</v>
      </c>
      <c r="DI30" s="24">
        <f t="shared" si="74"/>
        <v>2057.2721963074969</v>
      </c>
      <c r="DJ30" s="24">
        <f t="shared" si="74"/>
        <v>2016.1267523813469</v>
      </c>
      <c r="DK30" s="24">
        <f t="shared" si="74"/>
        <v>1975.8042173337199</v>
      </c>
      <c r="DL30" s="24">
        <f t="shared" si="74"/>
        <v>1936.2881329870454</v>
      </c>
      <c r="DM30" s="24">
        <f t="shared" si="74"/>
        <v>1897.5623703273045</v>
      </c>
      <c r="DN30" s="24">
        <f t="shared" si="74"/>
        <v>1859.6111229207584</v>
      </c>
      <c r="DO30" s="24">
        <f t="shared" si="74"/>
        <v>1822.4189004623431</v>
      </c>
      <c r="DP30" s="24">
        <f t="shared" si="74"/>
        <v>1785.9705224530962</v>
      </c>
      <c r="DQ30" s="24">
        <f t="shared" si="74"/>
        <v>1750.2511120040342</v>
      </c>
      <c r="DR30" s="24">
        <f t="shared" si="74"/>
        <v>1715.2460897639535</v>
      </c>
    </row>
    <row r="31" spans="1:122" x14ac:dyDescent="0.15">
      <c r="A31" s="3" t="s">
        <v>16</v>
      </c>
      <c r="B31" s="25">
        <f>B30/B32</f>
        <v>0.99837398373983743</v>
      </c>
      <c r="C31" s="25">
        <f>C30/C32</f>
        <v>1.1521381578947369</v>
      </c>
      <c r="D31" s="25">
        <f>D30/D32</f>
        <v>1.4617263843648209</v>
      </c>
      <c r="E31" s="25">
        <f>E30/E32</f>
        <v>1.7198996655518395</v>
      </c>
      <c r="F31" s="20">
        <f t="shared" ref="F31:G31" si="75">F30/F32</f>
        <v>2.1141518394648808</v>
      </c>
      <c r="G31" s="20">
        <f t="shared" si="75"/>
        <v>2.6797544956521726</v>
      </c>
      <c r="H31" s="20">
        <f t="shared" ref="H31" si="76">H30/H32</f>
        <v>3.3607811663270866</v>
      </c>
      <c r="I31" s="20">
        <f t="shared" ref="I31" si="77">I30/I32</f>
        <v>4.1780370790581562</v>
      </c>
      <c r="J31" s="20">
        <f t="shared" ref="J31" si="78">J30/J32</f>
        <v>5.1558119595762788</v>
      </c>
      <c r="K31" s="20">
        <f t="shared" ref="K31" si="79">K30/K32</f>
        <v>5.9807450499159316</v>
      </c>
      <c r="L31" s="20">
        <f t="shared" ref="L31" si="80">L30/L32</f>
        <v>6.8504907748022354</v>
      </c>
      <c r="M31" s="20">
        <f t="shared" ref="M31" si="81">M30/M32</f>
        <v>7.767548675783531</v>
      </c>
      <c r="N31" s="20">
        <f t="shared" ref="N31" si="82">N30/N32</f>
        <v>8.7345452427755976</v>
      </c>
      <c r="O31" s="20">
        <f t="shared" ref="O31" si="83">O30/O32</f>
        <v>9.7542403743072192</v>
      </c>
      <c r="P31" s="20">
        <f t="shared" ref="P31" si="84">P30/P32</f>
        <v>10.829534161724016</v>
      </c>
      <c r="Q31" s="20">
        <f t="shared" ref="Q31" si="85">Q30/Q32</f>
        <v>11.963474013596294</v>
      </c>
      <c r="R31" s="20"/>
      <c r="S31" s="20"/>
      <c r="T31" s="20"/>
      <c r="U31" s="20"/>
      <c r="V31" s="20"/>
    </row>
    <row r="32" spans="1:122" x14ac:dyDescent="0.15">
      <c r="A32" s="3" t="s">
        <v>17</v>
      </c>
      <c r="B32" s="7">
        <f>Reports!E22</f>
        <v>1230</v>
      </c>
      <c r="C32" s="7">
        <f>Reports!I22</f>
        <v>1216</v>
      </c>
      <c r="D32" s="7">
        <f>Reports!M22</f>
        <v>1228</v>
      </c>
      <c r="E32" s="7">
        <f>Reports!Q22</f>
        <v>1196</v>
      </c>
      <c r="F32" s="7">
        <f t="shared" ref="F32:G32" si="86">E32</f>
        <v>1196</v>
      </c>
      <c r="G32" s="7">
        <f t="shared" si="86"/>
        <v>1196</v>
      </c>
      <c r="H32" s="7">
        <f t="shared" ref="H32" si="87">G32</f>
        <v>1196</v>
      </c>
      <c r="I32" s="7">
        <f t="shared" ref="I32:M32" si="88">H32</f>
        <v>1196</v>
      </c>
      <c r="J32" s="7">
        <f t="shared" si="88"/>
        <v>1196</v>
      </c>
      <c r="K32" s="7">
        <f t="shared" si="88"/>
        <v>1196</v>
      </c>
      <c r="L32" s="7">
        <f t="shared" si="88"/>
        <v>1196</v>
      </c>
      <c r="M32" s="7">
        <f t="shared" si="88"/>
        <v>1196</v>
      </c>
      <c r="N32" s="7">
        <f t="shared" ref="N32:Q32" si="89">M32</f>
        <v>1196</v>
      </c>
      <c r="O32" s="7">
        <f t="shared" si="89"/>
        <v>1196</v>
      </c>
      <c r="P32" s="7">
        <f t="shared" si="89"/>
        <v>1196</v>
      </c>
      <c r="Q32" s="7">
        <f t="shared" si="89"/>
        <v>1196</v>
      </c>
      <c r="R32" s="7"/>
      <c r="S32" s="7"/>
      <c r="T32" s="7"/>
      <c r="U32" s="7"/>
      <c r="V32" s="7"/>
    </row>
    <row r="33" spans="1:22" x14ac:dyDescent="0.1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x14ac:dyDescent="0.15">
      <c r="A34" s="3" t="s">
        <v>19</v>
      </c>
      <c r="B34" s="22">
        <f t="shared" ref="B34:Q34" si="90">IFERROR(B21/B19,0)</f>
        <v>0.63029844290657444</v>
      </c>
      <c r="C34" s="22">
        <f t="shared" si="90"/>
        <v>0.59103486441615938</v>
      </c>
      <c r="D34" s="22">
        <f t="shared" si="90"/>
        <v>0.58530624713609292</v>
      </c>
      <c r="E34" s="22">
        <f t="shared" si="90"/>
        <v>0.5563393955083813</v>
      </c>
      <c r="F34" s="22">
        <f t="shared" si="90"/>
        <v>0.5563393955083813</v>
      </c>
      <c r="G34" s="22">
        <f t="shared" si="90"/>
        <v>0.5563393955083813</v>
      </c>
      <c r="H34" s="22">
        <f t="shared" si="90"/>
        <v>0.5563393955083813</v>
      </c>
      <c r="I34" s="22">
        <f t="shared" si="90"/>
        <v>0.5563393955083813</v>
      </c>
      <c r="J34" s="22">
        <f t="shared" si="90"/>
        <v>0.5563393955083813</v>
      </c>
      <c r="K34" s="22">
        <f t="shared" si="90"/>
        <v>0.5563393955083813</v>
      </c>
      <c r="L34" s="22">
        <f t="shared" si="90"/>
        <v>0.5563393955083813</v>
      </c>
      <c r="M34" s="22">
        <f t="shared" si="90"/>
        <v>0.5563393955083813</v>
      </c>
      <c r="N34" s="22">
        <f t="shared" si="90"/>
        <v>0.5563393955083813</v>
      </c>
      <c r="O34" s="22">
        <f t="shared" si="90"/>
        <v>0.5563393955083813</v>
      </c>
      <c r="P34" s="22">
        <f t="shared" si="90"/>
        <v>0.5563393955083813</v>
      </c>
      <c r="Q34" s="22">
        <f t="shared" si="90"/>
        <v>0.5563393955083813</v>
      </c>
      <c r="R34" s="22"/>
      <c r="S34" s="22"/>
      <c r="T34" s="22"/>
      <c r="U34" s="22"/>
      <c r="V34" s="22"/>
    </row>
    <row r="35" spans="1:22" x14ac:dyDescent="0.15">
      <c r="A35" s="3" t="s">
        <v>20</v>
      </c>
      <c r="B35" s="23">
        <f t="shared" ref="B35:Q35" si="91">IFERROR(B26/B19,0)</f>
        <v>0.15798010380622837</v>
      </c>
      <c r="C35" s="23">
        <f t="shared" si="91"/>
        <v>0.14628297362110312</v>
      </c>
      <c r="D35" s="23">
        <f t="shared" si="91"/>
        <v>0.16244081258591722</v>
      </c>
      <c r="E35" s="23">
        <f t="shared" si="91"/>
        <v>0.1419972817293379</v>
      </c>
      <c r="F35" s="23">
        <f t="shared" si="91"/>
        <v>0.15481770988118229</v>
      </c>
      <c r="G35" s="23">
        <f t="shared" si="91"/>
        <v>0.16652477465009427</v>
      </c>
      <c r="H35" s="23">
        <f t="shared" si="91"/>
        <v>0.17718461518710873</v>
      </c>
      <c r="I35" s="23">
        <f t="shared" si="91"/>
        <v>0.18685897771368409</v>
      </c>
      <c r="J35" s="23">
        <f t="shared" si="91"/>
        <v>0.19560549699747665</v>
      </c>
      <c r="K35" s="23">
        <f t="shared" si="91"/>
        <v>0.21472015562207569</v>
      </c>
      <c r="L35" s="23">
        <f t="shared" si="91"/>
        <v>0.23270148275578137</v>
      </c>
      <c r="M35" s="23">
        <f t="shared" si="91"/>
        <v>0.249621005857489</v>
      </c>
      <c r="N35" s="23">
        <f t="shared" si="91"/>
        <v>0.26554559897380092</v>
      </c>
      <c r="O35" s="23">
        <f t="shared" si="91"/>
        <v>0.28053778967837051</v>
      </c>
      <c r="P35" s="23">
        <f t="shared" si="91"/>
        <v>0.29465604564257075</v>
      </c>
      <c r="Q35" s="23">
        <f t="shared" si="91"/>
        <v>0.30795504219271391</v>
      </c>
      <c r="R35" s="23"/>
      <c r="S35" s="23"/>
      <c r="T35" s="23"/>
      <c r="U35" s="23"/>
      <c r="V35" s="23"/>
    </row>
    <row r="36" spans="1:22" x14ac:dyDescent="0.15">
      <c r="A36" s="3" t="s">
        <v>21</v>
      </c>
      <c r="B36" s="23">
        <f t="shared" ref="B36:Q36" si="92">IFERROR(B29/B28,0)</f>
        <v>0.17473118279569894</v>
      </c>
      <c r="C36" s="23">
        <f t="shared" si="92"/>
        <v>0.14101778050275904</v>
      </c>
      <c r="D36" s="23">
        <f t="shared" si="92"/>
        <v>0.18409090909090908</v>
      </c>
      <c r="E36" s="23">
        <f t="shared" si="92"/>
        <v>0.13425925925925927</v>
      </c>
      <c r="F36" s="23">
        <f t="shared" si="92"/>
        <v>0.15</v>
      </c>
      <c r="G36" s="23">
        <f t="shared" si="92"/>
        <v>0.15</v>
      </c>
      <c r="H36" s="23">
        <f t="shared" si="92"/>
        <v>0.15</v>
      </c>
      <c r="I36" s="23">
        <f t="shared" si="92"/>
        <v>0.15</v>
      </c>
      <c r="J36" s="23">
        <f t="shared" si="92"/>
        <v>0.15</v>
      </c>
      <c r="K36" s="23">
        <f t="shared" si="92"/>
        <v>0.15</v>
      </c>
      <c r="L36" s="23">
        <f t="shared" si="92"/>
        <v>0.15</v>
      </c>
      <c r="M36" s="23">
        <f t="shared" si="92"/>
        <v>0.15</v>
      </c>
      <c r="N36" s="23">
        <f t="shared" si="92"/>
        <v>0.15</v>
      </c>
      <c r="O36" s="23">
        <f t="shared" si="92"/>
        <v>0.15</v>
      </c>
      <c r="P36" s="23">
        <f t="shared" si="92"/>
        <v>0.15</v>
      </c>
      <c r="Q36" s="23">
        <f t="shared" si="92"/>
        <v>0.15</v>
      </c>
      <c r="R36" s="23"/>
      <c r="S36" s="23"/>
      <c r="T36" s="23"/>
      <c r="U36" s="23"/>
      <c r="V36" s="23"/>
    </row>
    <row r="37" spans="1:22" x14ac:dyDescent="0.1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x14ac:dyDescent="0.15">
      <c r="A38" s="2" t="s">
        <v>18</v>
      </c>
      <c r="B38" s="12"/>
      <c r="C38" s="21">
        <f t="shared" ref="C38:Q38" si="93">C19/B19-1</f>
        <v>0.17236159169550169</v>
      </c>
      <c r="D38" s="21">
        <f t="shared" si="93"/>
        <v>0.20771075447334431</v>
      </c>
      <c r="E38" s="21">
        <f t="shared" si="93"/>
        <v>0.18000610966855057</v>
      </c>
      <c r="F38" s="21">
        <f t="shared" si="93"/>
        <v>0.17599999999999971</v>
      </c>
      <c r="G38" s="21">
        <f t="shared" si="93"/>
        <v>0.17600000000000016</v>
      </c>
      <c r="H38" s="21">
        <f t="shared" si="93"/>
        <v>0.17599999999999971</v>
      </c>
      <c r="I38" s="21">
        <f t="shared" si="93"/>
        <v>0.17599999999999993</v>
      </c>
      <c r="J38" s="21">
        <f t="shared" si="93"/>
        <v>0.17600000000000016</v>
      </c>
      <c r="K38" s="21">
        <f t="shared" si="93"/>
        <v>5.0000000000000044E-2</v>
      </c>
      <c r="L38" s="21">
        <f t="shared" si="93"/>
        <v>5.0000000000000044E-2</v>
      </c>
      <c r="M38" s="21">
        <f t="shared" si="93"/>
        <v>5.0000000000000044E-2</v>
      </c>
      <c r="N38" s="21">
        <f t="shared" si="93"/>
        <v>5.0000000000000044E-2</v>
      </c>
      <c r="O38" s="21">
        <f t="shared" si="93"/>
        <v>5.0000000000000044E-2</v>
      </c>
      <c r="P38" s="21">
        <f t="shared" si="93"/>
        <v>5.0000000000000044E-2</v>
      </c>
      <c r="Q38" s="21">
        <f t="shared" si="93"/>
        <v>5.0000000000000044E-2</v>
      </c>
      <c r="R38" s="21"/>
      <c r="S38" s="21"/>
      <c r="T38" s="21"/>
      <c r="U38" s="21"/>
      <c r="V38" s="21"/>
    </row>
    <row r="39" spans="1:22" x14ac:dyDescent="0.15">
      <c r="A39" s="3" t="s">
        <v>81</v>
      </c>
      <c r="B39" s="5"/>
      <c r="C39" s="22">
        <f t="shared" ref="C39:Q39" si="94">C22/B22-1</f>
        <v>1.0909090909090979E-2</v>
      </c>
      <c r="D39" s="22">
        <f t="shared" si="94"/>
        <v>0.14268585131894485</v>
      </c>
      <c r="E39" s="22">
        <f t="shared" si="94"/>
        <v>0.12381951731374596</v>
      </c>
      <c r="F39" s="22">
        <f t="shared" si="94"/>
        <v>0.10000000000000009</v>
      </c>
      <c r="G39" s="22">
        <f t="shared" si="94"/>
        <v>0.10000000000000009</v>
      </c>
      <c r="H39" s="22">
        <f t="shared" si="94"/>
        <v>0.10000000000000009</v>
      </c>
      <c r="I39" s="22">
        <f t="shared" si="94"/>
        <v>0.10000000000000009</v>
      </c>
      <c r="J39" s="22">
        <f t="shared" si="94"/>
        <v>0.10000000000000009</v>
      </c>
      <c r="K39" s="22">
        <f t="shared" si="94"/>
        <v>-2.0000000000000129E-2</v>
      </c>
      <c r="L39" s="22">
        <f t="shared" si="94"/>
        <v>-2.0000000000000018E-2</v>
      </c>
      <c r="M39" s="22">
        <f t="shared" si="94"/>
        <v>-2.0000000000000018E-2</v>
      </c>
      <c r="N39" s="22">
        <f t="shared" si="94"/>
        <v>-2.0000000000000018E-2</v>
      </c>
      <c r="O39" s="22">
        <f t="shared" si="94"/>
        <v>-2.0000000000000018E-2</v>
      </c>
      <c r="P39" s="22">
        <f t="shared" si="94"/>
        <v>-2.0000000000000018E-2</v>
      </c>
      <c r="Q39" s="22">
        <f t="shared" si="94"/>
        <v>-1.9999999999999907E-2</v>
      </c>
      <c r="R39" s="5"/>
      <c r="S39" s="5"/>
      <c r="T39" s="5"/>
      <c r="U39" s="5"/>
      <c r="V39" s="5"/>
    </row>
    <row r="40" spans="1:22" x14ac:dyDescent="0.15">
      <c r="A40" s="3" t="s">
        <v>82</v>
      </c>
      <c r="C40" s="22">
        <f t="shared" ref="C40:Q40" si="95">C23/B23-1</f>
        <v>7.0368597415031209E-2</v>
      </c>
      <c r="D40" s="22">
        <f t="shared" si="95"/>
        <v>0.11449016100178899</v>
      </c>
      <c r="E40" s="22">
        <f t="shared" si="95"/>
        <v>0.12158908507223121</v>
      </c>
      <c r="F40" s="22">
        <f t="shared" si="95"/>
        <v>0.10000000000000009</v>
      </c>
      <c r="G40" s="22">
        <f t="shared" si="95"/>
        <v>0.10000000000000009</v>
      </c>
      <c r="H40" s="22">
        <f t="shared" si="95"/>
        <v>0.10000000000000009</v>
      </c>
      <c r="I40" s="22">
        <f t="shared" si="95"/>
        <v>0.10000000000000009</v>
      </c>
      <c r="J40" s="22">
        <f t="shared" si="95"/>
        <v>0.10000000000000009</v>
      </c>
      <c r="K40" s="22">
        <f t="shared" si="95"/>
        <v>2.0000000000000018E-2</v>
      </c>
      <c r="L40" s="22">
        <f t="shared" si="95"/>
        <v>2.0000000000000018E-2</v>
      </c>
      <c r="M40" s="22">
        <f t="shared" si="95"/>
        <v>2.0000000000000018E-2</v>
      </c>
      <c r="N40" s="22">
        <f t="shared" si="95"/>
        <v>2.0000000000000018E-2</v>
      </c>
      <c r="O40" s="22">
        <f t="shared" si="95"/>
        <v>2.0000000000000018E-2</v>
      </c>
      <c r="P40" s="22">
        <f t="shared" si="95"/>
        <v>2.0000000000000018E-2</v>
      </c>
      <c r="Q40" s="22">
        <f t="shared" si="95"/>
        <v>2.0000000000000018E-2</v>
      </c>
    </row>
    <row r="41" spans="1:22" x14ac:dyDescent="0.15">
      <c r="A41" s="3" t="s">
        <v>83</v>
      </c>
      <c r="C41" s="22">
        <f t="shared" ref="C41:Q41" si="96">C24/B24-1</f>
        <v>0.20495185694635487</v>
      </c>
      <c r="D41" s="22">
        <f t="shared" si="96"/>
        <v>0.19406392694063923</v>
      </c>
      <c r="E41" s="22">
        <f t="shared" si="96"/>
        <v>0.21223709369024846</v>
      </c>
      <c r="F41" s="22">
        <f t="shared" si="96"/>
        <v>0.19999999999999996</v>
      </c>
      <c r="G41" s="22">
        <f t="shared" si="96"/>
        <v>0.19999999999999996</v>
      </c>
      <c r="H41" s="22">
        <f t="shared" si="96"/>
        <v>0.19999999999999996</v>
      </c>
      <c r="I41" s="22">
        <f t="shared" si="96"/>
        <v>0.19999999999999996</v>
      </c>
      <c r="J41" s="22">
        <f t="shared" si="96"/>
        <v>0.19999999999999996</v>
      </c>
      <c r="K41" s="22">
        <f t="shared" si="96"/>
        <v>-2.0000000000000018E-2</v>
      </c>
      <c r="L41" s="22">
        <f t="shared" si="96"/>
        <v>-2.0000000000000018E-2</v>
      </c>
      <c r="M41" s="22">
        <f t="shared" si="96"/>
        <v>-1.9999999999999907E-2</v>
      </c>
      <c r="N41" s="22">
        <f t="shared" si="96"/>
        <v>-2.0000000000000018E-2</v>
      </c>
      <c r="O41" s="22">
        <f t="shared" si="96"/>
        <v>-2.0000000000000018E-2</v>
      </c>
      <c r="P41" s="22">
        <f t="shared" si="96"/>
        <v>-2.0000000000000129E-2</v>
      </c>
      <c r="Q41" s="22">
        <f t="shared" si="96"/>
        <v>-2.0000000000000129E-2</v>
      </c>
    </row>
    <row r="42" spans="1:22" x14ac:dyDescent="0.1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x14ac:dyDescent="0.15">
      <c r="A43" s="2" t="s">
        <v>33</v>
      </c>
      <c r="C43" s="24">
        <f>C44-C45</f>
        <v>6514</v>
      </c>
      <c r="D43" s="24">
        <f>D44-D45</f>
        <v>6656</v>
      </c>
      <c r="E43" s="24">
        <f>E44-E45</f>
        <v>8082</v>
      </c>
      <c r="F43" s="19">
        <f t="shared" ref="F43:Q43" si="97">E43+F30</f>
        <v>10610.525599999997</v>
      </c>
      <c r="G43" s="19">
        <f t="shared" si="97"/>
        <v>13815.511976799997</v>
      </c>
      <c r="H43" s="19">
        <f t="shared" si="97"/>
        <v>17835.006251727191</v>
      </c>
      <c r="I43" s="19">
        <f t="shared" si="97"/>
        <v>22831.938598280747</v>
      </c>
      <c r="J43" s="19">
        <f t="shared" si="97"/>
        <v>28998.289701933976</v>
      </c>
      <c r="K43" s="19">
        <f t="shared" si="97"/>
        <v>36151.260781633428</v>
      </c>
      <c r="L43" s="19">
        <f t="shared" si="97"/>
        <v>44344.447748296901</v>
      </c>
      <c r="M43" s="19">
        <f t="shared" si="97"/>
        <v>53634.435964534001</v>
      </c>
      <c r="N43" s="19">
        <f t="shared" si="97"/>
        <v>64080.952074893619</v>
      </c>
      <c r="O43" s="19">
        <f t="shared" si="97"/>
        <v>75747.023562565053</v>
      </c>
      <c r="P43" s="19">
        <f t="shared" si="97"/>
        <v>88699.146419986981</v>
      </c>
      <c r="Q43" s="19">
        <f t="shared" si="97"/>
        <v>103007.46134024815</v>
      </c>
      <c r="R43" s="19"/>
      <c r="S43" s="19"/>
      <c r="T43" s="19"/>
      <c r="U43" s="19"/>
      <c r="V43" s="19"/>
    </row>
    <row r="44" spans="1:22" x14ac:dyDescent="0.15">
      <c r="A44" s="3" t="s">
        <v>34</v>
      </c>
      <c r="C44" s="28">
        <f>Reports!I34</f>
        <v>6514</v>
      </c>
      <c r="D44" s="28">
        <f>Reports!M34</f>
        <v>7656</v>
      </c>
      <c r="E44" s="28">
        <f>Reports!Q34</f>
        <v>10080</v>
      </c>
    </row>
    <row r="45" spans="1:22" x14ac:dyDescent="0.15">
      <c r="A45" s="3" t="s">
        <v>35</v>
      </c>
      <c r="C45" s="28">
        <f>Reports!I35</f>
        <v>0</v>
      </c>
      <c r="D45" s="28">
        <f>Reports!M35</f>
        <v>1000</v>
      </c>
      <c r="E45" s="28">
        <f>Reports!Q35</f>
        <v>1998</v>
      </c>
    </row>
    <row r="47" spans="1:22" x14ac:dyDescent="0.15">
      <c r="A47" s="3" t="s">
        <v>84</v>
      </c>
      <c r="C47" s="28">
        <f>Reports!I37</f>
        <v>4270</v>
      </c>
      <c r="D47" s="28">
        <f>Reports!M37</f>
        <v>4507</v>
      </c>
      <c r="E47" s="28">
        <f>Reports!Q37</f>
        <v>7109</v>
      </c>
    </row>
    <row r="48" spans="1:22" x14ac:dyDescent="0.15">
      <c r="A48" s="3" t="s">
        <v>85</v>
      </c>
      <c r="C48" s="28">
        <f>Reports!I38</f>
        <v>33103</v>
      </c>
      <c r="D48" s="28">
        <f>Reports!M38</f>
        <v>40774</v>
      </c>
      <c r="E48" s="28">
        <f>Reports!Q38</f>
        <v>43332</v>
      </c>
    </row>
    <row r="49" spans="1:10" x14ac:dyDescent="0.15">
      <c r="A49" s="3" t="s">
        <v>86</v>
      </c>
      <c r="C49" s="28">
        <f>Reports!I39</f>
        <v>18391</v>
      </c>
      <c r="D49" s="28">
        <f>Reports!M39</f>
        <v>24780</v>
      </c>
      <c r="E49" s="28">
        <f>Reports!Q39</f>
        <v>27946</v>
      </c>
    </row>
    <row r="51" spans="1:10" x14ac:dyDescent="0.15">
      <c r="A51" s="3" t="s">
        <v>87</v>
      </c>
      <c r="C51" s="31">
        <f>C48-C47-C44</f>
        <v>22319</v>
      </c>
      <c r="D51" s="31">
        <f>D48-D47-D44</f>
        <v>28611</v>
      </c>
      <c r="E51" s="31">
        <f>E48-E47-E44</f>
        <v>26143</v>
      </c>
    </row>
    <row r="52" spans="1:10" x14ac:dyDescent="0.15">
      <c r="A52" s="3" t="s">
        <v>88</v>
      </c>
      <c r="C52" s="31">
        <f>C48-C49</f>
        <v>14712</v>
      </c>
      <c r="D52" s="31">
        <f>D48-D49</f>
        <v>15994</v>
      </c>
      <c r="E52" s="31">
        <f>E48-E49</f>
        <v>15386</v>
      </c>
    </row>
    <row r="54" spans="1:10" x14ac:dyDescent="0.15">
      <c r="A54" s="26" t="s">
        <v>89</v>
      </c>
      <c r="C54" s="51">
        <f>C30/C52</f>
        <v>9.5228384991843398E-2</v>
      </c>
      <c r="D54" s="51">
        <f>D30/D52</f>
        <v>0.11222958609478555</v>
      </c>
      <c r="E54" s="51">
        <f>E30/E52</f>
        <v>0.13369296763291305</v>
      </c>
    </row>
    <row r="55" spans="1:10" x14ac:dyDescent="0.15">
      <c r="A55" s="26" t="s">
        <v>90</v>
      </c>
      <c r="C55" s="51">
        <f>C30/C48</f>
        <v>4.2322448116484911E-2</v>
      </c>
      <c r="D55" s="51">
        <f>D30/D48</f>
        <v>4.4023152008632951E-2</v>
      </c>
      <c r="E55" s="51">
        <f>E30/E48</f>
        <v>4.7470691405889415E-2</v>
      </c>
    </row>
    <row r="56" spans="1:10" x14ac:dyDescent="0.15">
      <c r="A56" s="26" t="s">
        <v>91</v>
      </c>
      <c r="C56" s="51">
        <f>C30/(C52-C47)</f>
        <v>0.1341696992913235</v>
      </c>
      <c r="D56" s="51">
        <f>D30/(D52-D47)</f>
        <v>0.15626360233307218</v>
      </c>
      <c r="E56" s="51">
        <f>E30/(E52-E47)</f>
        <v>0.24851999516733117</v>
      </c>
    </row>
    <row r="57" spans="1:10" x14ac:dyDescent="0.15">
      <c r="A57" s="26" t="s">
        <v>92</v>
      </c>
      <c r="C57" s="51">
        <f>C30/C51</f>
        <v>6.2771629553295405E-2</v>
      </c>
      <c r="D57" s="51">
        <f>D30/D51</f>
        <v>6.273810772080668E-2</v>
      </c>
      <c r="E57" s="51">
        <f>E30/E51</f>
        <v>7.8682630149562019E-2</v>
      </c>
    </row>
    <row r="59" spans="1:10" x14ac:dyDescent="0.15">
      <c r="A59" s="3" t="s">
        <v>96</v>
      </c>
      <c r="C59" s="17">
        <f t="shared" ref="C59:I60" si="98">C16/B16-1</f>
        <v>0.1005586592178771</v>
      </c>
      <c r="D59" s="17">
        <f t="shared" si="98"/>
        <v>0.15228426395939088</v>
      </c>
      <c r="E59" s="17">
        <f t="shared" si="98"/>
        <v>0.17621145374449343</v>
      </c>
      <c r="F59" s="17">
        <f t="shared" si="98"/>
        <v>0.19999999999999996</v>
      </c>
      <c r="G59" s="17">
        <f t="shared" si="98"/>
        <v>0.19999999999999996</v>
      </c>
      <c r="H59" s="17">
        <f t="shared" si="98"/>
        <v>0.19999999999999996</v>
      </c>
      <c r="I59" s="17">
        <f t="shared" si="98"/>
        <v>0.19999999999999996</v>
      </c>
      <c r="J59" s="17">
        <f>J16/I16-1</f>
        <v>0.19999999999999996</v>
      </c>
    </row>
    <row r="60" spans="1:10" x14ac:dyDescent="0.15">
      <c r="A60" s="3" t="s">
        <v>93</v>
      </c>
      <c r="C60" s="17">
        <f t="shared" si="98"/>
        <v>6.5242258444136114E-2</v>
      </c>
      <c r="D60" s="17">
        <f t="shared" si="98"/>
        <v>4.8101403661889197E-2</v>
      </c>
      <c r="E60" s="17">
        <f t="shared" si="98"/>
        <v>3.2261681451721813E-3</v>
      </c>
      <c r="F60" s="17">
        <f t="shared" si="98"/>
        <v>-2.0000000000000018E-2</v>
      </c>
      <c r="G60" s="17">
        <f t="shared" si="98"/>
        <v>-2.0000000000000018E-2</v>
      </c>
      <c r="H60" s="17">
        <f t="shared" si="98"/>
        <v>-2.0000000000000018E-2</v>
      </c>
      <c r="I60" s="17">
        <f t="shared" si="98"/>
        <v>-2.0000000000000018E-2</v>
      </c>
      <c r="J60" s="17">
        <f t="shared" ref="J60" si="99">J17/I17-1</f>
        <v>-2.0000000000000018E-2</v>
      </c>
    </row>
    <row r="62" spans="1:10" x14ac:dyDescent="0.15">
      <c r="A62" s="28"/>
    </row>
    <row r="63" spans="1:10" x14ac:dyDescent="0.15">
      <c r="A63" s="28"/>
    </row>
  </sheetData>
  <phoneticPr fontId="4" type="noConversion"/>
  <hyperlinks>
    <hyperlink ref="A1" r:id="rId1" xr:uid="{00000000-0004-0000-0000-000000000000}"/>
    <hyperlink ref="A4" r:id="rId2" xr:uid="{00000000-0004-0000-0000-000001000000}"/>
    <hyperlink ref="A7" r:id="rId3" xr:uid="{00000000-0004-0000-0000-000002000000}"/>
    <hyperlink ref="A8" r:id="rId4" xr:uid="{00000000-0004-0000-0000-000003000000}"/>
    <hyperlink ref="A9" r:id="rId5" xr:uid="{00000000-0004-0000-0000-000004000000}"/>
    <hyperlink ref="A11" r:id="rId6" xr:uid="{00000000-0004-0000-0000-000005000000}"/>
    <hyperlink ref="A10" r:id="rId7" xr:uid="{00000000-0004-0000-0000-000006000000}"/>
  </hyperlinks>
  <pageMargins left="0.7" right="0.7" top="0.75" bottom="0.75" header="0.3" footer="0.3"/>
  <pageSetup paperSize="9" orientation="portrait" horizontalDpi="0" verticalDpi="0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9"/>
  <sheetViews>
    <sheetView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S28" sqref="S28"/>
    </sheetView>
  </sheetViews>
  <sheetFormatPr baseColWidth="10" defaultRowHeight="13" x14ac:dyDescent="0.15"/>
  <cols>
    <col min="1" max="1" width="17.5" style="3" bestFit="1" customWidth="1"/>
    <col min="2" max="5" width="10.83203125" style="34" customWidth="1"/>
    <col min="6" max="6" width="10.83203125" style="38" customWidth="1"/>
    <col min="7" max="8" width="10.83203125" style="34" customWidth="1"/>
    <col min="9" max="9" width="10.83203125" style="34"/>
    <col min="10" max="10" width="10.83203125" style="38"/>
    <col min="11" max="13" width="10.83203125" style="34"/>
    <col min="14" max="14" width="10.83203125" style="38"/>
    <col min="15" max="16" width="10.83203125" style="34"/>
    <col min="17" max="17" width="10.83203125" style="69"/>
    <col min="18" max="18" width="10.83203125" style="38"/>
    <col min="19" max="21" width="10.83203125" style="34"/>
    <col min="22" max="22" width="10.83203125" style="30"/>
    <col min="23" max="16384" width="10.83203125" style="3"/>
  </cols>
  <sheetData>
    <row r="1" spans="1:22" x14ac:dyDescent="0.15">
      <c r="A1" s="9" t="s">
        <v>95</v>
      </c>
      <c r="B1" s="34" t="s">
        <v>50</v>
      </c>
      <c r="C1" s="34" t="s">
        <v>51</v>
      </c>
      <c r="D1" s="34" t="s">
        <v>52</v>
      </c>
      <c r="E1" s="34" t="s">
        <v>53</v>
      </c>
      <c r="F1" s="38" t="s">
        <v>22</v>
      </c>
      <c r="G1" s="34" t="s">
        <v>23</v>
      </c>
      <c r="H1" s="34" t="s">
        <v>24</v>
      </c>
      <c r="I1" s="34" t="s">
        <v>25</v>
      </c>
      <c r="J1" s="36" t="s">
        <v>0</v>
      </c>
      <c r="K1" s="35" t="s">
        <v>1</v>
      </c>
      <c r="L1" s="35" t="s">
        <v>2</v>
      </c>
      <c r="M1" s="35" t="s">
        <v>3</v>
      </c>
      <c r="N1" s="36" t="s">
        <v>42</v>
      </c>
      <c r="O1" s="35" t="s">
        <v>43</v>
      </c>
      <c r="P1" s="35" t="s">
        <v>44</v>
      </c>
      <c r="Q1" s="68" t="s">
        <v>45</v>
      </c>
      <c r="R1" s="38" t="s">
        <v>97</v>
      </c>
      <c r="S1" s="34" t="s">
        <v>98</v>
      </c>
      <c r="T1" s="34" t="s">
        <v>99</v>
      </c>
      <c r="U1" s="34" t="s">
        <v>100</v>
      </c>
    </row>
    <row r="2" spans="1:22" x14ac:dyDescent="0.15">
      <c r="A2" s="9"/>
      <c r="B2" s="34" t="s">
        <v>54</v>
      </c>
      <c r="C2" s="34" t="s">
        <v>55</v>
      </c>
      <c r="D2" s="34" t="s">
        <v>56</v>
      </c>
      <c r="E2" s="34" t="s">
        <v>57</v>
      </c>
      <c r="F2" s="38" t="s">
        <v>29</v>
      </c>
      <c r="G2" s="34" t="s">
        <v>28</v>
      </c>
      <c r="H2" s="34" t="s">
        <v>27</v>
      </c>
      <c r="I2" s="34" t="s">
        <v>32</v>
      </c>
      <c r="J2" s="38" t="s">
        <v>31</v>
      </c>
      <c r="K2" s="34" t="s">
        <v>30</v>
      </c>
      <c r="L2" s="34" t="s">
        <v>26</v>
      </c>
      <c r="M2" s="34" t="s">
        <v>36</v>
      </c>
      <c r="N2" s="38" t="s">
        <v>46</v>
      </c>
      <c r="O2" s="34" t="s">
        <v>47</v>
      </c>
      <c r="P2" s="34" t="s">
        <v>48</v>
      </c>
      <c r="Q2" s="69" t="s">
        <v>49</v>
      </c>
    </row>
    <row r="3" spans="1:22" x14ac:dyDescent="0.15">
      <c r="A3" s="3" t="s">
        <v>61</v>
      </c>
      <c r="B3" s="35">
        <v>1914</v>
      </c>
      <c r="C3" s="35">
        <v>1970</v>
      </c>
      <c r="D3" s="35">
        <v>1982</v>
      </c>
      <c r="E3" s="35">
        <v>2262</v>
      </c>
      <c r="F3" s="36">
        <v>2238</v>
      </c>
      <c r="G3" s="35">
        <v>2323</v>
      </c>
      <c r="H3" s="35">
        <v>2314</v>
      </c>
      <c r="I3" s="35">
        <v>2615</v>
      </c>
      <c r="J3" s="36">
        <v>2624</v>
      </c>
      <c r="K3" s="37">
        <v>2775</v>
      </c>
      <c r="L3" s="37">
        <v>2858</v>
      </c>
      <c r="M3" s="37">
        <v>3221</v>
      </c>
      <c r="N3" s="36">
        <v>3197</v>
      </c>
      <c r="O3" s="37">
        <v>3318</v>
      </c>
      <c r="P3" s="37">
        <v>3343</v>
      </c>
      <c r="Q3" s="70">
        <v>3851</v>
      </c>
    </row>
    <row r="4" spans="1:22" x14ac:dyDescent="0.15">
      <c r="A4" s="3" t="s">
        <v>62</v>
      </c>
      <c r="B4" s="35">
        <v>223</v>
      </c>
      <c r="C4" s="35">
        <v>327</v>
      </c>
      <c r="D4" s="35">
        <v>276</v>
      </c>
      <c r="E4" s="35">
        <v>294</v>
      </c>
      <c r="F4" s="36">
        <v>306</v>
      </c>
      <c r="G4" s="35">
        <v>327</v>
      </c>
      <c r="H4" s="35">
        <v>353</v>
      </c>
      <c r="I4" s="35">
        <v>366</v>
      </c>
      <c r="J4" s="36">
        <v>351</v>
      </c>
      <c r="K4" s="37">
        <v>361</v>
      </c>
      <c r="L4" s="37">
        <v>381</v>
      </c>
      <c r="M4" s="37">
        <v>523</v>
      </c>
      <c r="N4" s="36">
        <v>488</v>
      </c>
      <c r="O4" s="37">
        <v>539</v>
      </c>
      <c r="P4" s="37">
        <v>340</v>
      </c>
      <c r="Q4" s="70">
        <v>375</v>
      </c>
    </row>
    <row r="5" spans="1:22" x14ac:dyDescent="0.15">
      <c r="B5" s="35"/>
      <c r="C5" s="35"/>
      <c r="D5" s="35"/>
      <c r="E5" s="35"/>
      <c r="F5" s="36"/>
      <c r="G5" s="35"/>
      <c r="H5" s="35"/>
      <c r="I5" s="35"/>
      <c r="J5" s="36"/>
      <c r="K5" s="37"/>
      <c r="L5" s="37"/>
      <c r="M5" s="37"/>
      <c r="N5" s="36"/>
      <c r="O5" s="37"/>
      <c r="P5" s="37"/>
      <c r="Q5" s="70"/>
    </row>
    <row r="6" spans="1:22" x14ac:dyDescent="0.15">
      <c r="A6" s="3" t="s">
        <v>59</v>
      </c>
      <c r="B6" s="35">
        <v>165</v>
      </c>
      <c r="C6" s="35">
        <v>169</v>
      </c>
      <c r="D6" s="35">
        <v>173</v>
      </c>
      <c r="E6" s="35">
        <v>179</v>
      </c>
      <c r="F6" s="36">
        <v>184</v>
      </c>
      <c r="G6" s="35">
        <v>188</v>
      </c>
      <c r="H6" s="35">
        <v>192</v>
      </c>
      <c r="I6" s="35">
        <v>197</v>
      </c>
      <c r="J6" s="36">
        <v>205</v>
      </c>
      <c r="K6" s="35">
        <v>212</v>
      </c>
      <c r="L6" s="37">
        <v>220</v>
      </c>
      <c r="M6" s="37">
        <v>227</v>
      </c>
      <c r="N6" s="36">
        <v>237</v>
      </c>
      <c r="O6" s="37">
        <v>244</v>
      </c>
      <c r="P6" s="37">
        <v>254</v>
      </c>
      <c r="Q6" s="70">
        <v>267</v>
      </c>
    </row>
    <row r="7" spans="1:22" s="63" customFormat="1" x14ac:dyDescent="0.15">
      <c r="A7" s="63" t="s">
        <v>80</v>
      </c>
      <c r="B7" s="64">
        <f t="shared" ref="B7:I7" si="0">SUM(B3:B4)/B6</f>
        <v>12.951515151515151</v>
      </c>
      <c r="C7" s="64">
        <f t="shared" si="0"/>
        <v>13.591715976331361</v>
      </c>
      <c r="D7" s="64">
        <f t="shared" si="0"/>
        <v>13.052023121387283</v>
      </c>
      <c r="E7" s="64">
        <f t="shared" si="0"/>
        <v>14.279329608938548</v>
      </c>
      <c r="F7" s="67">
        <f t="shared" si="0"/>
        <v>13.826086956521738</v>
      </c>
      <c r="G7" s="64">
        <f t="shared" si="0"/>
        <v>14.095744680851064</v>
      </c>
      <c r="H7" s="64">
        <f t="shared" si="0"/>
        <v>13.890625</v>
      </c>
      <c r="I7" s="64">
        <f t="shared" si="0"/>
        <v>15.131979695431472</v>
      </c>
      <c r="J7" s="67">
        <f t="shared" ref="J7:Q7" si="1">SUM(J3:J4)/J6</f>
        <v>14.512195121951219</v>
      </c>
      <c r="K7" s="64">
        <f t="shared" si="1"/>
        <v>14.79245283018868</v>
      </c>
      <c r="L7" s="64">
        <f t="shared" si="1"/>
        <v>14.722727272727273</v>
      </c>
      <c r="M7" s="64">
        <f t="shared" si="1"/>
        <v>16.493392070484582</v>
      </c>
      <c r="N7" s="67">
        <f t="shared" si="1"/>
        <v>15.548523206751055</v>
      </c>
      <c r="O7" s="64">
        <f t="shared" si="1"/>
        <v>15.807377049180328</v>
      </c>
      <c r="P7" s="64">
        <f t="shared" si="1"/>
        <v>14.5</v>
      </c>
      <c r="Q7" s="64">
        <f t="shared" si="1"/>
        <v>15.827715355805243</v>
      </c>
      <c r="R7" s="76"/>
      <c r="S7" s="77"/>
      <c r="T7" s="77"/>
      <c r="U7" s="77"/>
      <c r="V7" s="65"/>
    </row>
    <row r="8" spans="1:22" x14ac:dyDescent="0.15">
      <c r="I8" s="35"/>
      <c r="K8" s="39"/>
      <c r="L8" s="39"/>
      <c r="M8" s="39"/>
      <c r="O8" s="39"/>
      <c r="P8" s="39"/>
      <c r="Q8" s="71"/>
      <c r="R8" s="80" t="s">
        <v>101</v>
      </c>
    </row>
    <row r="9" spans="1:22" s="2" customFormat="1" x14ac:dyDescent="0.15">
      <c r="A9" s="2" t="s">
        <v>4</v>
      </c>
      <c r="B9" s="40">
        <f>B7*B6</f>
        <v>2137</v>
      </c>
      <c r="C9" s="40">
        <f t="shared" ref="C9:H9" si="2">C7*C6</f>
        <v>2297</v>
      </c>
      <c r="D9" s="40">
        <f t="shared" si="2"/>
        <v>2258</v>
      </c>
      <c r="E9" s="40">
        <f t="shared" si="2"/>
        <v>2556</v>
      </c>
      <c r="F9" s="41">
        <f t="shared" si="2"/>
        <v>2544</v>
      </c>
      <c r="G9" s="40">
        <f t="shared" si="2"/>
        <v>2650</v>
      </c>
      <c r="H9" s="40">
        <f t="shared" si="2"/>
        <v>2667</v>
      </c>
      <c r="I9" s="40">
        <f t="shared" ref="I9:P9" si="3">I7*I6</f>
        <v>2981</v>
      </c>
      <c r="J9" s="41">
        <f t="shared" si="3"/>
        <v>2975</v>
      </c>
      <c r="K9" s="40">
        <f t="shared" si="3"/>
        <v>3136</v>
      </c>
      <c r="L9" s="40">
        <f t="shared" si="3"/>
        <v>3239</v>
      </c>
      <c r="M9" s="40">
        <f t="shared" si="3"/>
        <v>3744</v>
      </c>
      <c r="N9" s="41">
        <f t="shared" si="3"/>
        <v>3685</v>
      </c>
      <c r="O9" s="40">
        <f t="shared" si="3"/>
        <v>3857</v>
      </c>
      <c r="P9" s="40">
        <f t="shared" si="3"/>
        <v>3683</v>
      </c>
      <c r="Q9" s="40">
        <f>Q7*Q6</f>
        <v>4226</v>
      </c>
      <c r="R9" s="78"/>
      <c r="S9" s="79"/>
      <c r="T9" s="79"/>
      <c r="U9" s="79"/>
      <c r="V9" s="33"/>
    </row>
    <row r="10" spans="1:22" x14ac:dyDescent="0.15">
      <c r="A10" s="3" t="s">
        <v>5</v>
      </c>
      <c r="B10" s="37">
        <f>575+178</f>
        <v>753</v>
      </c>
      <c r="C10" s="37">
        <f>634+185</f>
        <v>819</v>
      </c>
      <c r="D10" s="37">
        <f>651+201</f>
        <v>852</v>
      </c>
      <c r="E10" s="37">
        <f>750+245</f>
        <v>995</v>
      </c>
      <c r="F10" s="36">
        <f>752+255</f>
        <v>1007</v>
      </c>
      <c r="G10" s="35">
        <f>810+255</f>
        <v>1065</v>
      </c>
      <c r="H10" s="35">
        <f>830+271</f>
        <v>1101</v>
      </c>
      <c r="I10" s="35">
        <f>954+307</f>
        <v>1261</v>
      </c>
      <c r="J10" s="36">
        <f>987+300</f>
        <v>1287</v>
      </c>
      <c r="K10" s="37">
        <f>1064+308</f>
        <v>1372</v>
      </c>
      <c r="L10" s="37">
        <f>1102+363</f>
        <v>1465</v>
      </c>
      <c r="M10" s="37">
        <f>1266+40</f>
        <v>1306</v>
      </c>
      <c r="N10" s="36">
        <f>1275+305</f>
        <v>1580</v>
      </c>
      <c r="O10" s="37">
        <f>1362+334</f>
        <v>1696</v>
      </c>
      <c r="P10" s="37">
        <f>1366+295</f>
        <v>1661</v>
      </c>
      <c r="Q10" s="70">
        <f>1578+340</f>
        <v>1918</v>
      </c>
    </row>
    <row r="11" spans="1:22" x14ac:dyDescent="0.15">
      <c r="A11" s="3" t="s">
        <v>6</v>
      </c>
      <c r="B11" s="45">
        <f>B9-B10</f>
        <v>1384</v>
      </c>
      <c r="C11" s="45">
        <f>C9-C10</f>
        <v>1478</v>
      </c>
      <c r="D11" s="45">
        <f>D9-D10</f>
        <v>1406</v>
      </c>
      <c r="E11" s="45">
        <f>E9-E10</f>
        <v>1561</v>
      </c>
      <c r="F11" s="46">
        <f>F9-F10</f>
        <v>1537</v>
      </c>
      <c r="G11" s="47">
        <f t="shared" ref="G11:K11" si="4">G9-G10</f>
        <v>1585</v>
      </c>
      <c r="H11" s="47">
        <f t="shared" si="4"/>
        <v>1566</v>
      </c>
      <c r="I11" s="47">
        <f t="shared" si="4"/>
        <v>1720</v>
      </c>
      <c r="J11" s="46">
        <f t="shared" si="4"/>
        <v>1688</v>
      </c>
      <c r="K11" s="45">
        <f t="shared" si="4"/>
        <v>1764</v>
      </c>
      <c r="L11" s="45">
        <f>L9-L10</f>
        <v>1774</v>
      </c>
      <c r="M11" s="45">
        <f t="shared" ref="M11:N11" si="5">M9-M10</f>
        <v>2438</v>
      </c>
      <c r="N11" s="46">
        <f t="shared" si="5"/>
        <v>2105</v>
      </c>
      <c r="O11" s="45">
        <f t="shared" ref="O11:Q11" si="6">O9-O10</f>
        <v>2161</v>
      </c>
      <c r="P11" s="45">
        <f t="shared" si="6"/>
        <v>2022</v>
      </c>
      <c r="Q11" s="45">
        <f t="shared" si="6"/>
        <v>2308</v>
      </c>
    </row>
    <row r="12" spans="1:22" x14ac:dyDescent="0.15">
      <c r="A12" s="3" t="s">
        <v>7</v>
      </c>
      <c r="B12" s="37">
        <v>185</v>
      </c>
      <c r="C12" s="37">
        <v>202</v>
      </c>
      <c r="D12" s="37">
        <v>230</v>
      </c>
      <c r="E12" s="37">
        <v>208</v>
      </c>
      <c r="F12" s="36">
        <v>195</v>
      </c>
      <c r="G12" s="35">
        <v>209</v>
      </c>
      <c r="H12" s="35">
        <v>215</v>
      </c>
      <c r="I12" s="35">
        <v>215</v>
      </c>
      <c r="J12" s="36">
        <v>214</v>
      </c>
      <c r="K12" s="37">
        <v>232</v>
      </c>
      <c r="L12" s="37">
        <v>240</v>
      </c>
      <c r="M12" s="37">
        <v>267</v>
      </c>
      <c r="N12" s="36">
        <v>258</v>
      </c>
      <c r="O12" s="37">
        <v>255</v>
      </c>
      <c r="P12" s="37">
        <v>269</v>
      </c>
      <c r="Q12" s="70">
        <v>289</v>
      </c>
    </row>
    <row r="13" spans="1:22" x14ac:dyDescent="0.15">
      <c r="A13" s="3" t="s">
        <v>8</v>
      </c>
      <c r="B13" s="37">
        <f>249+222</f>
        <v>471</v>
      </c>
      <c r="C13" s="37">
        <f>278+234</f>
        <v>512</v>
      </c>
      <c r="D13" s="37">
        <f>317+235</f>
        <v>552</v>
      </c>
      <c r="E13" s="37">
        <f>299+255</f>
        <v>554</v>
      </c>
      <c r="F13" s="36">
        <f>296+233</f>
        <v>529</v>
      </c>
      <c r="G13" s="35">
        <f>318+250</f>
        <v>568</v>
      </c>
      <c r="H13" s="35">
        <f>325+233</f>
        <v>558</v>
      </c>
      <c r="I13" s="35">
        <f>328+253</f>
        <v>581</v>
      </c>
      <c r="J13" s="36">
        <f>317+238</f>
        <v>555</v>
      </c>
      <c r="K13" s="37">
        <f>335+284</f>
        <v>619</v>
      </c>
      <c r="L13" s="37">
        <f>346+278</f>
        <v>624</v>
      </c>
      <c r="M13" s="37">
        <f>366+328</f>
        <v>694</v>
      </c>
      <c r="N13" s="36">
        <f>351+285</f>
        <v>636</v>
      </c>
      <c r="O13" s="37">
        <f>357+313</f>
        <v>670</v>
      </c>
      <c r="P13" s="37">
        <f>367+326</f>
        <v>693</v>
      </c>
      <c r="Q13" s="70">
        <f>407+389</f>
        <v>796</v>
      </c>
    </row>
    <row r="14" spans="1:22" x14ac:dyDescent="0.15">
      <c r="A14" s="3" t="s">
        <v>9</v>
      </c>
      <c r="B14" s="37">
        <f>217+141+48</f>
        <v>406</v>
      </c>
      <c r="C14" s="37">
        <f>215+150+1</f>
        <v>366</v>
      </c>
      <c r="D14" s="37">
        <f>141+153</f>
        <v>294</v>
      </c>
      <c r="E14" s="37">
        <f>225+164-1</f>
        <v>388</v>
      </c>
      <c r="F14" s="36">
        <f>231+175</f>
        <v>406</v>
      </c>
      <c r="G14" s="35">
        <f>261+176</f>
        <v>437</v>
      </c>
      <c r="H14" s="35">
        <f>261+184</f>
        <v>445</v>
      </c>
      <c r="I14" s="35">
        <f>275+189</f>
        <v>464</v>
      </c>
      <c r="J14" s="36">
        <f>265+183+40</f>
        <v>488</v>
      </c>
      <c r="K14" s="37">
        <f>282+201</f>
        <v>483</v>
      </c>
      <c r="L14" s="37">
        <f>293+194</f>
        <v>487</v>
      </c>
      <c r="M14" s="37">
        <f>315+227+92</f>
        <v>634</v>
      </c>
      <c r="N14" s="36">
        <f>339+185+153</f>
        <v>677</v>
      </c>
      <c r="O14" s="37">
        <f>368+180+116</f>
        <v>664</v>
      </c>
      <c r="P14" s="37">
        <f>354+188+28</f>
        <v>570</v>
      </c>
      <c r="Q14" s="70">
        <f>390+223+12</f>
        <v>625</v>
      </c>
    </row>
    <row r="15" spans="1:22" x14ac:dyDescent="0.15">
      <c r="A15" s="3" t="s">
        <v>10</v>
      </c>
      <c r="B15" s="45">
        <f>SUM(B12:B14)</f>
        <v>1062</v>
      </c>
      <c r="C15" s="45">
        <f>SUM(C12:C14)</f>
        <v>1080</v>
      </c>
      <c r="D15" s="45">
        <f>SUM(D12:D14)</f>
        <v>1076</v>
      </c>
      <c r="E15" s="45">
        <f>SUM(E12:E14)</f>
        <v>1150</v>
      </c>
      <c r="F15" s="46">
        <f>SUM(F12:F14)</f>
        <v>1130</v>
      </c>
      <c r="G15" s="47">
        <f t="shared" ref="G15:L15" si="7">SUM(G12:G14)</f>
        <v>1214</v>
      </c>
      <c r="H15" s="47">
        <f t="shared" si="7"/>
        <v>1218</v>
      </c>
      <c r="I15" s="47">
        <f t="shared" si="7"/>
        <v>1260</v>
      </c>
      <c r="J15" s="46">
        <f t="shared" si="7"/>
        <v>1257</v>
      </c>
      <c r="K15" s="45">
        <f t="shared" si="7"/>
        <v>1334</v>
      </c>
      <c r="L15" s="45">
        <f t="shared" si="7"/>
        <v>1351</v>
      </c>
      <c r="M15" s="45">
        <f t="shared" ref="M15:N15" si="8">SUM(M12:M14)</f>
        <v>1595</v>
      </c>
      <c r="N15" s="46">
        <f t="shared" si="8"/>
        <v>1571</v>
      </c>
      <c r="O15" s="45">
        <f t="shared" ref="O15:Q15" si="9">SUM(O12:O14)</f>
        <v>1589</v>
      </c>
      <c r="P15" s="45">
        <f t="shared" si="9"/>
        <v>1532</v>
      </c>
      <c r="Q15" s="45">
        <f t="shared" si="9"/>
        <v>1710</v>
      </c>
    </row>
    <row r="16" spans="1:22" x14ac:dyDescent="0.15">
      <c r="A16" s="3" t="s">
        <v>11</v>
      </c>
      <c r="B16" s="45">
        <f>B11-B15</f>
        <v>322</v>
      </c>
      <c r="C16" s="45">
        <f>C11-C15</f>
        <v>398</v>
      </c>
      <c r="D16" s="45">
        <f>D11-D15</f>
        <v>330</v>
      </c>
      <c r="E16" s="45">
        <f>E11-E15</f>
        <v>411</v>
      </c>
      <c r="F16" s="46">
        <f>F11-F15</f>
        <v>407</v>
      </c>
      <c r="G16" s="47">
        <f t="shared" ref="G16:H16" si="10">G11-G15</f>
        <v>371</v>
      </c>
      <c r="H16" s="47">
        <f t="shared" si="10"/>
        <v>348</v>
      </c>
      <c r="I16" s="47">
        <f t="shared" ref="I16:Q16" si="11">I11-I15</f>
        <v>460</v>
      </c>
      <c r="J16" s="46">
        <f t="shared" si="11"/>
        <v>431</v>
      </c>
      <c r="K16" s="45">
        <f t="shared" si="11"/>
        <v>430</v>
      </c>
      <c r="L16" s="45">
        <f t="shared" si="11"/>
        <v>423</v>
      </c>
      <c r="M16" s="45">
        <f t="shared" si="11"/>
        <v>843</v>
      </c>
      <c r="N16" s="46">
        <f t="shared" si="11"/>
        <v>534</v>
      </c>
      <c r="O16" s="45">
        <f t="shared" si="11"/>
        <v>572</v>
      </c>
      <c r="P16" s="45">
        <f t="shared" si="11"/>
        <v>490</v>
      </c>
      <c r="Q16" s="45">
        <f t="shared" si="11"/>
        <v>598</v>
      </c>
    </row>
    <row r="17" spans="1:22" x14ac:dyDescent="0.15">
      <c r="A17" s="3" t="s">
        <v>12</v>
      </c>
      <c r="B17" s="37">
        <v>-1</v>
      </c>
      <c r="C17" s="37">
        <v>1</v>
      </c>
      <c r="D17" s="37">
        <v>20</v>
      </c>
      <c r="E17" s="37">
        <v>7</v>
      </c>
      <c r="F17" s="36">
        <v>15</v>
      </c>
      <c r="G17" s="35">
        <v>9</v>
      </c>
      <c r="H17" s="35">
        <v>12</v>
      </c>
      <c r="I17" s="35">
        <v>9</v>
      </c>
      <c r="J17" s="36">
        <v>7</v>
      </c>
      <c r="K17" s="37">
        <v>17</v>
      </c>
      <c r="L17" s="37">
        <v>28</v>
      </c>
      <c r="M17" s="37">
        <v>21</v>
      </c>
      <c r="N17" s="36">
        <v>14</v>
      </c>
      <c r="O17" s="37">
        <v>37</v>
      </c>
      <c r="P17" s="37">
        <v>43</v>
      </c>
      <c r="Q17" s="70">
        <v>88</v>
      </c>
    </row>
    <row r="18" spans="1:22" x14ac:dyDescent="0.15">
      <c r="A18" s="3" t="s">
        <v>13</v>
      </c>
      <c r="B18" s="45">
        <f>B16+B17</f>
        <v>321</v>
      </c>
      <c r="C18" s="45">
        <f>C16+C17</f>
        <v>399</v>
      </c>
      <c r="D18" s="45">
        <f>D16+D17</f>
        <v>350</v>
      </c>
      <c r="E18" s="45">
        <f>E16+E17</f>
        <v>418</v>
      </c>
      <c r="F18" s="46">
        <f>F16+F17</f>
        <v>422</v>
      </c>
      <c r="G18" s="47">
        <f t="shared" ref="G18:I18" si="12">G16+G17</f>
        <v>380</v>
      </c>
      <c r="H18" s="47">
        <f t="shared" si="12"/>
        <v>360</v>
      </c>
      <c r="I18" s="47">
        <f t="shared" si="12"/>
        <v>469</v>
      </c>
      <c r="J18" s="46">
        <f t="shared" ref="J18:K18" si="13">J16+J17</f>
        <v>438</v>
      </c>
      <c r="K18" s="45">
        <f t="shared" si="13"/>
        <v>447</v>
      </c>
      <c r="L18" s="45">
        <f t="shared" ref="L18" si="14">L16+L17</f>
        <v>451</v>
      </c>
      <c r="M18" s="45">
        <f t="shared" ref="M18:N18" si="15">M16+M17</f>
        <v>864</v>
      </c>
      <c r="N18" s="46">
        <f t="shared" si="15"/>
        <v>548</v>
      </c>
      <c r="O18" s="45">
        <f t="shared" ref="O18:Q18" si="16">O16+O17</f>
        <v>609</v>
      </c>
      <c r="P18" s="45">
        <f t="shared" si="16"/>
        <v>533</v>
      </c>
      <c r="Q18" s="45">
        <f t="shared" si="16"/>
        <v>686</v>
      </c>
    </row>
    <row r="19" spans="1:22" x14ac:dyDescent="0.15">
      <c r="A19" s="3" t="s">
        <v>14</v>
      </c>
      <c r="B19" s="37">
        <v>66</v>
      </c>
      <c r="C19" s="37">
        <v>94</v>
      </c>
      <c r="D19" s="37">
        <v>49</v>
      </c>
      <c r="E19" s="37">
        <v>51</v>
      </c>
      <c r="F19" s="36">
        <v>57</v>
      </c>
      <c r="G19" s="35">
        <v>57</v>
      </c>
      <c r="H19" s="35">
        <v>37</v>
      </c>
      <c r="I19" s="35">
        <v>79</v>
      </c>
      <c r="J19" s="36">
        <v>54</v>
      </c>
      <c r="K19" s="37">
        <v>36</v>
      </c>
      <c r="L19" s="37">
        <v>71</v>
      </c>
      <c r="M19" s="37">
        <v>244</v>
      </c>
      <c r="N19" s="36">
        <v>37</v>
      </c>
      <c r="O19" s="37">
        <v>83</v>
      </c>
      <c r="P19" s="37">
        <v>97</v>
      </c>
      <c r="Q19" s="70">
        <v>102</v>
      </c>
    </row>
    <row r="20" spans="1:22" s="2" customFormat="1" x14ac:dyDescent="0.15">
      <c r="A20" s="2" t="s">
        <v>15</v>
      </c>
      <c r="B20" s="40">
        <f>B18-B19</f>
        <v>255</v>
      </c>
      <c r="C20" s="40">
        <f>C18-C19</f>
        <v>305</v>
      </c>
      <c r="D20" s="40">
        <f>D18-D19</f>
        <v>301</v>
      </c>
      <c r="E20" s="40">
        <f>E18-E19</f>
        <v>367</v>
      </c>
      <c r="F20" s="41">
        <f>F18-F19</f>
        <v>365</v>
      </c>
      <c r="G20" s="42">
        <f t="shared" ref="G20:H20" si="17">G18-G19</f>
        <v>323</v>
      </c>
      <c r="H20" s="42">
        <f t="shared" si="17"/>
        <v>323</v>
      </c>
      <c r="I20" s="42">
        <f t="shared" ref="I20:Q20" si="18">I18-I19</f>
        <v>390</v>
      </c>
      <c r="J20" s="41">
        <f t="shared" si="18"/>
        <v>384</v>
      </c>
      <c r="K20" s="40">
        <f t="shared" si="18"/>
        <v>411</v>
      </c>
      <c r="L20" s="40">
        <f t="shared" si="18"/>
        <v>380</v>
      </c>
      <c r="M20" s="40">
        <f t="shared" si="18"/>
        <v>620</v>
      </c>
      <c r="N20" s="41">
        <f t="shared" si="18"/>
        <v>511</v>
      </c>
      <c r="O20" s="40">
        <f t="shared" si="18"/>
        <v>526</v>
      </c>
      <c r="P20" s="40">
        <f t="shared" si="18"/>
        <v>436</v>
      </c>
      <c r="Q20" s="40">
        <f t="shared" si="18"/>
        <v>584</v>
      </c>
      <c r="R20" s="78"/>
      <c r="S20" s="79"/>
      <c r="T20" s="79"/>
      <c r="U20" s="79"/>
      <c r="V20" s="33"/>
    </row>
    <row r="21" spans="1:22" x14ac:dyDescent="0.15">
      <c r="A21" s="3" t="s">
        <v>16</v>
      </c>
      <c r="B21" s="48">
        <f t="shared" ref="B21:H21" si="19">IFERROR(B20/B22,0)</f>
        <v>0.20833333333333334</v>
      </c>
      <c r="C21" s="48">
        <f t="shared" si="19"/>
        <v>0.24918300653594772</v>
      </c>
      <c r="D21" s="48">
        <f t="shared" si="19"/>
        <v>0.24531377343113284</v>
      </c>
      <c r="E21" s="48">
        <f t="shared" si="19"/>
        <v>0.29837398373983742</v>
      </c>
      <c r="F21" s="49">
        <f t="shared" si="19"/>
        <v>0.29795918367346941</v>
      </c>
      <c r="G21" s="50">
        <f t="shared" si="19"/>
        <v>0.26584362139917694</v>
      </c>
      <c r="H21" s="50">
        <f t="shared" si="19"/>
        <v>0.26606260296540363</v>
      </c>
      <c r="I21" s="50">
        <f t="shared" ref="I21:L21" si="20">IFERROR(I20/I22,0)</f>
        <v>0.32072368421052633</v>
      </c>
      <c r="J21" s="49">
        <f t="shared" si="20"/>
        <v>0.31578947368421051</v>
      </c>
      <c r="K21" s="48">
        <f t="shared" si="20"/>
        <v>0.33827160493827163</v>
      </c>
      <c r="L21" s="48">
        <f t="shared" si="20"/>
        <v>0.3107113654946852</v>
      </c>
      <c r="M21" s="48">
        <f t="shared" ref="M21:N21" si="21">IFERROR(M20/M22,0)</f>
        <v>0.50488599348534202</v>
      </c>
      <c r="N21" s="49">
        <f t="shared" si="21"/>
        <v>0.41988496302382911</v>
      </c>
      <c r="O21" s="48">
        <f t="shared" ref="O21:P21" si="22">IFERROR(O20/O22,0)</f>
        <v>0.43760399334442596</v>
      </c>
      <c r="P21" s="48">
        <f t="shared" si="22"/>
        <v>0.36363636363636365</v>
      </c>
      <c r="Q21" s="48">
        <f>IFERROR(Q20/Q22,0)</f>
        <v>0.48829431438127091</v>
      </c>
    </row>
    <row r="22" spans="1:22" x14ac:dyDescent="0.15">
      <c r="A22" s="3" t="s">
        <v>17</v>
      </c>
      <c r="B22" s="37">
        <v>1224</v>
      </c>
      <c r="C22" s="37">
        <v>1224</v>
      </c>
      <c r="D22" s="37">
        <v>1227</v>
      </c>
      <c r="E22" s="37">
        <v>1230</v>
      </c>
      <c r="F22" s="36">
        <v>1225</v>
      </c>
      <c r="G22" s="35">
        <v>1215</v>
      </c>
      <c r="H22" s="35">
        <v>1214</v>
      </c>
      <c r="I22" s="35">
        <v>1216</v>
      </c>
      <c r="J22" s="36">
        <v>1216</v>
      </c>
      <c r="K22" s="37">
        <v>1215</v>
      </c>
      <c r="L22" s="37">
        <v>1223</v>
      </c>
      <c r="M22" s="37">
        <v>1228</v>
      </c>
      <c r="N22" s="36">
        <v>1217</v>
      </c>
      <c r="O22" s="37">
        <v>1202</v>
      </c>
      <c r="P22" s="37">
        <v>1199</v>
      </c>
      <c r="Q22" s="70">
        <v>1196</v>
      </c>
    </row>
    <row r="23" spans="1:22" x14ac:dyDescent="0.15">
      <c r="B23" s="39"/>
      <c r="C23" s="39"/>
      <c r="D23" s="39"/>
      <c r="E23" s="39"/>
      <c r="K23" s="39"/>
      <c r="L23" s="39"/>
      <c r="M23" s="39"/>
      <c r="O23" s="39"/>
      <c r="P23" s="39"/>
      <c r="Q23" s="72"/>
    </row>
    <row r="24" spans="1:22" x14ac:dyDescent="0.15">
      <c r="A24" s="3" t="s">
        <v>19</v>
      </c>
      <c r="B24" s="51">
        <f t="shared" ref="B24:Q24" si="23">IFERROR(B11/B9,0)</f>
        <v>0.64763687412260174</v>
      </c>
      <c r="C24" s="51">
        <f t="shared" si="23"/>
        <v>0.64344797562037437</v>
      </c>
      <c r="D24" s="51">
        <f t="shared" si="23"/>
        <v>0.62267493356953052</v>
      </c>
      <c r="E24" s="51">
        <f t="shared" si="23"/>
        <v>0.61071987480438183</v>
      </c>
      <c r="F24" s="52">
        <f t="shared" si="23"/>
        <v>0.60416666666666663</v>
      </c>
      <c r="G24" s="53">
        <f t="shared" si="23"/>
        <v>0.59811320754716979</v>
      </c>
      <c r="H24" s="53">
        <f t="shared" si="23"/>
        <v>0.58717660292463447</v>
      </c>
      <c r="I24" s="53">
        <f t="shared" si="23"/>
        <v>0.57698758805769879</v>
      </c>
      <c r="J24" s="52">
        <f t="shared" si="23"/>
        <v>0.56739495798319328</v>
      </c>
      <c r="K24" s="51">
        <f t="shared" si="23"/>
        <v>0.5625</v>
      </c>
      <c r="L24" s="51">
        <f t="shared" si="23"/>
        <v>0.54769990737882057</v>
      </c>
      <c r="M24" s="51">
        <f t="shared" si="23"/>
        <v>0.65117521367521369</v>
      </c>
      <c r="N24" s="52">
        <f t="shared" si="23"/>
        <v>0.57123473541383984</v>
      </c>
      <c r="O24" s="51">
        <f t="shared" si="23"/>
        <v>0.56028001037075448</v>
      </c>
      <c r="P24" s="51">
        <f t="shared" si="23"/>
        <v>0.54900896008688571</v>
      </c>
      <c r="Q24" s="51">
        <f t="shared" si="23"/>
        <v>0.54614292475153814</v>
      </c>
    </row>
    <row r="25" spans="1:22" x14ac:dyDescent="0.15">
      <c r="A25" s="3" t="s">
        <v>20</v>
      </c>
      <c r="B25" s="54">
        <f t="shared" ref="B25:Q25" si="24">IFERROR(B16/B9,0)</f>
        <v>0.15067852129153017</v>
      </c>
      <c r="C25" s="54">
        <f t="shared" si="24"/>
        <v>0.17326948193295602</v>
      </c>
      <c r="D25" s="54">
        <f t="shared" si="24"/>
        <v>0.14614703277236493</v>
      </c>
      <c r="E25" s="54">
        <f t="shared" si="24"/>
        <v>0.16079812206572769</v>
      </c>
      <c r="F25" s="55">
        <f t="shared" si="24"/>
        <v>0.15998427672955975</v>
      </c>
      <c r="G25" s="56">
        <f t="shared" si="24"/>
        <v>0.14000000000000001</v>
      </c>
      <c r="H25" s="56">
        <f t="shared" si="24"/>
        <v>0.13048368953880765</v>
      </c>
      <c r="I25" s="56">
        <f t="shared" si="24"/>
        <v>0.15431063401543108</v>
      </c>
      <c r="J25" s="55">
        <f t="shared" si="24"/>
        <v>0.14487394957983193</v>
      </c>
      <c r="K25" s="54">
        <f t="shared" si="24"/>
        <v>0.1371173469387755</v>
      </c>
      <c r="L25" s="54">
        <f t="shared" si="24"/>
        <v>0.13059586292065453</v>
      </c>
      <c r="M25" s="54">
        <f t="shared" si="24"/>
        <v>0.22516025641025642</v>
      </c>
      <c r="N25" s="55">
        <f t="shared" si="24"/>
        <v>0.14491180461329714</v>
      </c>
      <c r="O25" s="54">
        <f t="shared" si="24"/>
        <v>0.14830178895514648</v>
      </c>
      <c r="P25" s="54">
        <f t="shared" si="24"/>
        <v>0.13304371436329079</v>
      </c>
      <c r="Q25" s="54">
        <f t="shared" si="24"/>
        <v>0.14150496923805017</v>
      </c>
    </row>
    <row r="26" spans="1:22" x14ac:dyDescent="0.15">
      <c r="A26" s="3" t="s">
        <v>21</v>
      </c>
      <c r="B26" s="54">
        <f t="shared" ref="B26:Q26" si="25">IFERROR(B19/B18,0)</f>
        <v>0.20560747663551401</v>
      </c>
      <c r="C26" s="54">
        <f t="shared" si="25"/>
        <v>0.23558897243107768</v>
      </c>
      <c r="D26" s="54">
        <f t="shared" si="25"/>
        <v>0.14000000000000001</v>
      </c>
      <c r="E26" s="54">
        <f t="shared" si="25"/>
        <v>0.12200956937799043</v>
      </c>
      <c r="F26" s="55">
        <f t="shared" si="25"/>
        <v>0.13507109004739337</v>
      </c>
      <c r="G26" s="56">
        <f t="shared" si="25"/>
        <v>0.15</v>
      </c>
      <c r="H26" s="56">
        <f t="shared" si="25"/>
        <v>0.10277777777777777</v>
      </c>
      <c r="I26" s="56">
        <f t="shared" si="25"/>
        <v>0.16844349680170576</v>
      </c>
      <c r="J26" s="55">
        <f t="shared" si="25"/>
        <v>0.12328767123287671</v>
      </c>
      <c r="K26" s="54">
        <f t="shared" si="25"/>
        <v>8.0536912751677847E-2</v>
      </c>
      <c r="L26" s="54">
        <f t="shared" si="25"/>
        <v>0.1574279379157428</v>
      </c>
      <c r="M26" s="54">
        <f t="shared" si="25"/>
        <v>0.28240740740740738</v>
      </c>
      <c r="N26" s="55">
        <f t="shared" si="25"/>
        <v>6.7518248175182483E-2</v>
      </c>
      <c r="O26" s="54">
        <f t="shared" si="25"/>
        <v>0.13628899835796388</v>
      </c>
      <c r="P26" s="54">
        <f t="shared" si="25"/>
        <v>0.18198874296435272</v>
      </c>
      <c r="Q26" s="54">
        <f t="shared" si="25"/>
        <v>0.14868804664723032</v>
      </c>
    </row>
    <row r="27" spans="1:22" x14ac:dyDescent="0.15">
      <c r="B27" s="39"/>
      <c r="C27" s="39"/>
      <c r="D27" s="39"/>
      <c r="E27" s="39"/>
      <c r="K27" s="39"/>
      <c r="L27" s="39"/>
      <c r="M27" s="39"/>
      <c r="O27" s="39"/>
      <c r="P27" s="39"/>
      <c r="Q27" s="71"/>
    </row>
    <row r="28" spans="1:22" s="2" customFormat="1" x14ac:dyDescent="0.15">
      <c r="A28" s="2" t="s">
        <v>18</v>
      </c>
      <c r="B28" s="57"/>
      <c r="C28" s="57"/>
      <c r="D28" s="57"/>
      <c r="E28" s="57"/>
      <c r="F28" s="58">
        <f>IFERROR((F9/B9)-1,0)</f>
        <v>0.19045390734674772</v>
      </c>
      <c r="G28" s="57">
        <f>IFERROR((G9/C9)-1,0)</f>
        <v>0.15367871136264699</v>
      </c>
      <c r="H28" s="57">
        <f t="shared" ref="H28" si="26">IFERROR((H9/D9)-1,0)</f>
        <v>0.18113374667847659</v>
      </c>
      <c r="I28" s="57">
        <f>IFERROR((I9/E9)-1,0)</f>
        <v>0.16627543035993742</v>
      </c>
      <c r="J28" s="58">
        <f>IFERROR((J9/F9)-1,0)</f>
        <v>0.16941823899371067</v>
      </c>
      <c r="K28" s="57">
        <f t="shared" ref="K28" si="27">IFERROR((K9/G9)-1,0)</f>
        <v>0.18339622641509434</v>
      </c>
      <c r="L28" s="57">
        <f t="shared" ref="L28:Q28" si="28">IFERROR((L9/H9)-1,0)</f>
        <v>0.21447319085114369</v>
      </c>
      <c r="M28" s="57">
        <f t="shared" si="28"/>
        <v>0.25595437772559548</v>
      </c>
      <c r="N28" s="58">
        <f t="shared" si="28"/>
        <v>0.23865546218487399</v>
      </c>
      <c r="O28" s="57">
        <f t="shared" si="28"/>
        <v>0.22991071428571419</v>
      </c>
      <c r="P28" s="57">
        <f t="shared" si="28"/>
        <v>0.13707934547699918</v>
      </c>
      <c r="Q28" s="73">
        <f t="shared" si="28"/>
        <v>0.12873931623931623</v>
      </c>
      <c r="R28" s="78"/>
      <c r="S28" s="79"/>
      <c r="T28" s="79"/>
      <c r="U28" s="79"/>
      <c r="V28" s="33"/>
    </row>
    <row r="29" spans="1:22" s="5" customFormat="1" x14ac:dyDescent="0.15">
      <c r="A29" s="5" t="s">
        <v>81</v>
      </c>
      <c r="B29" s="59"/>
      <c r="C29" s="59"/>
      <c r="D29" s="59"/>
      <c r="E29" s="59"/>
      <c r="F29" s="60">
        <f>F12/B12-1</f>
        <v>5.4054054054053946E-2</v>
      </c>
      <c r="G29" s="59">
        <f t="shared" ref="G29:P29" si="29">G12/C12-1</f>
        <v>3.4653465346534684E-2</v>
      </c>
      <c r="H29" s="59">
        <f t="shared" si="29"/>
        <v>-6.5217391304347783E-2</v>
      </c>
      <c r="I29" s="59">
        <f t="shared" si="29"/>
        <v>3.3653846153846256E-2</v>
      </c>
      <c r="J29" s="60">
        <f t="shared" si="29"/>
        <v>9.7435897435897534E-2</v>
      </c>
      <c r="K29" s="59">
        <f t="shared" si="29"/>
        <v>0.11004784688995217</v>
      </c>
      <c r="L29" s="59">
        <f t="shared" si="29"/>
        <v>0.11627906976744184</v>
      </c>
      <c r="M29" s="59">
        <f t="shared" si="29"/>
        <v>0.24186046511627901</v>
      </c>
      <c r="N29" s="60">
        <f t="shared" si="29"/>
        <v>0.20560747663551404</v>
      </c>
      <c r="O29" s="59">
        <f t="shared" si="29"/>
        <v>9.9137931034482651E-2</v>
      </c>
      <c r="P29" s="59">
        <f t="shared" si="29"/>
        <v>0.12083333333333335</v>
      </c>
      <c r="Q29" s="74">
        <f>Q12/M12-1</f>
        <v>8.2397003745318331E-2</v>
      </c>
      <c r="R29" s="38"/>
      <c r="S29" s="39"/>
      <c r="T29" s="39"/>
      <c r="U29" s="39"/>
      <c r="V29" s="30"/>
    </row>
    <row r="30" spans="1:22" x14ac:dyDescent="0.15">
      <c r="A30" s="3" t="s">
        <v>82</v>
      </c>
      <c r="B30" s="59"/>
      <c r="C30" s="59"/>
      <c r="D30" s="59"/>
      <c r="E30" s="59"/>
      <c r="F30" s="60">
        <f>F13/B13-1</f>
        <v>0.12314225053078554</v>
      </c>
      <c r="G30" s="59">
        <f t="shared" ref="G30:Q30" si="30">G13/C13-1</f>
        <v>0.109375</v>
      </c>
      <c r="H30" s="59">
        <f t="shared" si="30"/>
        <v>1.0869565217391353E-2</v>
      </c>
      <c r="I30" s="59">
        <f t="shared" si="30"/>
        <v>4.8736462093862842E-2</v>
      </c>
      <c r="J30" s="60">
        <f t="shared" si="30"/>
        <v>4.914933837429114E-2</v>
      </c>
      <c r="K30" s="59">
        <f t="shared" si="30"/>
        <v>8.9788732394366244E-2</v>
      </c>
      <c r="L30" s="59">
        <f t="shared" si="30"/>
        <v>0.11827956989247301</v>
      </c>
      <c r="M30" s="59">
        <f t="shared" si="30"/>
        <v>0.19449225473321863</v>
      </c>
      <c r="N30" s="60">
        <f t="shared" si="30"/>
        <v>0.14594594594594601</v>
      </c>
      <c r="O30" s="59">
        <f t="shared" si="30"/>
        <v>8.2390953150242252E-2</v>
      </c>
      <c r="P30" s="59">
        <f t="shared" si="30"/>
        <v>0.11057692307692313</v>
      </c>
      <c r="Q30" s="74">
        <f t="shared" si="30"/>
        <v>0.14697406340057628</v>
      </c>
    </row>
    <row r="31" spans="1:22" x14ac:dyDescent="0.15">
      <c r="A31" s="3" t="s">
        <v>83</v>
      </c>
      <c r="B31" s="59"/>
      <c r="C31" s="59"/>
      <c r="D31" s="59"/>
      <c r="E31" s="59"/>
      <c r="F31" s="60">
        <f>F14/B14-1</f>
        <v>0</v>
      </c>
      <c r="G31" s="59">
        <f t="shared" ref="G31:Q31" si="31">G14/C14-1</f>
        <v>0.19398907103825147</v>
      </c>
      <c r="H31" s="59">
        <f t="shared" si="31"/>
        <v>0.51360544217687076</v>
      </c>
      <c r="I31" s="59">
        <f t="shared" si="31"/>
        <v>0.19587628865979378</v>
      </c>
      <c r="J31" s="60">
        <f t="shared" si="31"/>
        <v>0.20197044334975378</v>
      </c>
      <c r="K31" s="59">
        <f t="shared" si="31"/>
        <v>0.10526315789473695</v>
      </c>
      <c r="L31" s="59">
        <f t="shared" si="31"/>
        <v>9.4382022471910076E-2</v>
      </c>
      <c r="M31" s="59">
        <f t="shared" si="31"/>
        <v>0.36637931034482762</v>
      </c>
      <c r="N31" s="60">
        <f t="shared" si="31"/>
        <v>0.38729508196721318</v>
      </c>
      <c r="O31" s="59">
        <f t="shared" si="31"/>
        <v>0.37474120082815743</v>
      </c>
      <c r="P31" s="59">
        <f t="shared" si="31"/>
        <v>0.17043121149897322</v>
      </c>
      <c r="Q31" s="74">
        <f t="shared" si="31"/>
        <v>-1.4195583596214534E-2</v>
      </c>
    </row>
    <row r="32" spans="1:22" x14ac:dyDescent="0.15">
      <c r="B32" s="39"/>
      <c r="C32" s="39"/>
      <c r="D32" s="39"/>
      <c r="E32" s="39"/>
      <c r="K32" s="39"/>
      <c r="L32" s="39"/>
      <c r="M32" s="39"/>
      <c r="O32" s="39"/>
      <c r="P32" s="39"/>
      <c r="Q32" s="72"/>
    </row>
    <row r="33" spans="1:22" s="2" customFormat="1" x14ac:dyDescent="0.15">
      <c r="A33" s="2" t="s">
        <v>33</v>
      </c>
      <c r="B33" s="37"/>
      <c r="C33" s="37"/>
      <c r="D33" s="37"/>
      <c r="E33" s="37"/>
      <c r="F33" s="36"/>
      <c r="G33" s="35"/>
      <c r="H33" s="35"/>
      <c r="I33" s="42">
        <f t="shared" ref="I33:K33" si="32">I34-I35</f>
        <v>6514</v>
      </c>
      <c r="J33" s="41">
        <f t="shared" si="32"/>
        <v>6380</v>
      </c>
      <c r="K33" s="40">
        <f t="shared" si="32"/>
        <v>6602</v>
      </c>
      <c r="L33" s="40">
        <f t="shared" ref="L33:Q33" si="33">L34-L35</f>
        <v>7138</v>
      </c>
      <c r="M33" s="40">
        <f t="shared" si="33"/>
        <v>6656</v>
      </c>
      <c r="N33" s="41">
        <f t="shared" si="33"/>
        <v>4793</v>
      </c>
      <c r="O33" s="40">
        <f t="shared" si="33"/>
        <v>4334</v>
      </c>
      <c r="P33" s="40">
        <f t="shared" si="33"/>
        <v>8533</v>
      </c>
      <c r="Q33" s="40">
        <f t="shared" si="33"/>
        <v>8082</v>
      </c>
      <c r="R33" s="78"/>
      <c r="S33" s="79"/>
      <c r="T33" s="79"/>
      <c r="U33" s="79"/>
      <c r="V33" s="33"/>
    </row>
    <row r="34" spans="1:22" x14ac:dyDescent="0.15">
      <c r="A34" s="3" t="s">
        <v>34</v>
      </c>
      <c r="B34" s="37"/>
      <c r="C34" s="37"/>
      <c r="D34" s="37"/>
      <c r="E34" s="37"/>
      <c r="F34" s="36"/>
      <c r="G34" s="35"/>
      <c r="H34" s="35"/>
      <c r="I34" s="35">
        <f>1590+3385+1539</f>
        <v>6514</v>
      </c>
      <c r="J34" s="36">
        <f>1240+2815+2325</f>
        <v>6380</v>
      </c>
      <c r="K34" s="37">
        <f>1271+2820+2511</f>
        <v>6602</v>
      </c>
      <c r="L34" s="37">
        <f>2330+2591+2217</f>
        <v>7138</v>
      </c>
      <c r="M34" s="37">
        <f>2883+2812+1961</f>
        <v>7656</v>
      </c>
      <c r="N34" s="36">
        <f>2879+3427+1487</f>
        <v>7793</v>
      </c>
      <c r="O34" s="37">
        <f>2840+2125+1369</f>
        <v>6334</v>
      </c>
      <c r="P34" s="37">
        <f>8147+1440+946</f>
        <v>10533</v>
      </c>
      <c r="Q34" s="37">
        <f>7575+1534+971</f>
        <v>10080</v>
      </c>
    </row>
    <row r="35" spans="1:22" x14ac:dyDescent="0.15">
      <c r="A35" s="3" t="s">
        <v>35</v>
      </c>
      <c r="B35" s="37"/>
      <c r="C35" s="37"/>
      <c r="D35" s="37"/>
      <c r="E35" s="37"/>
      <c r="F35" s="36"/>
      <c r="G35" s="35"/>
      <c r="H35" s="35"/>
      <c r="I35" s="35">
        <v>0</v>
      </c>
      <c r="J35" s="36">
        <v>0</v>
      </c>
      <c r="K35" s="37">
        <v>0</v>
      </c>
      <c r="L35" s="37">
        <v>0</v>
      </c>
      <c r="M35" s="37">
        <v>1000</v>
      </c>
      <c r="N35" s="36">
        <v>3000</v>
      </c>
      <c r="O35" s="37">
        <v>2000</v>
      </c>
      <c r="P35" s="37">
        <v>2000</v>
      </c>
      <c r="Q35" s="37">
        <v>1998</v>
      </c>
    </row>
    <row r="36" spans="1:22" x14ac:dyDescent="0.15">
      <c r="B36" s="37"/>
      <c r="C36" s="37"/>
      <c r="D36" s="37"/>
      <c r="E36" s="37"/>
      <c r="F36" s="36"/>
      <c r="G36" s="35"/>
      <c r="H36" s="35"/>
      <c r="I36" s="35"/>
      <c r="J36" s="36"/>
      <c r="K36" s="37"/>
      <c r="L36" s="37"/>
      <c r="M36" s="37"/>
      <c r="N36" s="36"/>
      <c r="O36" s="37"/>
      <c r="P36" s="37"/>
      <c r="Q36" s="37"/>
    </row>
    <row r="37" spans="1:22" x14ac:dyDescent="0.15">
      <c r="A37" s="26" t="s">
        <v>84</v>
      </c>
      <c r="B37" s="37"/>
      <c r="C37" s="37"/>
      <c r="D37" s="37"/>
      <c r="E37" s="37"/>
      <c r="F37" s="36"/>
      <c r="G37" s="35"/>
      <c r="H37" s="35"/>
      <c r="I37" s="37">
        <f>4059+211</f>
        <v>4270</v>
      </c>
      <c r="J37" s="36">
        <f>4060+184</f>
        <v>4244</v>
      </c>
      <c r="K37" s="37">
        <f>4062+143</f>
        <v>4205</v>
      </c>
      <c r="L37" s="37">
        <f>4326+226</f>
        <v>4552</v>
      </c>
      <c r="M37" s="37">
        <f>4339+168</f>
        <v>4507</v>
      </c>
      <c r="N37" s="36">
        <f>4338+138</f>
        <v>4476</v>
      </c>
      <c r="O37" s="37">
        <f>4331+125</f>
        <v>4456</v>
      </c>
      <c r="P37" s="37">
        <f>6054+684</f>
        <v>6738</v>
      </c>
      <c r="Q37" s="37">
        <f>6284+825</f>
        <v>7109</v>
      </c>
    </row>
    <row r="38" spans="1:22" x14ac:dyDescent="0.15">
      <c r="A38" s="26" t="s">
        <v>85</v>
      </c>
      <c r="B38" s="37"/>
      <c r="C38" s="37"/>
      <c r="D38" s="37"/>
      <c r="E38" s="37"/>
      <c r="F38" s="36"/>
      <c r="G38" s="35"/>
      <c r="H38" s="35"/>
      <c r="I38" s="37">
        <v>33103</v>
      </c>
      <c r="J38" s="36">
        <v>33493</v>
      </c>
      <c r="K38" s="37">
        <v>35290</v>
      </c>
      <c r="L38" s="37">
        <v>37761</v>
      </c>
      <c r="M38" s="37">
        <v>40774</v>
      </c>
      <c r="N38" s="36">
        <v>42322</v>
      </c>
      <c r="O38" s="37">
        <v>41677</v>
      </c>
      <c r="P38" s="37">
        <v>43724</v>
      </c>
      <c r="Q38" s="37">
        <v>43332</v>
      </c>
    </row>
    <row r="39" spans="1:22" x14ac:dyDescent="0.15">
      <c r="A39" s="26" t="s">
        <v>86</v>
      </c>
      <c r="B39" s="37"/>
      <c r="C39" s="37"/>
      <c r="D39" s="37"/>
      <c r="E39" s="37"/>
      <c r="F39" s="36"/>
      <c r="G39" s="35"/>
      <c r="H39" s="35"/>
      <c r="I39" s="37">
        <v>18391</v>
      </c>
      <c r="J39" s="36">
        <v>18867</v>
      </c>
      <c r="K39" s="37">
        <v>20292</v>
      </c>
      <c r="L39" s="37">
        <v>22329</v>
      </c>
      <c r="M39" s="37">
        <v>24780</v>
      </c>
      <c r="N39" s="36">
        <v>27681</v>
      </c>
      <c r="O39" s="37">
        <v>26658</v>
      </c>
      <c r="P39" s="37">
        <v>28609</v>
      </c>
      <c r="Q39" s="37">
        <v>27946</v>
      </c>
    </row>
    <row r="40" spans="1:22" x14ac:dyDescent="0.15">
      <c r="A40" s="5"/>
      <c r="B40" s="37"/>
      <c r="C40" s="37"/>
      <c r="D40" s="37"/>
      <c r="E40" s="37"/>
      <c r="F40" s="36"/>
      <c r="G40" s="35"/>
      <c r="H40" s="35"/>
      <c r="I40" s="37"/>
      <c r="J40" s="36"/>
      <c r="K40" s="37"/>
      <c r="L40" s="37"/>
      <c r="M40" s="37"/>
      <c r="N40" s="36"/>
      <c r="O40" s="37"/>
      <c r="P40" s="37"/>
      <c r="Q40" s="37"/>
    </row>
    <row r="41" spans="1:22" x14ac:dyDescent="0.15">
      <c r="A41" s="26" t="s">
        <v>87</v>
      </c>
      <c r="B41" s="37"/>
      <c r="C41" s="37"/>
      <c r="D41" s="37"/>
      <c r="E41" s="37"/>
      <c r="F41" s="36"/>
      <c r="G41" s="35"/>
      <c r="H41" s="35"/>
      <c r="I41" s="45">
        <f t="shared" ref="I41:P41" si="34">I38-I37-I34</f>
        <v>22319</v>
      </c>
      <c r="J41" s="46">
        <f t="shared" si="34"/>
        <v>22869</v>
      </c>
      <c r="K41" s="45">
        <f t="shared" si="34"/>
        <v>24483</v>
      </c>
      <c r="L41" s="45">
        <f t="shared" si="34"/>
        <v>26071</v>
      </c>
      <c r="M41" s="45">
        <f t="shared" si="34"/>
        <v>28611</v>
      </c>
      <c r="N41" s="46">
        <f t="shared" si="34"/>
        <v>30053</v>
      </c>
      <c r="O41" s="45">
        <f t="shared" si="34"/>
        <v>30887</v>
      </c>
      <c r="P41" s="45">
        <f t="shared" si="34"/>
        <v>26453</v>
      </c>
      <c r="Q41" s="45">
        <f t="shared" ref="Q41" si="35">Q38-Q37-Q34</f>
        <v>26143</v>
      </c>
    </row>
    <row r="42" spans="1:22" x14ac:dyDescent="0.15">
      <c r="A42" s="26" t="s">
        <v>88</v>
      </c>
      <c r="B42" s="37"/>
      <c r="C42" s="37"/>
      <c r="D42" s="37"/>
      <c r="E42" s="37"/>
      <c r="F42" s="36"/>
      <c r="G42" s="35"/>
      <c r="H42" s="35"/>
      <c r="I42" s="45">
        <f t="shared" ref="I42:P42" si="36">I38-I39</f>
        <v>14712</v>
      </c>
      <c r="J42" s="46">
        <f t="shared" si="36"/>
        <v>14626</v>
      </c>
      <c r="K42" s="45">
        <f t="shared" si="36"/>
        <v>14998</v>
      </c>
      <c r="L42" s="45">
        <f t="shared" si="36"/>
        <v>15432</v>
      </c>
      <c r="M42" s="45">
        <f t="shared" si="36"/>
        <v>15994</v>
      </c>
      <c r="N42" s="46">
        <f t="shared" si="36"/>
        <v>14641</v>
      </c>
      <c r="O42" s="45">
        <f t="shared" si="36"/>
        <v>15019</v>
      </c>
      <c r="P42" s="45">
        <f t="shared" si="36"/>
        <v>15115</v>
      </c>
      <c r="Q42" s="45">
        <f t="shared" ref="Q42" si="37">Q38-Q39</f>
        <v>15386</v>
      </c>
    </row>
    <row r="43" spans="1:22" x14ac:dyDescent="0.15">
      <c r="A43" s="26"/>
      <c r="B43" s="37"/>
      <c r="C43" s="37"/>
      <c r="D43" s="37"/>
      <c r="E43" s="37"/>
      <c r="F43" s="36"/>
      <c r="G43" s="35"/>
      <c r="H43" s="35"/>
      <c r="I43" s="37"/>
      <c r="J43" s="36"/>
      <c r="K43" s="37"/>
      <c r="L43" s="37"/>
      <c r="M43" s="37"/>
      <c r="N43" s="36"/>
      <c r="O43" s="37"/>
      <c r="P43" s="37"/>
      <c r="Q43" s="37"/>
    </row>
    <row r="44" spans="1:22" s="2" customFormat="1" x14ac:dyDescent="0.15">
      <c r="A44" s="27" t="s">
        <v>94</v>
      </c>
      <c r="B44" s="43"/>
      <c r="C44" s="43"/>
      <c r="D44" s="43"/>
      <c r="E44" s="43"/>
      <c r="F44" s="44"/>
      <c r="G44" s="61"/>
      <c r="H44" s="61"/>
      <c r="I44" s="43">
        <f t="shared" ref="I44:Q44" si="38">SUM(F20:I20)</f>
        <v>1401</v>
      </c>
      <c r="J44" s="44">
        <f t="shared" si="38"/>
        <v>1420</v>
      </c>
      <c r="K44" s="43">
        <f t="shared" si="38"/>
        <v>1508</v>
      </c>
      <c r="L44" s="43">
        <f t="shared" si="38"/>
        <v>1565</v>
      </c>
      <c r="M44" s="43">
        <f t="shared" si="38"/>
        <v>1795</v>
      </c>
      <c r="N44" s="44">
        <f t="shared" si="38"/>
        <v>1922</v>
      </c>
      <c r="O44" s="43">
        <f t="shared" si="38"/>
        <v>2037</v>
      </c>
      <c r="P44" s="43">
        <f t="shared" si="38"/>
        <v>2093</v>
      </c>
      <c r="Q44" s="43">
        <f t="shared" si="38"/>
        <v>2057</v>
      </c>
      <c r="R44" s="78"/>
      <c r="S44" s="79"/>
      <c r="T44" s="79"/>
      <c r="U44" s="79"/>
      <c r="V44" s="33"/>
    </row>
    <row r="45" spans="1:22" s="17" customFormat="1" x14ac:dyDescent="0.15">
      <c r="A45" s="66" t="s">
        <v>89</v>
      </c>
      <c r="B45" s="51"/>
      <c r="C45" s="51"/>
      <c r="D45" s="51"/>
      <c r="E45" s="51"/>
      <c r="F45" s="52"/>
      <c r="G45" s="53"/>
      <c r="H45" s="53"/>
      <c r="I45" s="51">
        <f t="shared" ref="I45:Q45" si="39">I44/I42</f>
        <v>9.5228384991843398E-2</v>
      </c>
      <c r="J45" s="52">
        <f t="shared" si="39"/>
        <v>9.7087378640776698E-2</v>
      </c>
      <c r="K45" s="51">
        <f t="shared" si="39"/>
        <v>0.10054673956527536</v>
      </c>
      <c r="L45" s="51">
        <f t="shared" si="39"/>
        <v>0.10141264904095386</v>
      </c>
      <c r="M45" s="51">
        <f t="shared" si="39"/>
        <v>0.11222958609478555</v>
      </c>
      <c r="N45" s="52">
        <f t="shared" si="39"/>
        <v>0.13127518612116659</v>
      </c>
      <c r="O45" s="51">
        <f t="shared" si="39"/>
        <v>0.13562820427458552</v>
      </c>
      <c r="P45" s="51">
        <f t="shared" si="39"/>
        <v>0.13847171683757856</v>
      </c>
      <c r="Q45" s="51">
        <f t="shared" si="39"/>
        <v>0.13369296763291305</v>
      </c>
      <c r="R45" s="52"/>
      <c r="S45" s="53"/>
      <c r="T45" s="53"/>
      <c r="U45" s="53"/>
      <c r="V45" s="32"/>
    </row>
    <row r="46" spans="1:22" s="17" customFormat="1" x14ac:dyDescent="0.15">
      <c r="A46" s="66" t="s">
        <v>90</v>
      </c>
      <c r="B46" s="51"/>
      <c r="C46" s="51"/>
      <c r="D46" s="51"/>
      <c r="E46" s="51"/>
      <c r="F46" s="52"/>
      <c r="G46" s="53"/>
      <c r="H46" s="53"/>
      <c r="I46" s="51">
        <f t="shared" ref="I46:P46" si="40">I44/I38</f>
        <v>4.2322448116484911E-2</v>
      </c>
      <c r="J46" s="52">
        <f t="shared" si="40"/>
        <v>4.2396918759143705E-2</v>
      </c>
      <c r="K46" s="51">
        <f t="shared" si="40"/>
        <v>4.2731652026069711E-2</v>
      </c>
      <c r="L46" s="51">
        <f t="shared" si="40"/>
        <v>4.1444876989486505E-2</v>
      </c>
      <c r="M46" s="51">
        <f t="shared" si="40"/>
        <v>4.4023152008632951E-2</v>
      </c>
      <c r="N46" s="52">
        <f t="shared" si="40"/>
        <v>4.5413732810358681E-2</v>
      </c>
      <c r="O46" s="51">
        <f t="shared" si="40"/>
        <v>4.8875878782062052E-2</v>
      </c>
      <c r="P46" s="51">
        <f t="shared" si="40"/>
        <v>4.7868447534534807E-2</v>
      </c>
      <c r="Q46" s="51">
        <f t="shared" ref="Q46" si="41">Q44/Q38</f>
        <v>4.7470691405889415E-2</v>
      </c>
      <c r="R46" s="52"/>
      <c r="S46" s="53"/>
      <c r="T46" s="53"/>
      <c r="U46" s="53"/>
      <c r="V46" s="32"/>
    </row>
    <row r="47" spans="1:22" s="17" customFormat="1" x14ac:dyDescent="0.15">
      <c r="A47" s="66" t="s">
        <v>91</v>
      </c>
      <c r="B47" s="51"/>
      <c r="C47" s="51"/>
      <c r="D47" s="51"/>
      <c r="E47" s="51"/>
      <c r="F47" s="52"/>
      <c r="G47" s="53"/>
      <c r="H47" s="53"/>
      <c r="I47" s="51">
        <f t="shared" ref="I47:P47" si="42">I44/(I42-I37)</f>
        <v>0.1341696992913235</v>
      </c>
      <c r="J47" s="52">
        <f t="shared" si="42"/>
        <v>0.13677518782508188</v>
      </c>
      <c r="K47" s="51">
        <f t="shared" si="42"/>
        <v>0.13972018901139627</v>
      </c>
      <c r="L47" s="51">
        <f t="shared" si="42"/>
        <v>0.14384191176470587</v>
      </c>
      <c r="M47" s="51">
        <f t="shared" si="42"/>
        <v>0.15626360233307218</v>
      </c>
      <c r="N47" s="52">
        <f t="shared" si="42"/>
        <v>0.18908017707820954</v>
      </c>
      <c r="O47" s="51">
        <f t="shared" si="42"/>
        <v>0.19284294234592445</v>
      </c>
      <c r="P47" s="51">
        <f t="shared" si="42"/>
        <v>0.24985078190282917</v>
      </c>
      <c r="Q47" s="51">
        <f t="shared" ref="Q47" si="43">Q44/(Q42-Q37)</f>
        <v>0.24851999516733117</v>
      </c>
      <c r="R47" s="52"/>
      <c r="S47" s="53"/>
      <c r="T47" s="53"/>
      <c r="U47" s="53"/>
      <c r="V47" s="32"/>
    </row>
    <row r="48" spans="1:22" s="17" customFormat="1" x14ac:dyDescent="0.15">
      <c r="A48" s="66" t="s">
        <v>92</v>
      </c>
      <c r="B48" s="51"/>
      <c r="C48" s="51"/>
      <c r="D48" s="51"/>
      <c r="E48" s="51"/>
      <c r="F48" s="52"/>
      <c r="G48" s="53"/>
      <c r="H48" s="53"/>
      <c r="I48" s="51">
        <f t="shared" ref="I48:P48" si="44">I44/I41</f>
        <v>6.2771629553295405E-2</v>
      </c>
      <c r="J48" s="52">
        <f t="shared" si="44"/>
        <v>6.209278936551664E-2</v>
      </c>
      <c r="K48" s="51">
        <f t="shared" si="44"/>
        <v>6.1593758934771065E-2</v>
      </c>
      <c r="L48" s="51">
        <f t="shared" si="44"/>
        <v>6.0028384028230602E-2</v>
      </c>
      <c r="M48" s="51">
        <f t="shared" si="44"/>
        <v>6.273810772080668E-2</v>
      </c>
      <c r="N48" s="52">
        <f t="shared" si="44"/>
        <v>6.3953681828769177E-2</v>
      </c>
      <c r="O48" s="51">
        <f t="shared" si="44"/>
        <v>6.5950076083789291E-2</v>
      </c>
      <c r="P48" s="51">
        <f t="shared" si="44"/>
        <v>7.9121460703889923E-2</v>
      </c>
      <c r="Q48" s="51">
        <f t="shared" ref="Q48" si="45">Q44/Q41</f>
        <v>7.8682630149562019E-2</v>
      </c>
      <c r="R48" s="52"/>
      <c r="S48" s="53"/>
      <c r="T48" s="53"/>
      <c r="U48" s="53"/>
      <c r="V48" s="32"/>
    </row>
    <row r="49" spans="1:22" x14ac:dyDescent="0.15">
      <c r="B49" s="35"/>
      <c r="C49" s="35"/>
      <c r="D49" s="35"/>
      <c r="E49" s="35"/>
      <c r="F49" s="36"/>
      <c r="G49" s="35"/>
      <c r="H49" s="35"/>
      <c r="I49" s="35"/>
      <c r="J49" s="36"/>
      <c r="K49" s="35"/>
      <c r="L49" s="35"/>
      <c r="M49" s="35"/>
    </row>
    <row r="50" spans="1:22" x14ac:dyDescent="0.15">
      <c r="A50" s="3" t="s">
        <v>96</v>
      </c>
      <c r="F50" s="52">
        <f t="shared" ref="F50:Q51" si="46">F6/B6-1</f>
        <v>0.11515151515151523</v>
      </c>
      <c r="G50" s="53">
        <f t="shared" si="46"/>
        <v>0.11242603550295849</v>
      </c>
      <c r="H50" s="53">
        <f t="shared" si="46"/>
        <v>0.10982658959537561</v>
      </c>
      <c r="I50" s="53">
        <f t="shared" si="46"/>
        <v>0.1005586592178771</v>
      </c>
      <c r="J50" s="52">
        <f t="shared" si="46"/>
        <v>0.11413043478260865</v>
      </c>
      <c r="K50" s="53">
        <f t="shared" si="46"/>
        <v>0.12765957446808507</v>
      </c>
      <c r="L50" s="53">
        <f t="shared" si="46"/>
        <v>0.14583333333333326</v>
      </c>
      <c r="M50" s="53">
        <f t="shared" si="46"/>
        <v>0.15228426395939088</v>
      </c>
      <c r="N50" s="52">
        <f t="shared" si="46"/>
        <v>0.15609756097560967</v>
      </c>
      <c r="O50" s="53">
        <f t="shared" si="46"/>
        <v>0.15094339622641506</v>
      </c>
      <c r="P50" s="53">
        <f t="shared" si="46"/>
        <v>0.15454545454545454</v>
      </c>
      <c r="Q50" s="75">
        <f t="shared" si="46"/>
        <v>0.17621145374449343</v>
      </c>
    </row>
    <row r="51" spans="1:22" x14ac:dyDescent="0.15">
      <c r="A51" s="3" t="s">
        <v>93</v>
      </c>
      <c r="F51" s="52">
        <f t="shared" si="46"/>
        <v>6.7526601696811905E-2</v>
      </c>
      <c r="G51" s="53">
        <f t="shared" si="46"/>
        <v>3.7083522448336792E-2</v>
      </c>
      <c r="H51" s="53">
        <f t="shared" si="46"/>
        <v>6.4250719663418998E-2</v>
      </c>
      <c r="I51" s="53">
        <f t="shared" si="46"/>
        <v>5.971219306816633E-2</v>
      </c>
      <c r="J51" s="52">
        <f t="shared" si="46"/>
        <v>4.9624175487037903E-2</v>
      </c>
      <c r="K51" s="53">
        <f t="shared" si="46"/>
        <v>4.9426842292630724E-2</v>
      </c>
      <c r="L51" s="53">
        <f t="shared" si="46"/>
        <v>5.9903875651907246E-2</v>
      </c>
      <c r="M51" s="53">
        <f t="shared" si="46"/>
        <v>8.9969217673754764E-2</v>
      </c>
      <c r="N51" s="52">
        <f t="shared" si="46"/>
        <v>7.1410842818139919E-2</v>
      </c>
      <c r="O51" s="53">
        <f t="shared" si="46"/>
        <v>6.8610948477751732E-2</v>
      </c>
      <c r="P51" s="53">
        <f t="shared" si="46"/>
        <v>-1.5128125964803951E-2</v>
      </c>
      <c r="Q51" s="75">
        <f t="shared" si="46"/>
        <v>-4.0360206792791176E-2</v>
      </c>
    </row>
    <row r="52" spans="1:22" x14ac:dyDescent="0.15">
      <c r="B52" s="35"/>
      <c r="C52" s="35"/>
      <c r="D52" s="35"/>
      <c r="E52" s="35"/>
      <c r="F52" s="36"/>
      <c r="G52" s="35"/>
      <c r="H52" s="35"/>
      <c r="I52" s="35"/>
      <c r="J52" s="36"/>
      <c r="K52" s="35"/>
      <c r="L52" s="35"/>
      <c r="M52" s="35"/>
    </row>
    <row r="53" spans="1:22" s="28" customFormat="1" x14ac:dyDescent="0.15">
      <c r="A53" s="28" t="s">
        <v>58</v>
      </c>
      <c r="B53" s="35">
        <v>1123</v>
      </c>
      <c r="C53" s="35">
        <v>1161</v>
      </c>
      <c r="D53" s="35">
        <v>1216</v>
      </c>
      <c r="E53" s="35">
        <v>1428</v>
      </c>
      <c r="F53" s="36">
        <v>1414</v>
      </c>
      <c r="G53" s="35">
        <v>1448</v>
      </c>
      <c r="H53" s="35">
        <v>1512</v>
      </c>
      <c r="I53" s="35">
        <v>1755</v>
      </c>
      <c r="J53" s="36">
        <v>1771</v>
      </c>
      <c r="K53" s="35">
        <v>1817</v>
      </c>
      <c r="L53" s="35">
        <v>1941</v>
      </c>
      <c r="M53" s="35">
        <v>2199</v>
      </c>
      <c r="N53" s="36">
        <v>2214</v>
      </c>
      <c r="O53" s="35">
        <v>2327</v>
      </c>
      <c r="P53" s="35">
        <v>2463</v>
      </c>
      <c r="Q53" s="68">
        <v>2867</v>
      </c>
      <c r="R53" s="36"/>
      <c r="S53" s="35"/>
      <c r="T53" s="35"/>
      <c r="U53" s="35"/>
      <c r="V53" s="29"/>
    </row>
    <row r="54" spans="1:22" s="28" customFormat="1" x14ac:dyDescent="0.15">
      <c r="A54" s="28" t="s">
        <v>60</v>
      </c>
      <c r="B54" s="35">
        <v>63021</v>
      </c>
      <c r="C54" s="35">
        <v>67482</v>
      </c>
      <c r="D54" s="35">
        <v>69738</v>
      </c>
      <c r="E54" s="35">
        <v>81523</v>
      </c>
      <c r="F54" s="36">
        <v>81056</v>
      </c>
      <c r="G54" s="35">
        <v>86208</v>
      </c>
      <c r="H54" s="35">
        <v>87403</v>
      </c>
      <c r="I54" s="35">
        <v>99348</v>
      </c>
      <c r="J54" s="36">
        <v>100639</v>
      </c>
      <c r="K54" s="35">
        <v>107800</v>
      </c>
      <c r="L54" s="35">
        <v>115224</v>
      </c>
      <c r="M54" s="35">
        <v>131449</v>
      </c>
      <c r="N54" s="36">
        <v>132364</v>
      </c>
      <c r="O54" s="35">
        <v>139403</v>
      </c>
      <c r="P54" s="35">
        <v>143004</v>
      </c>
      <c r="Q54" s="68">
        <v>163648</v>
      </c>
      <c r="R54" s="36"/>
      <c r="S54" s="35"/>
      <c r="T54" s="35"/>
      <c r="U54" s="35"/>
      <c r="V54" s="29"/>
    </row>
    <row r="55" spans="1:22" x14ac:dyDescent="0.15">
      <c r="C55" s="35"/>
    </row>
    <row r="58" spans="1:22" x14ac:dyDescent="0.15">
      <c r="E58" s="35"/>
    </row>
    <row r="59" spans="1:22" x14ac:dyDescent="0.15">
      <c r="E59" s="62"/>
      <c r="F59" s="36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2019-12-31T13:30:25Z</dcterms:modified>
</cp:coreProperties>
</file>