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michaelsjoberg/Dropbox/- PROJECTS/- Investing/stocks/"/>
    </mc:Choice>
  </mc:AlternateContent>
  <bookViews>
    <workbookView xWindow="3700" yWindow="460" windowWidth="16740" windowHeight="16540" tabRatio="500"/>
  </bookViews>
  <sheets>
    <sheet name="Main" sheetId="2" r:id="rId1"/>
    <sheet name="Reports" sheetId="1" r:id="rId2"/>
    <sheet name="Products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2" l="1"/>
  <c r="I6" i="2"/>
  <c r="I5" i="2"/>
  <c r="I4" i="2"/>
  <c r="I3" i="2"/>
  <c r="I2" i="2"/>
  <c r="F26" i="2"/>
  <c r="F27" i="2"/>
  <c r="F28" i="2"/>
  <c r="F41" i="2"/>
  <c r="G25" i="2"/>
  <c r="G26" i="2"/>
  <c r="G27" i="2"/>
  <c r="G28" i="2"/>
  <c r="G41" i="2"/>
  <c r="H25" i="2"/>
  <c r="H26" i="2"/>
  <c r="H27" i="2"/>
  <c r="H28" i="2"/>
  <c r="H41" i="2"/>
  <c r="I25" i="2"/>
  <c r="I26" i="2"/>
  <c r="I27" i="2"/>
  <c r="I28" i="2"/>
  <c r="I41" i="2"/>
  <c r="J25" i="2"/>
  <c r="J26" i="2"/>
  <c r="J27" i="2"/>
  <c r="J28" i="2"/>
  <c r="J41" i="2"/>
  <c r="K25" i="2"/>
  <c r="K26" i="2"/>
  <c r="K27" i="2"/>
  <c r="K28" i="2"/>
  <c r="K41" i="2"/>
  <c r="L25" i="2"/>
  <c r="L26" i="2"/>
  <c r="L27" i="2"/>
  <c r="L28" i="2"/>
  <c r="L41" i="2"/>
  <c r="M25" i="2"/>
  <c r="M26" i="2"/>
  <c r="M27" i="2"/>
  <c r="M28" i="2"/>
  <c r="M41" i="2"/>
  <c r="N25" i="2"/>
  <c r="N26" i="2"/>
  <c r="N27" i="2"/>
  <c r="N28" i="2"/>
  <c r="N41" i="2"/>
  <c r="O25" i="2"/>
  <c r="O26" i="2"/>
  <c r="O27" i="2"/>
  <c r="O28" i="2"/>
  <c r="O41" i="2"/>
  <c r="P25" i="2"/>
  <c r="P26" i="2"/>
  <c r="P27" i="2"/>
  <c r="P28" i="2"/>
  <c r="P41" i="2"/>
  <c r="Q25" i="2"/>
  <c r="F25" i="2"/>
  <c r="Q26" i="2"/>
  <c r="Q27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F5" i="2"/>
  <c r="G20" i="2"/>
  <c r="H20" i="2"/>
  <c r="I20" i="2"/>
  <c r="J20" i="2"/>
  <c r="F20" i="2"/>
  <c r="F17" i="2"/>
  <c r="L22" i="2"/>
  <c r="M22" i="2"/>
  <c r="N22" i="2"/>
  <c r="O22" i="2"/>
  <c r="P22" i="2"/>
  <c r="Q22" i="2"/>
  <c r="K22" i="2"/>
  <c r="J22" i="2"/>
  <c r="J21" i="2"/>
  <c r="G14" i="2"/>
  <c r="H14" i="2"/>
  <c r="I14" i="2"/>
  <c r="J14" i="2"/>
  <c r="F14" i="2"/>
  <c r="C5" i="2"/>
  <c r="C3" i="2"/>
  <c r="G15" i="2"/>
  <c r="H15" i="2"/>
  <c r="I15" i="2"/>
  <c r="J15" i="2"/>
  <c r="F15" i="2"/>
  <c r="J17" i="2"/>
  <c r="I17" i="2"/>
  <c r="H17" i="2"/>
  <c r="G17" i="2"/>
  <c r="E17" i="2"/>
  <c r="J61" i="2"/>
  <c r="J60" i="2"/>
  <c r="C64" i="2"/>
  <c r="E64" i="2"/>
  <c r="D64" i="2"/>
  <c r="E63" i="2"/>
  <c r="D63" i="2"/>
  <c r="E58" i="2"/>
  <c r="E57" i="2"/>
  <c r="E55" i="2"/>
  <c r="E54" i="2"/>
  <c r="E53" i="2"/>
  <c r="E52" i="2"/>
  <c r="E50" i="2"/>
  <c r="E49" i="2"/>
  <c r="E41" i="2"/>
  <c r="E47" i="2"/>
  <c r="E46" i="2"/>
  <c r="E45" i="2"/>
  <c r="E43" i="2"/>
  <c r="E42" i="2"/>
  <c r="E29" i="2"/>
  <c r="E30" i="2"/>
  <c r="E26" i="2"/>
  <c r="E23" i="2"/>
  <c r="E24" i="2"/>
  <c r="E19" i="2"/>
  <c r="E22" i="2"/>
  <c r="E21" i="2"/>
  <c r="E20" i="2"/>
  <c r="E18" i="2"/>
  <c r="E15" i="2"/>
  <c r="E14" i="2"/>
  <c r="E12" i="2"/>
  <c r="E11" i="2"/>
  <c r="M48" i="1"/>
  <c r="M20" i="1"/>
  <c r="M44" i="1"/>
  <c r="M37" i="1"/>
  <c r="M34" i="1"/>
  <c r="M51" i="1"/>
  <c r="M50" i="1"/>
  <c r="M41" i="1"/>
  <c r="M42" i="1"/>
  <c r="M47" i="1"/>
  <c r="M46" i="1"/>
  <c r="M45" i="1"/>
  <c r="M33" i="1"/>
  <c r="M21" i="1"/>
  <c r="M18" i="1"/>
  <c r="M17" i="1"/>
  <c r="M15" i="1"/>
  <c r="M16" i="1"/>
  <c r="M11" i="1"/>
  <c r="M7" i="1"/>
  <c r="M9" i="1"/>
  <c r="I7" i="1"/>
  <c r="M54" i="1"/>
  <c r="H57" i="1"/>
  <c r="I57" i="1"/>
  <c r="J57" i="1"/>
  <c r="K57" i="1"/>
  <c r="L57" i="1"/>
  <c r="M57" i="1"/>
  <c r="E32" i="2"/>
  <c r="F19" i="2"/>
  <c r="F21" i="2"/>
  <c r="F22" i="2"/>
  <c r="F23" i="2"/>
  <c r="F24" i="2"/>
  <c r="E25" i="2"/>
  <c r="E27" i="2"/>
  <c r="E28" i="2"/>
  <c r="F32" i="2"/>
  <c r="G19" i="2"/>
  <c r="G21" i="2"/>
  <c r="G22" i="2"/>
  <c r="G23" i="2"/>
  <c r="G24" i="2"/>
  <c r="G32" i="2"/>
  <c r="H19" i="2"/>
  <c r="H21" i="2"/>
  <c r="H22" i="2"/>
  <c r="H23" i="2"/>
  <c r="H24" i="2"/>
  <c r="H32" i="2"/>
  <c r="I19" i="2"/>
  <c r="I21" i="2"/>
  <c r="I22" i="2"/>
  <c r="I23" i="2"/>
  <c r="I24" i="2"/>
  <c r="I32" i="2"/>
  <c r="J19" i="2"/>
  <c r="J23" i="2"/>
  <c r="J24" i="2"/>
  <c r="J32" i="2"/>
  <c r="K17" i="2"/>
  <c r="K19" i="2"/>
  <c r="K20" i="2"/>
  <c r="K21" i="2"/>
  <c r="K23" i="2"/>
  <c r="K24" i="2"/>
  <c r="K32" i="2"/>
  <c r="L17" i="2"/>
  <c r="L19" i="2"/>
  <c r="L20" i="2"/>
  <c r="L21" i="2"/>
  <c r="L23" i="2"/>
  <c r="L24" i="2"/>
  <c r="L32" i="2"/>
  <c r="M17" i="2"/>
  <c r="M19" i="2"/>
  <c r="M20" i="2"/>
  <c r="M21" i="2"/>
  <c r="M23" i="2"/>
  <c r="M24" i="2"/>
  <c r="M32" i="2"/>
  <c r="N17" i="2"/>
  <c r="N19" i="2"/>
  <c r="N20" i="2"/>
  <c r="N21" i="2"/>
  <c r="N23" i="2"/>
  <c r="N24" i="2"/>
  <c r="N32" i="2"/>
  <c r="O17" i="2"/>
  <c r="O19" i="2"/>
  <c r="O20" i="2"/>
  <c r="O21" i="2"/>
  <c r="O23" i="2"/>
  <c r="O24" i="2"/>
  <c r="O32" i="2"/>
  <c r="P17" i="2"/>
  <c r="P19" i="2"/>
  <c r="P20" i="2"/>
  <c r="P21" i="2"/>
  <c r="P23" i="2"/>
  <c r="P24" i="2"/>
  <c r="P32" i="2"/>
  <c r="Q17" i="2"/>
  <c r="Q19" i="2"/>
  <c r="Q20" i="2"/>
  <c r="Q21" i="2"/>
  <c r="Q23" i="2"/>
  <c r="Q24" i="2"/>
  <c r="F6" i="2"/>
  <c r="Q32" i="2"/>
  <c r="J18" i="2"/>
  <c r="F18" i="2"/>
  <c r="I61" i="2"/>
  <c r="H61" i="2"/>
  <c r="G61" i="2"/>
  <c r="F61" i="2"/>
  <c r="E61" i="2"/>
  <c r="I60" i="2"/>
  <c r="H60" i="2"/>
  <c r="G60" i="2"/>
  <c r="F60" i="2"/>
  <c r="E60" i="2"/>
  <c r="M28" i="1"/>
  <c r="M31" i="1"/>
  <c r="M30" i="1"/>
  <c r="M29" i="1"/>
  <c r="M26" i="1"/>
  <c r="M25" i="1"/>
  <c r="M24" i="1"/>
  <c r="M53" i="1"/>
  <c r="D49" i="2"/>
  <c r="D55" i="2"/>
  <c r="D50" i="2"/>
  <c r="D54" i="2"/>
  <c r="D53" i="2"/>
  <c r="D52" i="2"/>
  <c r="D47" i="2"/>
  <c r="D46" i="2"/>
  <c r="D45" i="2"/>
  <c r="D43" i="2"/>
  <c r="D42" i="2"/>
  <c r="D61" i="2"/>
  <c r="D60" i="2"/>
  <c r="C61" i="2"/>
  <c r="C60" i="2"/>
  <c r="D58" i="2"/>
  <c r="D57" i="2"/>
  <c r="C58" i="2"/>
  <c r="C57" i="2"/>
  <c r="C52" i="2"/>
  <c r="C55" i="2"/>
  <c r="C54" i="2"/>
  <c r="C53" i="2"/>
  <c r="C50" i="2"/>
  <c r="C49" i="2"/>
  <c r="C41" i="2"/>
  <c r="C47" i="2"/>
  <c r="C46" i="2"/>
  <c r="C45" i="2"/>
  <c r="C43" i="2"/>
  <c r="C42" i="2"/>
  <c r="D17" i="2"/>
  <c r="D15" i="2"/>
  <c r="D14" i="2"/>
  <c r="D30" i="2"/>
  <c r="D27" i="2"/>
  <c r="D25" i="2"/>
  <c r="D22" i="2"/>
  <c r="D21" i="2"/>
  <c r="D20" i="2"/>
  <c r="D18" i="2"/>
  <c r="D12" i="2"/>
  <c r="D11" i="2"/>
  <c r="C25" i="2"/>
  <c r="C17" i="2"/>
  <c r="B17" i="2"/>
  <c r="C15" i="2"/>
  <c r="B15" i="2"/>
  <c r="B19" i="2"/>
  <c r="B24" i="2"/>
  <c r="B26" i="2"/>
  <c r="B34" i="2"/>
  <c r="B25" i="2"/>
  <c r="H54" i="1"/>
  <c r="H53" i="1"/>
  <c r="H51" i="1"/>
  <c r="H50" i="1"/>
  <c r="D7" i="1"/>
  <c r="D9" i="1"/>
  <c r="D10" i="1"/>
  <c r="D11" i="1"/>
  <c r="D15" i="1"/>
  <c r="D16" i="1"/>
  <c r="D17" i="1"/>
  <c r="D18" i="1"/>
  <c r="D20" i="1"/>
  <c r="E7" i="1"/>
  <c r="E9" i="1"/>
  <c r="E11" i="1"/>
  <c r="E15" i="1"/>
  <c r="E16" i="1"/>
  <c r="E17" i="1"/>
  <c r="E18" i="1"/>
  <c r="E20" i="1"/>
  <c r="E44" i="1"/>
  <c r="E41" i="1"/>
  <c r="E48" i="1"/>
  <c r="E39" i="1"/>
  <c r="E42" i="1"/>
  <c r="E47" i="1"/>
  <c r="E46" i="1"/>
  <c r="E45" i="1"/>
  <c r="E33" i="1"/>
  <c r="I17" i="1"/>
  <c r="F9" i="1"/>
  <c r="F7" i="1"/>
  <c r="G7" i="1"/>
  <c r="J37" i="1"/>
  <c r="F17" i="1"/>
  <c r="F31" i="1"/>
  <c r="F30" i="1"/>
  <c r="F29" i="1"/>
  <c r="F28" i="1"/>
  <c r="F11" i="1"/>
  <c r="F15" i="1"/>
  <c r="F16" i="1"/>
  <c r="F18" i="1"/>
  <c r="F26" i="1"/>
  <c r="F25" i="1"/>
  <c r="F24" i="1"/>
  <c r="F20" i="1"/>
  <c r="F21" i="1"/>
  <c r="J17" i="1"/>
  <c r="J7" i="1"/>
  <c r="J9" i="1"/>
  <c r="J54" i="1"/>
  <c r="J53" i="1"/>
  <c r="J51" i="1"/>
  <c r="J50" i="1"/>
  <c r="J11" i="1"/>
  <c r="J15" i="1"/>
  <c r="J16" i="1"/>
  <c r="J18" i="1"/>
  <c r="J20" i="1"/>
  <c r="I9" i="1"/>
  <c r="I11" i="1"/>
  <c r="I15" i="1"/>
  <c r="I16" i="1"/>
  <c r="I18" i="1"/>
  <c r="I20" i="1"/>
  <c r="H7" i="1"/>
  <c r="H9" i="1"/>
  <c r="H11" i="1"/>
  <c r="H15" i="1"/>
  <c r="H16" i="1"/>
  <c r="H17" i="1"/>
  <c r="H18" i="1"/>
  <c r="H20" i="1"/>
  <c r="G9" i="1"/>
  <c r="G11" i="1"/>
  <c r="G15" i="1"/>
  <c r="G16" i="1"/>
  <c r="G17" i="1"/>
  <c r="G18" i="1"/>
  <c r="G20" i="1"/>
  <c r="J44" i="1"/>
  <c r="J41" i="1"/>
  <c r="J48" i="1"/>
  <c r="J42" i="1"/>
  <c r="J47" i="1"/>
  <c r="J46" i="1"/>
  <c r="J45" i="1"/>
  <c r="J33" i="1"/>
  <c r="J31" i="1"/>
  <c r="J30" i="1"/>
  <c r="J29" i="1"/>
  <c r="J28" i="1"/>
  <c r="J26" i="1"/>
  <c r="J25" i="1"/>
  <c r="J24" i="1"/>
  <c r="J21" i="1"/>
  <c r="K37" i="1"/>
  <c r="G21" i="1"/>
  <c r="G24" i="1"/>
  <c r="G25" i="1"/>
  <c r="G26" i="1"/>
  <c r="G28" i="1"/>
  <c r="G29" i="1"/>
  <c r="G30" i="1"/>
  <c r="G31" i="1"/>
  <c r="K17" i="1"/>
  <c r="K7" i="1"/>
  <c r="K54" i="1"/>
  <c r="K53" i="1"/>
  <c r="K51" i="1"/>
  <c r="K50" i="1"/>
  <c r="K9" i="1"/>
  <c r="K11" i="1"/>
  <c r="K15" i="1"/>
  <c r="K16" i="1"/>
  <c r="K18" i="1"/>
  <c r="K20" i="1"/>
  <c r="K44" i="1"/>
  <c r="K41" i="1"/>
  <c r="K48" i="1"/>
  <c r="K42" i="1"/>
  <c r="K47" i="1"/>
  <c r="K46" i="1"/>
  <c r="K45" i="1"/>
  <c r="K33" i="1"/>
  <c r="K31" i="1"/>
  <c r="K30" i="1"/>
  <c r="K29" i="1"/>
  <c r="K28" i="1"/>
  <c r="K26" i="1"/>
  <c r="K25" i="1"/>
  <c r="K24" i="1"/>
  <c r="K21" i="1"/>
  <c r="I37" i="1"/>
  <c r="I54" i="1"/>
  <c r="I53" i="1"/>
  <c r="I51" i="1"/>
  <c r="I50" i="1"/>
  <c r="I44" i="1"/>
  <c r="I41" i="1"/>
  <c r="I48" i="1"/>
  <c r="I42" i="1"/>
  <c r="I47" i="1"/>
  <c r="I46" i="1"/>
  <c r="I45" i="1"/>
  <c r="I33" i="1"/>
  <c r="L7" i="1"/>
  <c r="L54" i="1"/>
  <c r="L53" i="1"/>
  <c r="L51" i="1"/>
  <c r="L50" i="1"/>
  <c r="L9" i="1"/>
  <c r="L11" i="1"/>
  <c r="L15" i="1"/>
  <c r="L16" i="1"/>
  <c r="L17" i="1"/>
  <c r="L18" i="1"/>
  <c r="L20" i="1"/>
  <c r="L44" i="1"/>
  <c r="L37" i="1"/>
  <c r="L34" i="1"/>
  <c r="L41" i="1"/>
  <c r="L48" i="1"/>
  <c r="L42" i="1"/>
  <c r="L47" i="1"/>
  <c r="L46" i="1"/>
  <c r="L45" i="1"/>
  <c r="L33" i="1"/>
  <c r="L29" i="1"/>
  <c r="L28" i="1"/>
  <c r="L31" i="1"/>
  <c r="L30" i="1"/>
  <c r="L26" i="1"/>
  <c r="L25" i="1"/>
  <c r="L24" i="1"/>
  <c r="L21" i="1"/>
  <c r="F7" i="2"/>
  <c r="G7" i="2"/>
  <c r="C4" i="2"/>
  <c r="C6" i="2"/>
  <c r="C7" i="2"/>
  <c r="F30" i="2"/>
  <c r="G30" i="2"/>
  <c r="H30" i="2"/>
  <c r="I30" i="2"/>
  <c r="J30" i="2"/>
  <c r="K30" i="2"/>
  <c r="L30" i="2"/>
  <c r="M30" i="2"/>
  <c r="N30" i="2"/>
  <c r="O30" i="2"/>
  <c r="P30" i="2"/>
  <c r="Q30" i="2"/>
  <c r="D19" i="2"/>
  <c r="D32" i="2"/>
  <c r="Q29" i="2"/>
  <c r="P29" i="2"/>
  <c r="O29" i="2"/>
  <c r="N29" i="2"/>
  <c r="M29" i="2"/>
  <c r="L29" i="2"/>
  <c r="K29" i="2"/>
  <c r="J29" i="2"/>
  <c r="I29" i="2"/>
  <c r="Q18" i="2"/>
  <c r="P18" i="2"/>
  <c r="O18" i="2"/>
  <c r="N18" i="2"/>
  <c r="M18" i="2"/>
  <c r="L18" i="2"/>
  <c r="K18" i="2"/>
  <c r="I18" i="2"/>
  <c r="H29" i="2"/>
  <c r="G29" i="2"/>
  <c r="F29" i="2"/>
  <c r="H18" i="2"/>
  <c r="G18" i="2"/>
  <c r="D41" i="2"/>
  <c r="H21" i="1"/>
  <c r="I21" i="1"/>
  <c r="H28" i="1"/>
  <c r="I28" i="1"/>
  <c r="H29" i="1"/>
  <c r="I29" i="1"/>
  <c r="H30" i="1"/>
  <c r="I30" i="1"/>
  <c r="H31" i="1"/>
  <c r="I31" i="1"/>
  <c r="H24" i="1"/>
  <c r="I24" i="1"/>
  <c r="H25" i="1"/>
  <c r="I25" i="1"/>
  <c r="H26" i="1"/>
  <c r="I26" i="1"/>
  <c r="E28" i="1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D37" i="2"/>
  <c r="D38" i="2"/>
  <c r="D39" i="2"/>
  <c r="C38" i="2"/>
  <c r="C39" i="2"/>
  <c r="C37" i="2"/>
  <c r="E29" i="1"/>
  <c r="E31" i="1"/>
  <c r="E30" i="1"/>
  <c r="D36" i="2"/>
  <c r="D23" i="2"/>
  <c r="D24" i="2"/>
  <c r="D26" i="2"/>
  <c r="D28" i="2"/>
  <c r="D29" i="2"/>
  <c r="C19" i="2"/>
  <c r="C32" i="2"/>
  <c r="C23" i="2"/>
  <c r="C24" i="2"/>
  <c r="C26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E33" i="2"/>
  <c r="Q41" i="2"/>
  <c r="Q33" i="2"/>
  <c r="P33" i="2"/>
  <c r="O33" i="2"/>
  <c r="N33" i="2"/>
  <c r="M33" i="2"/>
  <c r="L33" i="2"/>
  <c r="K33" i="2"/>
  <c r="J33" i="2"/>
  <c r="I33" i="2"/>
  <c r="H33" i="2"/>
  <c r="G33" i="2"/>
  <c r="F33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3" i="2"/>
  <c r="B32" i="2"/>
  <c r="B23" i="2"/>
  <c r="B33" i="2"/>
  <c r="C36" i="2"/>
  <c r="B28" i="2"/>
  <c r="B29" i="2"/>
  <c r="C33" i="2"/>
  <c r="C28" i="2"/>
  <c r="C2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D26" i="1"/>
  <c r="E26" i="1"/>
  <c r="E25" i="1"/>
  <c r="E24" i="1"/>
  <c r="E21" i="1"/>
  <c r="D24" i="1"/>
  <c r="D25" i="1"/>
  <c r="D21" i="1"/>
</calcChain>
</file>

<file path=xl/sharedStrings.xml><?xml version="1.0" encoding="utf-8"?>
<sst xmlns="http://schemas.openxmlformats.org/spreadsheetml/2006/main" count="150" uniqueCount="100">
  <si>
    <t>Q117</t>
  </si>
  <si>
    <t>Q217</t>
  </si>
  <si>
    <t>Q317</t>
  </si>
  <si>
    <t>Q417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</si>
  <si>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</si>
  <si>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</si>
  <si>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</si>
  <si>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</si>
  <si>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</si>
  <si>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</si>
  <si>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</si>
  <si>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</si>
  <si>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</si>
  <si>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</si>
  <si>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</si>
  <si>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</si>
  <si>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</si>
  <si>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</si>
  <si>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</si>
  <si>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</si>
  <si>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</si>
  <si>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</si>
  <si>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Q116</t>
  </si>
  <si>
    <t>Q216</t>
  </si>
  <si>
    <t>Q316</t>
  </si>
  <si>
    <t>Q416</t>
  </si>
  <si>
    <t>Net Cash</t>
  </si>
  <si>
    <t>Cash</t>
  </si>
  <si>
    <t>Debt</t>
  </si>
  <si>
    <t>Maturity</t>
  </si>
  <si>
    <t>ROIC</t>
  </si>
  <si>
    <t>Discount</t>
  </si>
  <si>
    <t>NPV</t>
  </si>
  <si>
    <t>Value</t>
  </si>
  <si>
    <t>R&amp;D y/y</t>
  </si>
  <si>
    <t>S&amp;M y/y</t>
  </si>
  <si>
    <t>G&amp;A y/y</t>
  </si>
  <si>
    <t>31/12/2017</t>
  </si>
  <si>
    <t>31/12/2016</t>
  </si>
  <si>
    <t>30/6/2017</t>
  </si>
  <si>
    <t>30/9/2017</t>
  </si>
  <si>
    <t>31/3/2017</t>
  </si>
  <si>
    <t>30/6/2016</t>
  </si>
  <si>
    <t>31/3/2016</t>
  </si>
  <si>
    <t>Player</t>
  </si>
  <si>
    <t>Platform</t>
  </si>
  <si>
    <t>1/10/2016</t>
  </si>
  <si>
    <t>Hours streamed</t>
  </si>
  <si>
    <t>ARPU</t>
  </si>
  <si>
    <t>Active accounts</t>
  </si>
  <si>
    <t>Investor Relations</t>
  </si>
  <si>
    <t>CEO</t>
  </si>
  <si>
    <t>Founder</t>
  </si>
  <si>
    <t>Anthony Wood</t>
  </si>
  <si>
    <t>EDGAR</t>
  </si>
  <si>
    <t>Roku Inc (ROKU)</t>
  </si>
  <si>
    <t>Price</t>
  </si>
  <si>
    <t>Q318</t>
  </si>
  <si>
    <t>Expected return on invested capital (innovation grade)</t>
  </si>
  <si>
    <t>Market Cap</t>
  </si>
  <si>
    <t>Inflation + risk premium (opportunity cost)</t>
  </si>
  <si>
    <t>NPV on net income (terminal value)</t>
  </si>
  <si>
    <t>EV</t>
  </si>
  <si>
    <t>per share</t>
  </si>
  <si>
    <t>Intangibles</t>
  </si>
  <si>
    <t>Total assets</t>
  </si>
  <si>
    <t>Total liabilities</t>
  </si>
  <si>
    <t>TWC</t>
  </si>
  <si>
    <t>Equity</t>
  </si>
  <si>
    <t>ROE</t>
  </si>
  <si>
    <t>ROA</t>
  </si>
  <si>
    <t>ROTB</t>
  </si>
  <si>
    <t>ROTWC</t>
  </si>
  <si>
    <t>ARPU y/y</t>
  </si>
  <si>
    <t>Player y/y</t>
  </si>
  <si>
    <t>Platform y/y</t>
  </si>
  <si>
    <t>Q118</t>
  </si>
  <si>
    <t>Q218</t>
  </si>
  <si>
    <t>Q418</t>
  </si>
  <si>
    <t>Q119</t>
  </si>
  <si>
    <t>Q219</t>
  </si>
  <si>
    <t>Q319</t>
  </si>
  <si>
    <t>Q419</t>
  </si>
  <si>
    <t>NI 12M</t>
  </si>
  <si>
    <t>Active accounts y/y</t>
  </si>
  <si>
    <t>31/3/2018</t>
  </si>
  <si>
    <t>30/6/2018</t>
  </si>
  <si>
    <t>30/9/2018</t>
  </si>
  <si>
    <t>31/12/2018</t>
  </si>
  <si>
    <t>Hours streamed y/y</t>
  </si>
  <si>
    <t>Roku TV</t>
  </si>
  <si>
    <t>Streaming players</t>
  </si>
  <si>
    <t>TV, Roku OS</t>
  </si>
  <si>
    <t>23/3/2019</t>
  </si>
  <si>
    <t>185-190 (guidance)</t>
  </si>
  <si>
    <t>1 000-1 025 (guidance)</t>
  </si>
  <si>
    <t>Earnings</t>
  </si>
  <si>
    <t>Growth</t>
  </si>
  <si>
    <t>GM</t>
  </si>
  <si>
    <t>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</si>
</sst>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_ ;[Red]\-#,##0\ "/>
    <numFmt numFmtId="165" formatCode="#,##0.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</font>
    <font>
      <i/>
      <sz val="10"/>
      <color theme="1"/>
      <name val="Arial"/>
    </font>
    <font>
      <b/>
      <sz val="10"/>
      <color theme="1"/>
      <name val="Arial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8">
    <xf numFmtId="0" fontId="0" fillId="0" borderId="0" xfId="0"/>
    <xf numFmtId="0" fontId="5" fillId="0" borderId="0" xfId="0" applyFont="1"/>
    <xf numFmtId="4" fontId="5" fillId="0" borderId="0" xfId="0" applyNumberFormat="1" applyFont="1" applyBorder="1"/>
    <xf numFmtId="0" fontId="5" fillId="0" borderId="0" xfId="0" applyFont="1" applyBorder="1"/>
    <xf numFmtId="10" fontId="5" fillId="0" borderId="0" xfId="0" applyNumberFormat="1" applyFont="1"/>
    <xf numFmtId="3" fontId="5" fillId="0" borderId="0" xfId="0" applyNumberFormat="1" applyFont="1" applyBorder="1"/>
    <xf numFmtId="0" fontId="6" fillId="0" borderId="0" xfId="0" applyFont="1"/>
    <xf numFmtId="3" fontId="5" fillId="2" borderId="0" xfId="0" applyNumberFormat="1" applyFont="1" applyFill="1" applyBorder="1"/>
    <xf numFmtId="164" fontId="5" fillId="2" borderId="0" xfId="0" applyNumberFormat="1" applyFont="1" applyFill="1"/>
    <xf numFmtId="0" fontId="7" fillId="0" borderId="0" xfId="0" applyFont="1" applyBorder="1"/>
    <xf numFmtId="164" fontId="7" fillId="2" borderId="0" xfId="0" applyNumberFormat="1" applyFont="1" applyFill="1"/>
    <xf numFmtId="4" fontId="5" fillId="2" borderId="0" xfId="0" applyNumberFormat="1" applyFont="1" applyFill="1" applyBorder="1"/>
    <xf numFmtId="0" fontId="6" fillId="0" borderId="0" xfId="0" applyFont="1" applyBorder="1"/>
    <xf numFmtId="4" fontId="5" fillId="2" borderId="0" xfId="0" applyNumberFormat="1" applyFont="1" applyFill="1"/>
    <xf numFmtId="9" fontId="5" fillId="0" borderId="0" xfId="0" applyNumberFormat="1" applyFont="1"/>
    <xf numFmtId="0" fontId="8" fillId="0" borderId="0" xfId="4" applyFont="1"/>
    <xf numFmtId="0" fontId="7" fillId="0" borderId="0" xfId="0" applyFont="1"/>
    <xf numFmtId="3" fontId="5" fillId="0" borderId="0" xfId="0" applyNumberFormat="1" applyFont="1"/>
    <xf numFmtId="3" fontId="7" fillId="0" borderId="0" xfId="0" applyNumberFormat="1" applyFont="1" applyBorder="1"/>
    <xf numFmtId="3" fontId="5" fillId="0" borderId="0" xfId="0" applyNumberFormat="1" applyFont="1" applyFill="1" applyBorder="1"/>
    <xf numFmtId="2" fontId="5" fillId="0" borderId="0" xfId="0" applyNumberFormat="1" applyFont="1" applyBorder="1"/>
    <xf numFmtId="9" fontId="7" fillId="0" borderId="0" xfId="1" applyFont="1" applyBorder="1"/>
    <xf numFmtId="9" fontId="5" fillId="0" borderId="0" xfId="1" applyFont="1" applyBorder="1"/>
    <xf numFmtId="9" fontId="5" fillId="0" borderId="0" xfId="0" applyNumberFormat="1" applyFont="1" applyBorder="1"/>
    <xf numFmtId="0" fontId="5" fillId="0" borderId="0" xfId="0" applyFont="1" applyFill="1" applyBorder="1"/>
    <xf numFmtId="0" fontId="8" fillId="0" borderId="0" xfId="4" applyFont="1" applyAlignment="1">
      <alignment horizontal="left"/>
    </xf>
    <xf numFmtId="0" fontId="5" fillId="0" borderId="0" xfId="0" applyFont="1" applyAlignment="1">
      <alignment horizontal="right"/>
    </xf>
    <xf numFmtId="3" fontId="5" fillId="0" borderId="0" xfId="0" applyNumberFormat="1" applyFont="1" applyAlignment="1">
      <alignment horizontal="right"/>
    </xf>
    <xf numFmtId="3" fontId="5" fillId="0" borderId="1" xfId="0" applyNumberFormat="1" applyFont="1" applyBorder="1"/>
    <xf numFmtId="0" fontId="5" fillId="0" borderId="1" xfId="0" applyFont="1" applyBorder="1"/>
    <xf numFmtId="3" fontId="7" fillId="0" borderId="1" xfId="0" applyNumberFormat="1" applyFont="1" applyBorder="1"/>
    <xf numFmtId="9" fontId="5" fillId="0" borderId="1" xfId="0" applyNumberFormat="1" applyFont="1" applyBorder="1"/>
    <xf numFmtId="9" fontId="5" fillId="0" borderId="1" xfId="1" applyFont="1" applyBorder="1"/>
    <xf numFmtId="9" fontId="5" fillId="0" borderId="0" xfId="1" applyFont="1"/>
    <xf numFmtId="9" fontId="7" fillId="0" borderId="0" xfId="1" applyNumberFormat="1" applyFont="1" applyBorder="1"/>
    <xf numFmtId="9" fontId="7" fillId="0" borderId="1" xfId="1" applyNumberFormat="1" applyFont="1" applyBorder="1"/>
    <xf numFmtId="9" fontId="5" fillId="0" borderId="0" xfId="1" applyNumberFormat="1" applyFont="1" applyBorder="1"/>
    <xf numFmtId="9" fontId="5" fillId="0" borderId="1" xfId="1" applyNumberFormat="1" applyFont="1" applyBorder="1"/>
    <xf numFmtId="3" fontId="7" fillId="0" borderId="0" xfId="0" applyNumberFormat="1" applyFont="1"/>
    <xf numFmtId="0" fontId="7" fillId="0" borderId="1" xfId="0" applyFont="1" applyBorder="1"/>
    <xf numFmtId="0" fontId="5" fillId="0" borderId="1" xfId="0" applyFont="1" applyBorder="1" applyAlignment="1">
      <alignment horizontal="right"/>
    </xf>
    <xf numFmtId="3" fontId="5" fillId="0" borderId="1" xfId="0" applyNumberFormat="1" applyFont="1" applyBorder="1" applyAlignment="1">
      <alignment horizontal="right"/>
    </xf>
    <xf numFmtId="165" fontId="5" fillId="0" borderId="0" xfId="0" applyNumberFormat="1" applyFont="1"/>
    <xf numFmtId="165" fontId="5" fillId="0" borderId="1" xfId="0" applyNumberFormat="1" applyFont="1" applyBorder="1"/>
    <xf numFmtId="165" fontId="5" fillId="0" borderId="0" xfId="0" applyNumberFormat="1" applyFont="1" applyBorder="1"/>
    <xf numFmtId="4" fontId="5" fillId="0" borderId="0" xfId="0" applyNumberFormat="1" applyFont="1"/>
    <xf numFmtId="4" fontId="5" fillId="0" borderId="1" xfId="0" applyNumberFormat="1" applyFont="1" applyBorder="1"/>
    <xf numFmtId="3" fontId="7" fillId="2" borderId="0" xfId="0" applyNumberFormat="1" applyFont="1" applyFill="1" applyBorder="1"/>
    <xf numFmtId="2" fontId="5" fillId="2" borderId="0" xfId="0" applyNumberFormat="1" applyFont="1" applyFill="1" applyBorder="1"/>
    <xf numFmtId="3" fontId="7" fillId="2" borderId="1" xfId="0" applyNumberFormat="1" applyFont="1" applyFill="1" applyBorder="1"/>
    <xf numFmtId="3" fontId="5" fillId="2" borderId="1" xfId="0" applyNumberFormat="1" applyFont="1" applyFill="1" applyBorder="1"/>
    <xf numFmtId="3" fontId="5" fillId="2" borderId="0" xfId="0" applyNumberFormat="1" applyFont="1" applyFill="1"/>
    <xf numFmtId="2" fontId="5" fillId="2" borderId="1" xfId="0" applyNumberFormat="1" applyFont="1" applyFill="1" applyBorder="1"/>
    <xf numFmtId="2" fontId="5" fillId="2" borderId="0" xfId="0" applyNumberFormat="1" applyFont="1" applyFill="1"/>
    <xf numFmtId="3" fontId="7" fillId="2" borderId="0" xfId="0" applyNumberFormat="1" applyFont="1" applyFill="1"/>
    <xf numFmtId="9" fontId="5" fillId="0" borderId="0" xfId="0" applyNumberFormat="1" applyFont="1" applyFill="1" applyBorder="1"/>
    <xf numFmtId="4" fontId="5" fillId="2" borderId="1" xfId="0" applyNumberFormat="1" applyFont="1" applyFill="1" applyBorder="1"/>
    <xf numFmtId="0" fontId="5" fillId="0" borderId="0" xfId="0" applyFont="1" applyFill="1" applyAlignment="1">
      <alignment horizontal="right"/>
    </xf>
    <xf numFmtId="3" fontId="5" fillId="0" borderId="0" xfId="0" applyNumberFormat="1" applyFont="1" applyFill="1"/>
    <xf numFmtId="165" fontId="5" fillId="0" borderId="0" xfId="0" applyNumberFormat="1" applyFont="1" applyFill="1" applyBorder="1"/>
    <xf numFmtId="3" fontId="7" fillId="0" borderId="0" xfId="0" applyNumberFormat="1" applyFont="1" applyFill="1" applyBorder="1"/>
    <xf numFmtId="9" fontId="5" fillId="0" borderId="0" xfId="1" applyFont="1" applyFill="1" applyBorder="1"/>
    <xf numFmtId="9" fontId="7" fillId="0" borderId="0" xfId="1" applyNumberFormat="1" applyFont="1" applyFill="1" applyBorder="1"/>
    <xf numFmtId="9" fontId="5" fillId="0" borderId="0" xfId="1" applyNumberFormat="1" applyFont="1" applyFill="1" applyBorder="1"/>
    <xf numFmtId="9" fontId="5" fillId="0" borderId="0" xfId="0" applyNumberFormat="1" applyFont="1" applyFill="1"/>
    <xf numFmtId="0" fontId="5" fillId="0" borderId="0" xfId="0" applyFont="1" applyFill="1"/>
    <xf numFmtId="0" fontId="6" fillId="0" borderId="1" xfId="0" applyFont="1" applyBorder="1" applyAlignment="1">
      <alignment horizontal="right"/>
    </xf>
    <xf numFmtId="0" fontId="6" fillId="0" borderId="0" xfId="0" applyFont="1" applyAlignment="1">
      <alignment horizontal="right"/>
    </xf>
  </cellXfs>
  <cellStyles count="5">
    <cellStyle name="Followed Hyperlink" xfId="3" builtinId="9" hidden="1"/>
    <cellStyle name="Hyperlink" xfId="2" builtinId="8" hidden="1"/>
    <cellStyle name="Hyperlink" xfId="4" builtinId="8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9</xdr:row>
      <xdr:rowOff>12700</xdr:rowOff>
    </xdr:from>
    <xdr:to>
      <xdr:col>5</xdr:col>
      <xdr:colOff>114300</xdr:colOff>
      <xdr:row>65</xdr:row>
      <xdr:rowOff>12700</xdr:rowOff>
    </xdr:to>
    <xdr:cxnSp macro="">
      <xdr:nvCxnSpPr>
        <xdr:cNvPr id="4" name="Straight Connector 3"/>
        <xdr:cNvCxnSpPr/>
      </xdr:nvCxnSpPr>
      <xdr:spPr>
        <a:xfrm>
          <a:off x="4800600" y="1498600"/>
          <a:ext cx="0" cy="9245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190500</xdr:colOff>
      <xdr:row>1</xdr:row>
      <xdr:rowOff>12700</xdr:rowOff>
    </xdr:from>
    <xdr:to>
      <xdr:col>13</xdr:col>
      <xdr:colOff>190500</xdr:colOff>
      <xdr:row>58</xdr:row>
      <xdr:rowOff>12700</xdr:rowOff>
    </xdr:to>
    <xdr:cxnSp macro="">
      <xdr:nvCxnSpPr>
        <xdr:cNvPr id="4" name="Straight Connector 3"/>
        <xdr:cNvCxnSpPr/>
      </xdr:nvCxnSpPr>
      <xdr:spPr>
        <a:xfrm>
          <a:off x="11582400" y="177800"/>
          <a:ext cx="0" cy="9410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r.roku.com/investor-relations" TargetMode="External"/><Relationship Id="rId4" Type="http://schemas.openxmlformats.org/officeDocument/2006/relationships/drawing" Target="../drawings/drawing1.xml"/><Relationship Id="rId1" Type="http://schemas.openxmlformats.org/officeDocument/2006/relationships/hyperlink" Target="https://en.wikipedia.org/wiki/Anthony_Wood_(businessman)" TargetMode="External"/><Relationship Id="rId2" Type="http://schemas.openxmlformats.org/officeDocument/2006/relationships/hyperlink" Target="https://en.wikipedia.org/wiki/Anthony_Wood_(businessman)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c.gov/cgi-bin/browse-edgar?action=getcompany&amp;CIK=0001428439&amp;owner=exclude&amp;count=40&amp;hidefilings=0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64"/>
  <sheetViews>
    <sheetView tabSelected="1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G42" sqref="G42"/>
    </sheetView>
  </sheetViews>
  <sheetFormatPr baseColWidth="10" defaultRowHeight="13" x14ac:dyDescent="0.15"/>
  <cols>
    <col min="1" max="1" width="18.1640625" style="1" bestFit="1" customWidth="1"/>
    <col min="2" max="16384" width="10.83203125" style="1"/>
  </cols>
  <sheetData>
    <row r="1" spans="1:17" x14ac:dyDescent="0.15">
      <c r="A1" s="15" t="s">
        <v>50</v>
      </c>
      <c r="B1" s="16" t="s">
        <v>55</v>
      </c>
    </row>
    <row r="2" spans="1:17" x14ac:dyDescent="0.15">
      <c r="B2" s="1" t="s">
        <v>56</v>
      </c>
      <c r="C2" s="2">
        <v>63.91</v>
      </c>
      <c r="D2" s="1" t="s">
        <v>93</v>
      </c>
      <c r="E2" s="3" t="s">
        <v>29</v>
      </c>
      <c r="F2" s="4">
        <v>5.0000000000000001E-3</v>
      </c>
      <c r="H2" s="1" t="s">
        <v>4</v>
      </c>
      <c r="I2" s="17">
        <f>E17</f>
        <v>742.505</v>
      </c>
    </row>
    <row r="3" spans="1:17" x14ac:dyDescent="0.15">
      <c r="A3" s="16" t="s">
        <v>51</v>
      </c>
      <c r="B3" s="1" t="s">
        <v>17</v>
      </c>
      <c r="C3" s="5">
        <f>Reports!M22</f>
        <v>123.23699999999999</v>
      </c>
      <c r="D3" s="1" t="s">
        <v>78</v>
      </c>
      <c r="E3" s="3" t="s">
        <v>30</v>
      </c>
      <c r="F3" s="4">
        <v>0.02</v>
      </c>
      <c r="G3" s="6" t="s">
        <v>58</v>
      </c>
      <c r="H3" s="1" t="s">
        <v>96</v>
      </c>
      <c r="I3" s="17">
        <f>E28</f>
        <v>-8.8579999999999686</v>
      </c>
    </row>
    <row r="4" spans="1:17" x14ac:dyDescent="0.15">
      <c r="A4" s="15" t="s">
        <v>53</v>
      </c>
      <c r="B4" s="1" t="s">
        <v>59</v>
      </c>
      <c r="C4" s="7">
        <f>C2*C3</f>
        <v>7876.0766699999995</v>
      </c>
      <c r="E4" s="3" t="s">
        <v>31</v>
      </c>
      <c r="F4" s="4">
        <f>2%+5%</f>
        <v>7.0000000000000007E-2</v>
      </c>
      <c r="G4" s="6" t="s">
        <v>60</v>
      </c>
      <c r="H4" s="1" t="s">
        <v>97</v>
      </c>
      <c r="I4" s="14">
        <f>E36</f>
        <v>0.44804714848770288</v>
      </c>
    </row>
    <row r="5" spans="1:17" x14ac:dyDescent="0.15">
      <c r="B5" s="1" t="s">
        <v>26</v>
      </c>
      <c r="C5" s="5">
        <f>Reports!M33</f>
        <v>197.70999999999998</v>
      </c>
      <c r="D5" s="1" t="s">
        <v>78</v>
      </c>
      <c r="E5" s="3" t="s">
        <v>32</v>
      </c>
      <c r="F5" s="8">
        <f>NPV(F4,F28:DR28)</f>
        <v>14032.486910145162</v>
      </c>
      <c r="G5" s="6" t="s">
        <v>61</v>
      </c>
      <c r="H5" s="1" t="s">
        <v>98</v>
      </c>
      <c r="I5" s="14">
        <f>E32</f>
        <v>0.4473330145924943</v>
      </c>
    </row>
    <row r="6" spans="1:17" x14ac:dyDescent="0.15">
      <c r="A6" s="16" t="s">
        <v>52</v>
      </c>
      <c r="B6" s="1" t="s">
        <v>62</v>
      </c>
      <c r="C6" s="7">
        <f>C4-C5</f>
        <v>7678.3666699999994</v>
      </c>
      <c r="E6" s="9" t="s">
        <v>33</v>
      </c>
      <c r="F6" s="10">
        <f>F5+C5</f>
        <v>14230.196910145161</v>
      </c>
      <c r="H6" s="1" t="s">
        <v>99</v>
      </c>
      <c r="I6" s="14">
        <f>E33</f>
        <v>-1.7908296913825453E-2</v>
      </c>
    </row>
    <row r="7" spans="1:17" x14ac:dyDescent="0.15">
      <c r="A7" s="15" t="s">
        <v>53</v>
      </c>
      <c r="B7" s="6" t="s">
        <v>63</v>
      </c>
      <c r="C7" s="11">
        <f>C6/C3</f>
        <v>62.305692851984389</v>
      </c>
      <c r="E7" s="12" t="s">
        <v>63</v>
      </c>
      <c r="F7" s="13">
        <f>F6/C3</f>
        <v>115.47016650961288</v>
      </c>
      <c r="G7" s="14">
        <f>F7/C2-1</f>
        <v>0.80676211093119843</v>
      </c>
    </row>
    <row r="10" spans="1:17" x14ac:dyDescent="0.15">
      <c r="B10" s="1">
        <v>2015</v>
      </c>
      <c r="C10" s="1">
        <v>2016</v>
      </c>
      <c r="D10" s="1">
        <v>2017</v>
      </c>
      <c r="E10" s="1">
        <f>D10+1</f>
        <v>2018</v>
      </c>
      <c r="F10" s="1">
        <f t="shared" ref="F10:Q10" si="0">E10+1</f>
        <v>2019</v>
      </c>
      <c r="G10" s="1">
        <f t="shared" si="0"/>
        <v>2020</v>
      </c>
      <c r="H10" s="1">
        <f t="shared" si="0"/>
        <v>2021</v>
      </c>
      <c r="I10" s="1">
        <f t="shared" si="0"/>
        <v>2022</v>
      </c>
      <c r="J10" s="1">
        <f t="shared" si="0"/>
        <v>2023</v>
      </c>
      <c r="K10" s="1">
        <f t="shared" si="0"/>
        <v>2024</v>
      </c>
      <c r="L10" s="1">
        <f t="shared" si="0"/>
        <v>2025</v>
      </c>
      <c r="M10" s="1">
        <f t="shared" si="0"/>
        <v>2026</v>
      </c>
      <c r="N10" s="1">
        <f t="shared" si="0"/>
        <v>2027</v>
      </c>
      <c r="O10" s="1">
        <f t="shared" si="0"/>
        <v>2028</v>
      </c>
      <c r="P10" s="1">
        <f t="shared" si="0"/>
        <v>2029</v>
      </c>
      <c r="Q10" s="1">
        <f t="shared" si="0"/>
        <v>2030</v>
      </c>
    </row>
    <row r="11" spans="1:17" x14ac:dyDescent="0.15">
      <c r="A11" s="1" t="s">
        <v>45</v>
      </c>
      <c r="B11" s="5">
        <v>49.88</v>
      </c>
      <c r="C11" s="5">
        <v>104.72</v>
      </c>
      <c r="D11" s="17">
        <f>SUM(Reports!F3:I3)</f>
        <v>225.35599999999999</v>
      </c>
      <c r="E11" s="17">
        <f>SUM(Reports!J3:M3)</f>
        <v>416.86200000000002</v>
      </c>
    </row>
    <row r="12" spans="1:17" x14ac:dyDescent="0.15">
      <c r="A12" s="1" t="s">
        <v>44</v>
      </c>
      <c r="B12" s="5">
        <v>269.97699999999998</v>
      </c>
      <c r="C12" s="5">
        <v>293.92899999999997</v>
      </c>
      <c r="D12" s="17">
        <f>SUM(Reports!F4:I4)</f>
        <v>287.40700000000004</v>
      </c>
      <c r="E12" s="17">
        <f>SUM(Reports!J4:M4)</f>
        <v>325.64299999999997</v>
      </c>
    </row>
    <row r="13" spans="1:17" x14ac:dyDescent="0.15">
      <c r="B13" s="5"/>
      <c r="C13" s="5"/>
      <c r="D13" s="17"/>
    </row>
    <row r="14" spans="1:17" s="42" customFormat="1" x14ac:dyDescent="0.15">
      <c r="A14" s="42" t="s">
        <v>49</v>
      </c>
      <c r="B14" s="44">
        <v>9.1790000000000003</v>
      </c>
      <c r="C14" s="44">
        <v>13.382999999999999</v>
      </c>
      <c r="D14" s="42">
        <f>Reports!I6</f>
        <v>19.3</v>
      </c>
      <c r="E14" s="42">
        <f>Reports!M6</f>
        <v>27.1</v>
      </c>
      <c r="F14" s="42">
        <f>E14*1.35</f>
        <v>36.585000000000001</v>
      </c>
      <c r="G14" s="42">
        <f t="shared" ref="G14:J14" si="1">F14*1.35</f>
        <v>49.389750000000006</v>
      </c>
      <c r="H14" s="42">
        <f t="shared" si="1"/>
        <v>66.676162500000018</v>
      </c>
      <c r="I14" s="42">
        <f t="shared" si="1"/>
        <v>90.012819375000035</v>
      </c>
      <c r="J14" s="42">
        <f t="shared" si="1"/>
        <v>121.51730615625006</v>
      </c>
    </row>
    <row r="15" spans="1:17" s="45" customFormat="1" x14ac:dyDescent="0.15">
      <c r="A15" s="45" t="s">
        <v>48</v>
      </c>
      <c r="B15" s="11">
        <f>SUM(B11:B12)/B14</f>
        <v>34.846606384137701</v>
      </c>
      <c r="C15" s="11">
        <f>SUM(C11:C12)/C14</f>
        <v>29.787715758798477</v>
      </c>
      <c r="D15" s="11">
        <f>SUM(D11:D12)/D14</f>
        <v>26.568031088082904</v>
      </c>
      <c r="E15" s="11">
        <f>SUM(E11:E12)/E14</f>
        <v>27.398708487084868</v>
      </c>
      <c r="F15" s="45">
        <f>E15*1.02</f>
        <v>27.946682656826564</v>
      </c>
      <c r="G15" s="45">
        <f t="shared" ref="G15:J15" si="2">F15*1.02</f>
        <v>28.505616309963095</v>
      </c>
      <c r="H15" s="45">
        <f t="shared" si="2"/>
        <v>29.075728636162356</v>
      </c>
      <c r="I15" s="45">
        <f t="shared" si="2"/>
        <v>29.657243208885603</v>
      </c>
      <c r="J15" s="45">
        <f t="shared" si="2"/>
        <v>30.250388073063316</v>
      </c>
    </row>
    <row r="16" spans="1:17" x14ac:dyDescent="0.15">
      <c r="F16" s="67" t="s">
        <v>95</v>
      </c>
    </row>
    <row r="17" spans="1:122" x14ac:dyDescent="0.15">
      <c r="A17" s="16" t="s">
        <v>4</v>
      </c>
      <c r="B17" s="47">
        <f>B15*B14</f>
        <v>319.85699999999997</v>
      </c>
      <c r="C17" s="47">
        <f>C15*C14</f>
        <v>398.649</v>
      </c>
      <c r="D17" s="47">
        <f>D15*D14</f>
        <v>512.76300000000003</v>
      </c>
      <c r="E17" s="47">
        <f>E15*E14</f>
        <v>742.505</v>
      </c>
      <c r="F17" s="60">
        <f>F15*F14</f>
        <v>1022.4293849999999</v>
      </c>
      <c r="G17" s="60">
        <f t="shared" ref="G17:J17" si="3">G15*G14</f>
        <v>1407.885263145</v>
      </c>
      <c r="H17" s="60">
        <f t="shared" si="3"/>
        <v>1938.6580073506652</v>
      </c>
      <c r="I17" s="60">
        <f t="shared" si="3"/>
        <v>2669.5320761218663</v>
      </c>
      <c r="J17" s="60">
        <f t="shared" si="3"/>
        <v>3675.9456688198102</v>
      </c>
      <c r="K17" s="18">
        <f t="shared" ref="K17:Q17" si="4">J17*1.1</f>
        <v>4043.5402357017915</v>
      </c>
      <c r="L17" s="18">
        <f t="shared" si="4"/>
        <v>4447.8942592719714</v>
      </c>
      <c r="M17" s="18">
        <f t="shared" si="4"/>
        <v>4892.6836851991693</v>
      </c>
      <c r="N17" s="18">
        <f t="shared" si="4"/>
        <v>5381.9520537190865</v>
      </c>
      <c r="O17" s="18">
        <f t="shared" si="4"/>
        <v>5920.1472590909952</v>
      </c>
      <c r="P17" s="18">
        <f t="shared" si="4"/>
        <v>6512.1619850000952</v>
      </c>
      <c r="Q17" s="18">
        <f t="shared" si="4"/>
        <v>7163.3781835001055</v>
      </c>
      <c r="R17" s="18"/>
      <c r="S17" s="18"/>
      <c r="T17" s="18"/>
      <c r="U17" s="18"/>
      <c r="V17" s="18"/>
    </row>
    <row r="18" spans="1:122" x14ac:dyDescent="0.15">
      <c r="A18" s="1" t="s">
        <v>5</v>
      </c>
      <c r="B18" s="5">
        <v>230.07900000000001</v>
      </c>
      <c r="C18" s="5">
        <v>277.60399999999998</v>
      </c>
      <c r="D18" s="17">
        <f>SUM(Reports!F10:I10)</f>
        <v>312.93</v>
      </c>
      <c r="E18" s="17">
        <f>SUM(Reports!J10:M10)</f>
        <v>410.358</v>
      </c>
      <c r="F18" s="5">
        <f>F17-F19</f>
        <v>565.06296599999996</v>
      </c>
      <c r="G18" s="5">
        <f t="shared" ref="G18:H18" si="5">G17-G19</f>
        <v>778.09170418200006</v>
      </c>
      <c r="H18" s="5">
        <f t="shared" si="5"/>
        <v>1071.4322766586142</v>
      </c>
      <c r="I18" s="5">
        <f t="shared" ref="I18:Q18" si="6">I17-I19</f>
        <v>1475.362244958912</v>
      </c>
      <c r="J18" s="5">
        <f>J17-J19</f>
        <v>2031.5738113084219</v>
      </c>
      <c r="K18" s="5">
        <f t="shared" si="6"/>
        <v>2234.7311924392643</v>
      </c>
      <c r="L18" s="5">
        <f t="shared" si="6"/>
        <v>2458.204311683191</v>
      </c>
      <c r="M18" s="5">
        <f t="shared" si="6"/>
        <v>2704.0247428515108</v>
      </c>
      <c r="N18" s="5">
        <f t="shared" si="6"/>
        <v>2974.427217136662</v>
      </c>
      <c r="O18" s="5">
        <f t="shared" si="6"/>
        <v>3271.8699388503283</v>
      </c>
      <c r="P18" s="5">
        <f t="shared" si="6"/>
        <v>3599.0569327353614</v>
      </c>
      <c r="Q18" s="5">
        <f t="shared" si="6"/>
        <v>3958.962626008898</v>
      </c>
      <c r="R18" s="5"/>
      <c r="S18" s="5"/>
      <c r="T18" s="5"/>
      <c r="U18" s="5"/>
      <c r="V18" s="5"/>
    </row>
    <row r="19" spans="1:122" x14ac:dyDescent="0.15">
      <c r="A19" s="1" t="s">
        <v>6</v>
      </c>
      <c r="B19" s="7">
        <f>B17-B18</f>
        <v>89.777999999999963</v>
      </c>
      <c r="C19" s="7">
        <f>C17-C18</f>
        <v>121.04500000000002</v>
      </c>
      <c r="D19" s="7">
        <f>D17-D18</f>
        <v>199.83300000000003</v>
      </c>
      <c r="E19" s="7">
        <f>E17-E18</f>
        <v>332.14699999999999</v>
      </c>
      <c r="F19" s="5">
        <f>F17*E32</f>
        <v>457.36641899999995</v>
      </c>
      <c r="G19" s="5">
        <f t="shared" ref="G19:Q19" si="7">G17*F32</f>
        <v>629.7935589629999</v>
      </c>
      <c r="H19" s="5">
        <f t="shared" si="7"/>
        <v>867.225730692051</v>
      </c>
      <c r="I19" s="5">
        <f t="shared" si="7"/>
        <v>1194.1698311629543</v>
      </c>
      <c r="J19" s="5">
        <f>J17*I32</f>
        <v>1644.3718575113883</v>
      </c>
      <c r="K19" s="5">
        <f t="shared" si="7"/>
        <v>1808.8090432625272</v>
      </c>
      <c r="L19" s="5">
        <f t="shared" si="7"/>
        <v>1989.6899475887801</v>
      </c>
      <c r="M19" s="5">
        <f t="shared" si="7"/>
        <v>2188.6589423476585</v>
      </c>
      <c r="N19" s="5">
        <f t="shared" si="7"/>
        <v>2407.5248365824245</v>
      </c>
      <c r="O19" s="5">
        <f t="shared" si="7"/>
        <v>2648.277320240667</v>
      </c>
      <c r="P19" s="5">
        <f t="shared" si="7"/>
        <v>2913.1050522647338</v>
      </c>
      <c r="Q19" s="5">
        <f t="shared" si="7"/>
        <v>3204.4155574912074</v>
      </c>
      <c r="R19" s="5"/>
      <c r="S19" s="5"/>
      <c r="T19" s="5"/>
      <c r="U19" s="5"/>
      <c r="V19" s="5"/>
    </row>
    <row r="20" spans="1:122" x14ac:dyDescent="0.15">
      <c r="A20" s="1" t="s">
        <v>7</v>
      </c>
      <c r="B20" s="5">
        <v>50.469000000000001</v>
      </c>
      <c r="C20" s="5">
        <v>76.177000000000007</v>
      </c>
      <c r="D20" s="17">
        <f>SUM(Reports!F12:I12)</f>
        <v>107.94499999999999</v>
      </c>
      <c r="E20" s="17">
        <f>SUM(Reports!J12:M12)</f>
        <v>170.69200000000001</v>
      </c>
      <c r="F20" s="5">
        <f>E20*1.3</f>
        <v>221.89960000000002</v>
      </c>
      <c r="G20" s="5">
        <f t="shared" ref="G20:J20" si="8">F20*1.3</f>
        <v>288.46948000000003</v>
      </c>
      <c r="H20" s="5">
        <f t="shared" si="8"/>
        <v>375.01032400000008</v>
      </c>
      <c r="I20" s="5">
        <f t="shared" si="8"/>
        <v>487.5134212000001</v>
      </c>
      <c r="J20" s="5">
        <f t="shared" si="8"/>
        <v>633.76744756000016</v>
      </c>
      <c r="K20" s="5">
        <f t="shared" ref="K20:Q20" si="9">J20*1.05</f>
        <v>665.45581993800022</v>
      </c>
      <c r="L20" s="5">
        <f t="shared" si="9"/>
        <v>698.7286109349003</v>
      </c>
      <c r="M20" s="5">
        <f t="shared" si="9"/>
        <v>733.6650414816454</v>
      </c>
      <c r="N20" s="5">
        <f t="shared" si="9"/>
        <v>770.34829355572765</v>
      </c>
      <c r="O20" s="5">
        <f t="shared" si="9"/>
        <v>808.86570823351406</v>
      </c>
      <c r="P20" s="5">
        <f t="shared" si="9"/>
        <v>849.30899364518984</v>
      </c>
      <c r="Q20" s="5">
        <f t="shared" si="9"/>
        <v>891.77444332744938</v>
      </c>
      <c r="R20" s="5"/>
      <c r="S20" s="5"/>
      <c r="T20" s="5"/>
      <c r="U20" s="5"/>
      <c r="V20" s="5"/>
    </row>
    <row r="21" spans="1:122" x14ac:dyDescent="0.15">
      <c r="A21" s="1" t="s">
        <v>8</v>
      </c>
      <c r="B21" s="5">
        <v>45.152999999999999</v>
      </c>
      <c r="C21" s="5">
        <v>52.887999999999998</v>
      </c>
      <c r="D21" s="17">
        <f>SUM(Reports!F13:I13)</f>
        <v>64.069000000000003</v>
      </c>
      <c r="E21" s="17">
        <f>SUM(Reports!J13:M13)</f>
        <v>102.78</v>
      </c>
      <c r="F21" s="5">
        <f>E21*1.4</f>
        <v>143.892</v>
      </c>
      <c r="G21" s="5">
        <f t="shared" ref="G21:J21" si="10">F21*1.4</f>
        <v>201.44879999999998</v>
      </c>
      <c r="H21" s="5">
        <f t="shared" si="10"/>
        <v>282.02831999999995</v>
      </c>
      <c r="I21" s="5">
        <f t="shared" si="10"/>
        <v>394.8396479999999</v>
      </c>
      <c r="J21" s="5">
        <f t="shared" si="10"/>
        <v>552.77550719999977</v>
      </c>
      <c r="K21" s="5">
        <f t="shared" ref="K21:Q22" si="11">J21*0.98</f>
        <v>541.71999705599978</v>
      </c>
      <c r="L21" s="5">
        <f t="shared" si="11"/>
        <v>530.88559711487983</v>
      </c>
      <c r="M21" s="5">
        <f t="shared" si="11"/>
        <v>520.26788517258217</v>
      </c>
      <c r="N21" s="5">
        <f t="shared" si="11"/>
        <v>509.8625274691305</v>
      </c>
      <c r="O21" s="5">
        <f t="shared" si="11"/>
        <v>499.6652769197479</v>
      </c>
      <c r="P21" s="5">
        <f t="shared" si="11"/>
        <v>489.67197138135293</v>
      </c>
      <c r="Q21" s="5">
        <f t="shared" si="11"/>
        <v>479.87853195372588</v>
      </c>
      <c r="R21" s="5"/>
      <c r="S21" s="5"/>
      <c r="T21" s="5"/>
      <c r="U21" s="5"/>
      <c r="V21" s="5"/>
    </row>
    <row r="22" spans="1:122" x14ac:dyDescent="0.15">
      <c r="A22" s="1" t="s">
        <v>9</v>
      </c>
      <c r="B22" s="5">
        <v>31.707999999999998</v>
      </c>
      <c r="C22" s="5">
        <v>35.341000000000001</v>
      </c>
      <c r="D22" s="17">
        <f>SUM(Reports!F14:I14)</f>
        <v>47.435000000000002</v>
      </c>
      <c r="E22" s="17">
        <f>SUM(Reports!J14:M14)</f>
        <v>71.972000000000008</v>
      </c>
      <c r="F22" s="5">
        <f>E22*1.2</f>
        <v>86.366400000000013</v>
      </c>
      <c r="G22" s="5">
        <f t="shared" ref="G22:J22" si="12">F22*1.2</f>
        <v>103.63968000000001</v>
      </c>
      <c r="H22" s="5">
        <f t="shared" si="12"/>
        <v>124.36761600000001</v>
      </c>
      <c r="I22" s="5">
        <f t="shared" si="12"/>
        <v>149.24113920000002</v>
      </c>
      <c r="J22" s="5">
        <f t="shared" si="12"/>
        <v>179.08936704000001</v>
      </c>
      <c r="K22" s="5">
        <f>J22*0.98</f>
        <v>175.50757969920002</v>
      </c>
      <c r="L22" s="5">
        <f t="shared" si="11"/>
        <v>171.99742810521602</v>
      </c>
      <c r="M22" s="5">
        <f t="shared" si="11"/>
        <v>168.5574795431117</v>
      </c>
      <c r="N22" s="5">
        <f t="shared" si="11"/>
        <v>165.18632995224945</v>
      </c>
      <c r="O22" s="5">
        <f t="shared" si="11"/>
        <v>161.88260335320447</v>
      </c>
      <c r="P22" s="5">
        <f t="shared" si="11"/>
        <v>158.64495128614038</v>
      </c>
      <c r="Q22" s="5">
        <f t="shared" si="11"/>
        <v>155.47205226041757</v>
      </c>
      <c r="R22" s="5"/>
      <c r="S22" s="5"/>
      <c r="T22" s="5"/>
      <c r="U22" s="5"/>
      <c r="V22" s="5"/>
    </row>
    <row r="23" spans="1:122" x14ac:dyDescent="0.15">
      <c r="A23" s="1" t="s">
        <v>10</v>
      </c>
      <c r="B23" s="7">
        <f>SUM(B20:B22)</f>
        <v>127.33</v>
      </c>
      <c r="C23" s="7">
        <f>SUM(C20:C22)</f>
        <v>164.40600000000001</v>
      </c>
      <c r="D23" s="7">
        <f>SUM(D20:D22)</f>
        <v>219.44900000000001</v>
      </c>
      <c r="E23" s="7">
        <f>SUM(E20:E22)</f>
        <v>345.44399999999996</v>
      </c>
      <c r="F23" s="5">
        <f>SUM(F20:F22)</f>
        <v>452.15800000000002</v>
      </c>
      <c r="G23" s="5">
        <f t="shared" ref="G23:H23" si="13">SUM(G20:G22)</f>
        <v>593.55795999999998</v>
      </c>
      <c r="H23" s="5">
        <f t="shared" si="13"/>
        <v>781.40625999999997</v>
      </c>
      <c r="I23" s="5">
        <f t="shared" ref="I23:Q23" si="14">SUM(I20:I22)</f>
        <v>1031.5942083999998</v>
      </c>
      <c r="J23" s="5">
        <f t="shared" si="14"/>
        <v>1365.6323218</v>
      </c>
      <c r="K23" s="5">
        <f t="shared" si="14"/>
        <v>1382.6833966931999</v>
      </c>
      <c r="L23" s="5">
        <f t="shared" si="14"/>
        <v>1401.6116361549962</v>
      </c>
      <c r="M23" s="5">
        <f t="shared" si="14"/>
        <v>1422.4904061973393</v>
      </c>
      <c r="N23" s="5">
        <f t="shared" si="14"/>
        <v>1445.3971509771077</v>
      </c>
      <c r="O23" s="5">
        <f t="shared" si="14"/>
        <v>1470.4135885064666</v>
      </c>
      <c r="P23" s="5">
        <f t="shared" si="14"/>
        <v>1497.6259163126833</v>
      </c>
      <c r="Q23" s="5">
        <f t="shared" si="14"/>
        <v>1527.1250275415928</v>
      </c>
      <c r="R23" s="5"/>
      <c r="S23" s="5"/>
      <c r="T23" s="5"/>
      <c r="U23" s="5"/>
      <c r="V23" s="5"/>
    </row>
    <row r="24" spans="1:122" x14ac:dyDescent="0.15">
      <c r="A24" s="1" t="s">
        <v>11</v>
      </c>
      <c r="B24" s="7">
        <f>B19-B23</f>
        <v>-37.552000000000035</v>
      </c>
      <c r="C24" s="7">
        <f>C19-C23</f>
        <v>-43.36099999999999</v>
      </c>
      <c r="D24" s="7">
        <f>D19-D23</f>
        <v>-19.615999999999985</v>
      </c>
      <c r="E24" s="7">
        <f>E19-E23</f>
        <v>-13.296999999999969</v>
      </c>
      <c r="F24" s="5">
        <f t="shared" ref="F24:H24" si="15">F19-F23</f>
        <v>5.2084189999999353</v>
      </c>
      <c r="G24" s="5">
        <f t="shared" si="15"/>
        <v>36.235598962999916</v>
      </c>
      <c r="H24" s="5">
        <f t="shared" si="15"/>
        <v>85.819470692051027</v>
      </c>
      <c r="I24" s="5">
        <f t="shared" ref="I24:Q24" si="16">I19-I23</f>
        <v>162.57562276295448</v>
      </c>
      <c r="J24" s="5">
        <f t="shared" si="16"/>
        <v>278.73953571138827</v>
      </c>
      <c r="K24" s="5">
        <f t="shared" si="16"/>
        <v>426.12564656932727</v>
      </c>
      <c r="L24" s="5">
        <f t="shared" si="16"/>
        <v>588.07831143378394</v>
      </c>
      <c r="M24" s="5">
        <f t="shared" si="16"/>
        <v>766.16853615031914</v>
      </c>
      <c r="N24" s="5">
        <f t="shared" si="16"/>
        <v>962.12768560531686</v>
      </c>
      <c r="O24" s="5">
        <f t="shared" si="16"/>
        <v>1177.8637317342004</v>
      </c>
      <c r="P24" s="5">
        <f t="shared" si="16"/>
        <v>1415.4791359520505</v>
      </c>
      <c r="Q24" s="5">
        <f t="shared" si="16"/>
        <v>1677.2905299496147</v>
      </c>
      <c r="R24" s="5"/>
      <c r="S24" s="5"/>
      <c r="T24" s="5"/>
      <c r="U24" s="5"/>
      <c r="V24" s="5"/>
    </row>
    <row r="25" spans="1:122" x14ac:dyDescent="0.15">
      <c r="A25" s="1" t="s">
        <v>12</v>
      </c>
      <c r="B25" s="5">
        <f>+-0.696-1.768-0.448</f>
        <v>-2.9119999999999999</v>
      </c>
      <c r="C25" s="5">
        <f>0.146+0.888-0.22</f>
        <v>0.81400000000000006</v>
      </c>
      <c r="D25" s="17">
        <f>SUM(Reports!F17:I17)</f>
        <v>-43.577999999999996</v>
      </c>
      <c r="E25" s="5">
        <f>SUM(Reports!J17:M17)</f>
        <v>3.9630000000000001</v>
      </c>
      <c r="F25" s="5">
        <f>E41*$F$3</f>
        <v>3.2149999999999999</v>
      </c>
      <c r="G25" s="5">
        <f t="shared" ref="G25:Q25" si="17">F41*$F$3</f>
        <v>3.3581981229999993</v>
      </c>
      <c r="H25" s="5">
        <f t="shared" si="17"/>
        <v>4.0312926734619978</v>
      </c>
      <c r="I25" s="5">
        <f t="shared" si="17"/>
        <v>5.5587556506757192</v>
      </c>
      <c r="J25" s="5">
        <f t="shared" si="17"/>
        <v>8.4170400837074322</v>
      </c>
      <c r="K25" s="5">
        <f t="shared" si="17"/>
        <v>13.29870187222406</v>
      </c>
      <c r="L25" s="5">
        <f t="shared" si="17"/>
        <v>20.768915795730432</v>
      </c>
      <c r="M25" s="5">
        <f t="shared" si="17"/>
        <v>31.119318658632174</v>
      </c>
      <c r="N25" s="5">
        <f t="shared" si="17"/>
        <v>44.673212190384348</v>
      </c>
      <c r="O25" s="5">
        <f t="shared" si="17"/>
        <v>61.788827452911264</v>
      </c>
      <c r="P25" s="5">
        <f t="shared" si="17"/>
        <v>82.86292095909215</v>
      </c>
      <c r="Q25" s="5">
        <f t="shared" si="17"/>
        <v>108.33473592658159</v>
      </c>
      <c r="R25" s="5"/>
      <c r="S25" s="5"/>
      <c r="T25" s="5"/>
      <c r="U25" s="5"/>
      <c r="V25" s="5"/>
    </row>
    <row r="26" spans="1:122" x14ac:dyDescent="0.15">
      <c r="A26" s="1" t="s">
        <v>13</v>
      </c>
      <c r="B26" s="7">
        <f>B24+B25</f>
        <v>-40.464000000000034</v>
      </c>
      <c r="C26" s="7">
        <f>C24+C25</f>
        <v>-42.54699999999999</v>
      </c>
      <c r="D26" s="7">
        <f>D24+D25</f>
        <v>-63.193999999999981</v>
      </c>
      <c r="E26" s="7">
        <f>E24+E25</f>
        <v>-9.3339999999999677</v>
      </c>
      <c r="F26" s="5">
        <f t="shared" ref="F26:H26" si="18">F24+F25</f>
        <v>8.4234189999999352</v>
      </c>
      <c r="G26" s="5">
        <f t="shared" si="18"/>
        <v>39.593797085999917</v>
      </c>
      <c r="H26" s="5">
        <f t="shared" si="18"/>
        <v>89.850763365513018</v>
      </c>
      <c r="I26" s="5">
        <f t="shared" ref="I26:Q26" si="19">I24+I25</f>
        <v>168.1343784136302</v>
      </c>
      <c r="J26" s="5">
        <f t="shared" si="19"/>
        <v>287.1565757950957</v>
      </c>
      <c r="K26" s="5">
        <f t="shared" si="19"/>
        <v>439.42434844155133</v>
      </c>
      <c r="L26" s="5">
        <f t="shared" si="19"/>
        <v>608.84722722951437</v>
      </c>
      <c r="M26" s="5">
        <f t="shared" si="19"/>
        <v>797.28785480895135</v>
      </c>
      <c r="N26" s="5">
        <f t="shared" si="19"/>
        <v>1006.8008977957012</v>
      </c>
      <c r="O26" s="5">
        <f t="shared" si="19"/>
        <v>1239.6525591871116</v>
      </c>
      <c r="P26" s="5">
        <f t="shared" si="19"/>
        <v>1498.3420569111427</v>
      </c>
      <c r="Q26" s="5">
        <f t="shared" si="19"/>
        <v>1785.6252658761962</v>
      </c>
      <c r="R26" s="5"/>
      <c r="S26" s="5"/>
      <c r="T26" s="5"/>
      <c r="U26" s="5"/>
      <c r="V26" s="5"/>
    </row>
    <row r="27" spans="1:122" x14ac:dyDescent="0.15">
      <c r="A27" s="1" t="s">
        <v>14</v>
      </c>
      <c r="B27" s="5">
        <v>0.14699999999999999</v>
      </c>
      <c r="C27" s="5">
        <v>0.21099999999999999</v>
      </c>
      <c r="D27" s="17">
        <f>SUM(Reports!F19:I19)</f>
        <v>0.315</v>
      </c>
      <c r="E27" s="5">
        <f>SUM(Reports!J19:M19)</f>
        <v>-0.47599999999999998</v>
      </c>
      <c r="F27" s="5">
        <f>F26*0.15</f>
        <v>1.2635128499999901</v>
      </c>
      <c r="G27" s="5">
        <f t="shared" ref="G27:Q27" si="20">G26*0.15</f>
        <v>5.939069562899987</v>
      </c>
      <c r="H27" s="5">
        <f t="shared" si="20"/>
        <v>13.477614504826953</v>
      </c>
      <c r="I27" s="5">
        <f t="shared" si="20"/>
        <v>25.220156762044528</v>
      </c>
      <c r="J27" s="5">
        <f t="shared" si="20"/>
        <v>43.073486369264351</v>
      </c>
      <c r="K27" s="5">
        <f t="shared" si="20"/>
        <v>65.913652266232702</v>
      </c>
      <c r="L27" s="5">
        <f t="shared" si="20"/>
        <v>91.327084084427156</v>
      </c>
      <c r="M27" s="5">
        <f t="shared" si="20"/>
        <v>119.5931782213427</v>
      </c>
      <c r="N27" s="5">
        <f t="shared" si="20"/>
        <v>151.02013466935517</v>
      </c>
      <c r="O27" s="5">
        <f t="shared" si="20"/>
        <v>185.94788387806673</v>
      </c>
      <c r="P27" s="5">
        <f t="shared" si="20"/>
        <v>224.75130853667139</v>
      </c>
      <c r="Q27" s="5">
        <f t="shared" si="20"/>
        <v>267.84378988142942</v>
      </c>
      <c r="R27" s="5"/>
      <c r="S27" s="5"/>
      <c r="T27" s="5"/>
      <c r="U27" s="5"/>
      <c r="V27" s="5"/>
    </row>
    <row r="28" spans="1:122" s="16" customFormat="1" x14ac:dyDescent="0.15">
      <c r="A28" s="16" t="s">
        <v>15</v>
      </c>
      <c r="B28" s="47">
        <f>B26-B27</f>
        <v>-40.611000000000033</v>
      </c>
      <c r="C28" s="47">
        <f>C26-C27</f>
        <v>-42.757999999999988</v>
      </c>
      <c r="D28" s="47">
        <f>D26-D27</f>
        <v>-63.508999999999979</v>
      </c>
      <c r="E28" s="47">
        <f t="shared" ref="E28:H28" si="21">E26-E27</f>
        <v>-8.8579999999999686</v>
      </c>
      <c r="F28" s="47">
        <f t="shared" si="21"/>
        <v>7.1599061499999452</v>
      </c>
      <c r="G28" s="47">
        <f t="shared" si="21"/>
        <v>33.654727523099929</v>
      </c>
      <c r="H28" s="47">
        <f t="shared" si="21"/>
        <v>76.373148860686058</v>
      </c>
      <c r="I28" s="47">
        <f t="shared" ref="I28:Q28" si="22">I26-I27</f>
        <v>142.91422165158568</v>
      </c>
      <c r="J28" s="47">
        <f t="shared" si="22"/>
        <v>244.08308942583136</v>
      </c>
      <c r="K28" s="47">
        <f t="shared" si="22"/>
        <v>373.51069617531863</v>
      </c>
      <c r="L28" s="47">
        <f t="shared" si="22"/>
        <v>517.52014314508722</v>
      </c>
      <c r="M28" s="47">
        <f t="shared" si="22"/>
        <v>677.69467658760868</v>
      </c>
      <c r="N28" s="47">
        <f t="shared" si="22"/>
        <v>855.78076312634607</v>
      </c>
      <c r="O28" s="47">
        <f t="shared" si="22"/>
        <v>1053.7046753090449</v>
      </c>
      <c r="P28" s="47">
        <f t="shared" si="22"/>
        <v>1273.5907483744713</v>
      </c>
      <c r="Q28" s="47">
        <f t="shared" si="22"/>
        <v>1517.7814759947669</v>
      </c>
      <c r="R28" s="47">
        <f>Q28*($F$2+1)</f>
        <v>1525.3703833747406</v>
      </c>
      <c r="S28" s="47">
        <f t="shared" ref="S28:CD28" si="23">R28*($F$2+1)</f>
        <v>1532.9972352916143</v>
      </c>
      <c r="T28" s="47">
        <f t="shared" si="23"/>
        <v>1540.6622214680722</v>
      </c>
      <c r="U28" s="47">
        <f t="shared" si="23"/>
        <v>1548.3655325754123</v>
      </c>
      <c r="V28" s="47">
        <f t="shared" si="23"/>
        <v>1556.1073602382892</v>
      </c>
      <c r="W28" s="47">
        <f t="shared" si="23"/>
        <v>1563.8878970394805</v>
      </c>
      <c r="X28" s="47">
        <f t="shared" si="23"/>
        <v>1571.7073365246779</v>
      </c>
      <c r="Y28" s="47">
        <f t="shared" si="23"/>
        <v>1579.5658732073011</v>
      </c>
      <c r="Z28" s="47">
        <f t="shared" si="23"/>
        <v>1587.4637025733375</v>
      </c>
      <c r="AA28" s="47">
        <f t="shared" si="23"/>
        <v>1595.4010210862041</v>
      </c>
      <c r="AB28" s="47">
        <f t="shared" si="23"/>
        <v>1603.3780261916349</v>
      </c>
      <c r="AC28" s="47">
        <f t="shared" si="23"/>
        <v>1611.394916322593</v>
      </c>
      <c r="AD28" s="47">
        <f t="shared" si="23"/>
        <v>1619.4518909042058</v>
      </c>
      <c r="AE28" s="47">
        <f t="shared" si="23"/>
        <v>1627.5491503587266</v>
      </c>
      <c r="AF28" s="47">
        <f t="shared" si="23"/>
        <v>1635.6868961105201</v>
      </c>
      <c r="AG28" s="47">
        <f t="shared" si="23"/>
        <v>1643.8653305910725</v>
      </c>
      <c r="AH28" s="47">
        <f t="shared" si="23"/>
        <v>1652.0846572440278</v>
      </c>
      <c r="AI28" s="47">
        <f t="shared" si="23"/>
        <v>1660.3450805302477</v>
      </c>
      <c r="AJ28" s="47">
        <f t="shared" si="23"/>
        <v>1668.6468059328988</v>
      </c>
      <c r="AK28" s="47">
        <f t="shared" si="23"/>
        <v>1676.9900399625631</v>
      </c>
      <c r="AL28" s="47">
        <f t="shared" si="23"/>
        <v>1685.3749901623758</v>
      </c>
      <c r="AM28" s="47">
        <f t="shared" si="23"/>
        <v>1693.8018651131874</v>
      </c>
      <c r="AN28" s="47">
        <f t="shared" si="23"/>
        <v>1702.2708744387533</v>
      </c>
      <c r="AO28" s="47">
        <f t="shared" si="23"/>
        <v>1710.7822288109469</v>
      </c>
      <c r="AP28" s="47">
        <f t="shared" si="23"/>
        <v>1719.3361399550015</v>
      </c>
      <c r="AQ28" s="47">
        <f t="shared" si="23"/>
        <v>1727.9328206547764</v>
      </c>
      <c r="AR28" s="47">
        <f t="shared" si="23"/>
        <v>1736.57248475805</v>
      </c>
      <c r="AS28" s="47">
        <f t="shared" si="23"/>
        <v>1745.2553471818401</v>
      </c>
      <c r="AT28" s="47">
        <f t="shared" si="23"/>
        <v>1753.9816239177492</v>
      </c>
      <c r="AU28" s="47">
        <f t="shared" si="23"/>
        <v>1762.7515320373377</v>
      </c>
      <c r="AV28" s="47">
        <f t="shared" si="23"/>
        <v>1771.5652896975241</v>
      </c>
      <c r="AW28" s="47">
        <f t="shared" si="23"/>
        <v>1780.4231161460116</v>
      </c>
      <c r="AX28" s="47">
        <f t="shared" si="23"/>
        <v>1789.3252317267415</v>
      </c>
      <c r="AY28" s="47">
        <f t="shared" si="23"/>
        <v>1798.2718578853751</v>
      </c>
      <c r="AZ28" s="47">
        <f t="shared" si="23"/>
        <v>1807.2632171748019</v>
      </c>
      <c r="BA28" s="47">
        <f t="shared" si="23"/>
        <v>1816.2995332606756</v>
      </c>
      <c r="BB28" s="47">
        <f t="shared" si="23"/>
        <v>1825.3810309269788</v>
      </c>
      <c r="BC28" s="47">
        <f t="shared" si="23"/>
        <v>1834.5079360816135</v>
      </c>
      <c r="BD28" s="47">
        <f t="shared" si="23"/>
        <v>1843.6804757620214</v>
      </c>
      <c r="BE28" s="47">
        <f t="shared" si="23"/>
        <v>1852.8988781408314</v>
      </c>
      <c r="BF28" s="47">
        <f t="shared" si="23"/>
        <v>1862.1633725315353</v>
      </c>
      <c r="BG28" s="47">
        <f t="shared" si="23"/>
        <v>1871.4741893941928</v>
      </c>
      <c r="BH28" s="47">
        <f t="shared" si="23"/>
        <v>1880.8315603411636</v>
      </c>
      <c r="BI28" s="47">
        <f t="shared" si="23"/>
        <v>1890.2357181428692</v>
      </c>
      <c r="BJ28" s="47">
        <f t="shared" si="23"/>
        <v>1899.6868967335834</v>
      </c>
      <c r="BK28" s="47">
        <f t="shared" si="23"/>
        <v>1909.1853312172511</v>
      </c>
      <c r="BL28" s="47">
        <f t="shared" si="23"/>
        <v>1918.7312578733372</v>
      </c>
      <c r="BM28" s="47">
        <f t="shared" si="23"/>
        <v>1928.3249141627036</v>
      </c>
      <c r="BN28" s="47">
        <f t="shared" si="23"/>
        <v>1937.9665387335169</v>
      </c>
      <c r="BO28" s="47">
        <f t="shared" si="23"/>
        <v>1947.6563714271842</v>
      </c>
      <c r="BP28" s="47">
        <f t="shared" si="23"/>
        <v>1957.3946532843199</v>
      </c>
      <c r="BQ28" s="47">
        <f t="shared" si="23"/>
        <v>1967.1816265507414</v>
      </c>
      <c r="BR28" s="47">
        <f t="shared" si="23"/>
        <v>1977.0175346834949</v>
      </c>
      <c r="BS28" s="47">
        <f t="shared" si="23"/>
        <v>1986.9026223569122</v>
      </c>
      <c r="BT28" s="47">
        <f t="shared" si="23"/>
        <v>1996.8371354686965</v>
      </c>
      <c r="BU28" s="47">
        <f t="shared" si="23"/>
        <v>2006.8213211460397</v>
      </c>
      <c r="BV28" s="47">
        <f t="shared" si="23"/>
        <v>2016.8554277517696</v>
      </c>
      <c r="BW28" s="47">
        <f t="shared" si="23"/>
        <v>2026.9397048905282</v>
      </c>
      <c r="BX28" s="47">
        <f t="shared" si="23"/>
        <v>2037.0744034149807</v>
      </c>
      <c r="BY28" s="47">
        <f t="shared" si="23"/>
        <v>2047.2597754320554</v>
      </c>
      <c r="BZ28" s="47">
        <f t="shared" si="23"/>
        <v>2057.4960743092156</v>
      </c>
      <c r="CA28" s="47">
        <f t="shared" si="23"/>
        <v>2067.7835546807614</v>
      </c>
      <c r="CB28" s="47">
        <f t="shared" si="23"/>
        <v>2078.1224724541648</v>
      </c>
      <c r="CC28" s="47">
        <f t="shared" si="23"/>
        <v>2088.5130848164354</v>
      </c>
      <c r="CD28" s="47">
        <f t="shared" si="23"/>
        <v>2098.9556502405171</v>
      </c>
      <c r="CE28" s="47">
        <f t="shared" ref="CE28:DR28" si="24">CD28*($F$2+1)</f>
        <v>2109.4504284917193</v>
      </c>
      <c r="CF28" s="47">
        <f t="shared" si="24"/>
        <v>2119.9976806341779</v>
      </c>
      <c r="CG28" s="47">
        <f t="shared" si="24"/>
        <v>2130.5976690373486</v>
      </c>
      <c r="CH28" s="47">
        <f t="shared" si="24"/>
        <v>2141.2506573825353</v>
      </c>
      <c r="CI28" s="47">
        <f t="shared" si="24"/>
        <v>2151.956910669448</v>
      </c>
      <c r="CJ28" s="47">
        <f t="shared" si="24"/>
        <v>2162.7166952227949</v>
      </c>
      <c r="CK28" s="47">
        <f t="shared" si="24"/>
        <v>2173.5302786989087</v>
      </c>
      <c r="CL28" s="47">
        <f t="shared" si="24"/>
        <v>2184.3979300924029</v>
      </c>
      <c r="CM28" s="47">
        <f t="shared" si="24"/>
        <v>2195.3199197428648</v>
      </c>
      <c r="CN28" s="47">
        <f t="shared" si="24"/>
        <v>2206.2965193415789</v>
      </c>
      <c r="CO28" s="47">
        <f t="shared" si="24"/>
        <v>2217.3280019382864</v>
      </c>
      <c r="CP28" s="47">
        <f t="shared" si="24"/>
        <v>2228.4146419479775</v>
      </c>
      <c r="CQ28" s="47">
        <f t="shared" si="24"/>
        <v>2239.556715157717</v>
      </c>
      <c r="CR28" s="47">
        <f t="shared" si="24"/>
        <v>2250.7544987335054</v>
      </c>
      <c r="CS28" s="47">
        <f t="shared" si="24"/>
        <v>2262.0082712271728</v>
      </c>
      <c r="CT28" s="47">
        <f t="shared" si="24"/>
        <v>2273.3183125833084</v>
      </c>
      <c r="CU28" s="47">
        <f t="shared" si="24"/>
        <v>2284.6849041462247</v>
      </c>
      <c r="CV28" s="47">
        <f t="shared" si="24"/>
        <v>2296.1083286669555</v>
      </c>
      <c r="CW28" s="47">
        <f t="shared" si="24"/>
        <v>2307.5888703102901</v>
      </c>
      <c r="CX28" s="47">
        <f t="shared" si="24"/>
        <v>2319.1268146618413</v>
      </c>
      <c r="CY28" s="47">
        <f t="shared" si="24"/>
        <v>2330.7224487351505</v>
      </c>
      <c r="CZ28" s="47">
        <f t="shared" si="24"/>
        <v>2342.376060978826</v>
      </c>
      <c r="DA28" s="47">
        <f t="shared" si="24"/>
        <v>2354.0879412837198</v>
      </c>
      <c r="DB28" s="47">
        <f t="shared" si="24"/>
        <v>2365.8583809901384</v>
      </c>
      <c r="DC28" s="47">
        <f t="shared" si="24"/>
        <v>2377.6876728950888</v>
      </c>
      <c r="DD28" s="47">
        <f t="shared" si="24"/>
        <v>2389.5761112595642</v>
      </c>
      <c r="DE28" s="47">
        <f t="shared" si="24"/>
        <v>2401.5239918158618</v>
      </c>
      <c r="DF28" s="47">
        <f t="shared" si="24"/>
        <v>2413.5316117749408</v>
      </c>
      <c r="DG28" s="47">
        <f t="shared" si="24"/>
        <v>2425.599269833815</v>
      </c>
      <c r="DH28" s="47">
        <f t="shared" si="24"/>
        <v>2437.7272661829838</v>
      </c>
      <c r="DI28" s="47">
        <f t="shared" si="24"/>
        <v>2449.9159025138983</v>
      </c>
      <c r="DJ28" s="47">
        <f t="shared" si="24"/>
        <v>2462.1654820264675</v>
      </c>
      <c r="DK28" s="47">
        <f t="shared" si="24"/>
        <v>2474.4763094365994</v>
      </c>
      <c r="DL28" s="47">
        <f t="shared" si="24"/>
        <v>2486.848690983782</v>
      </c>
      <c r="DM28" s="47">
        <f t="shared" si="24"/>
        <v>2499.2829344387005</v>
      </c>
      <c r="DN28" s="47">
        <f t="shared" si="24"/>
        <v>2511.7793491108937</v>
      </c>
      <c r="DO28" s="47">
        <f t="shared" si="24"/>
        <v>2524.3382458564479</v>
      </c>
      <c r="DP28" s="47">
        <f t="shared" si="24"/>
        <v>2536.95993708573</v>
      </c>
      <c r="DQ28" s="47">
        <f t="shared" si="24"/>
        <v>2549.6447367711585</v>
      </c>
      <c r="DR28" s="47">
        <f t="shared" si="24"/>
        <v>2562.392960455014</v>
      </c>
    </row>
    <row r="29" spans="1:122" x14ac:dyDescent="0.15">
      <c r="A29" s="1" t="s">
        <v>16</v>
      </c>
      <c r="B29" s="48">
        <f>B28/B30</f>
        <v>-1.6792894907184857</v>
      </c>
      <c r="C29" s="48">
        <f>C28/C30</f>
        <v>-1.5015610327950155</v>
      </c>
      <c r="D29" s="48">
        <f>D28/D30</f>
        <v>-0.53306194393150896</v>
      </c>
      <c r="E29" s="48">
        <f>E28/E30</f>
        <v>-7.1877763983219073E-2</v>
      </c>
      <c r="F29" s="20">
        <f t="shared" ref="F29:H29" si="25">F28/F30</f>
        <v>5.8098672882331975E-2</v>
      </c>
      <c r="G29" s="20">
        <f t="shared" si="25"/>
        <v>0.27308947412789936</v>
      </c>
      <c r="H29" s="20">
        <f t="shared" si="25"/>
        <v>0.61972580361974128</v>
      </c>
      <c r="I29" s="20">
        <f t="shared" ref="I29:Q29" si="26">I28/I30</f>
        <v>1.1596697554434601</v>
      </c>
      <c r="J29" s="20">
        <f t="shared" si="26"/>
        <v>1.9805990849000816</v>
      </c>
      <c r="K29" s="20">
        <f t="shared" si="26"/>
        <v>3.0308324299952014</v>
      </c>
      <c r="L29" s="20">
        <f t="shared" si="26"/>
        <v>4.1993893323035065</v>
      </c>
      <c r="M29" s="20">
        <f t="shared" si="26"/>
        <v>5.4991169582804575</v>
      </c>
      <c r="N29" s="20">
        <f t="shared" si="26"/>
        <v>6.9441869172922592</v>
      </c>
      <c r="O29" s="20">
        <f t="shared" si="26"/>
        <v>8.5502298441948845</v>
      </c>
      <c r="P29" s="20">
        <f t="shared" si="26"/>
        <v>10.334483542884616</v>
      </c>
      <c r="Q29" s="20">
        <f t="shared" si="26"/>
        <v>12.315956052117196</v>
      </c>
      <c r="R29" s="20"/>
      <c r="S29" s="20"/>
      <c r="T29" s="20"/>
      <c r="U29" s="20"/>
      <c r="V29" s="20"/>
    </row>
    <row r="30" spans="1:122" x14ac:dyDescent="0.15">
      <c r="A30" s="1" t="s">
        <v>17</v>
      </c>
      <c r="B30" s="5">
        <v>24.183441999999999</v>
      </c>
      <c r="C30" s="5">
        <v>28.475698999999999</v>
      </c>
      <c r="D30" s="5">
        <f>Reports!I22</f>
        <v>119.14</v>
      </c>
      <c r="E30" s="5">
        <f>Reports!M22</f>
        <v>123.23699999999999</v>
      </c>
      <c r="F30" s="5">
        <f t="shared" ref="F30" si="27">E30</f>
        <v>123.23699999999999</v>
      </c>
      <c r="G30" s="5">
        <f t="shared" ref="G30" si="28">F30</f>
        <v>123.23699999999999</v>
      </c>
      <c r="H30" s="5">
        <f t="shared" ref="H30" si="29">G30</f>
        <v>123.23699999999999</v>
      </c>
      <c r="I30" s="5">
        <f t="shared" ref="I30" si="30">H30</f>
        <v>123.23699999999999</v>
      </c>
      <c r="J30" s="5">
        <f t="shared" ref="J30" si="31">I30</f>
        <v>123.23699999999999</v>
      </c>
      <c r="K30" s="5">
        <f t="shared" ref="K30" si="32">J30</f>
        <v>123.23699999999999</v>
      </c>
      <c r="L30" s="5">
        <f t="shared" ref="L30" si="33">K30</f>
        <v>123.23699999999999</v>
      </c>
      <c r="M30" s="5">
        <f t="shared" ref="M30" si="34">L30</f>
        <v>123.23699999999999</v>
      </c>
      <c r="N30" s="5">
        <f t="shared" ref="N30" si="35">M30</f>
        <v>123.23699999999999</v>
      </c>
      <c r="O30" s="5">
        <f t="shared" ref="O30" si="36">N30</f>
        <v>123.23699999999999</v>
      </c>
      <c r="P30" s="5">
        <f t="shared" ref="P30" si="37">O30</f>
        <v>123.23699999999999</v>
      </c>
      <c r="Q30" s="5">
        <f t="shared" ref="Q30" si="38">P30</f>
        <v>123.23699999999999</v>
      </c>
      <c r="R30" s="5"/>
      <c r="S30" s="5"/>
      <c r="T30" s="5"/>
      <c r="U30" s="5"/>
      <c r="V30" s="5"/>
    </row>
    <row r="31" spans="1:122" x14ac:dyDescent="0.1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122" x14ac:dyDescent="0.15">
      <c r="A32" s="1" t="s">
        <v>19</v>
      </c>
      <c r="B32" s="23">
        <f t="shared" ref="B32:Q32" si="39">IFERROR(B19/B17,0)</f>
        <v>0.2806816796255826</v>
      </c>
      <c r="C32" s="23">
        <f t="shared" si="39"/>
        <v>0.30363803747156021</v>
      </c>
      <c r="D32" s="23">
        <f t="shared" si="39"/>
        <v>0.3897180568800791</v>
      </c>
      <c r="E32" s="23">
        <f t="shared" si="39"/>
        <v>0.4473330145924943</v>
      </c>
      <c r="F32" s="23">
        <f t="shared" si="39"/>
        <v>0.4473330145924943</v>
      </c>
      <c r="G32" s="23">
        <f t="shared" si="39"/>
        <v>0.44733301459249425</v>
      </c>
      <c r="H32" s="23">
        <f t="shared" si="39"/>
        <v>0.44733301459249425</v>
      </c>
      <c r="I32" s="23">
        <f t="shared" si="39"/>
        <v>0.44733301459249425</v>
      </c>
      <c r="J32" s="23">
        <f t="shared" si="39"/>
        <v>0.44733301459249425</v>
      </c>
      <c r="K32" s="23">
        <f t="shared" si="39"/>
        <v>0.44733301459249425</v>
      </c>
      <c r="L32" s="23">
        <f t="shared" si="39"/>
        <v>0.44733301459249425</v>
      </c>
      <c r="M32" s="23">
        <f t="shared" si="39"/>
        <v>0.44733301459249425</v>
      </c>
      <c r="N32" s="23">
        <f t="shared" si="39"/>
        <v>0.44733301459249425</v>
      </c>
      <c r="O32" s="23">
        <f t="shared" si="39"/>
        <v>0.44733301459249425</v>
      </c>
      <c r="P32" s="23">
        <f t="shared" si="39"/>
        <v>0.44733301459249425</v>
      </c>
      <c r="Q32" s="23">
        <f t="shared" si="39"/>
        <v>0.44733301459249425</v>
      </c>
      <c r="R32" s="23"/>
      <c r="S32" s="23"/>
      <c r="T32" s="23"/>
      <c r="U32" s="23"/>
      <c r="V32" s="23"/>
    </row>
    <row r="33" spans="1:22" x14ac:dyDescent="0.15">
      <c r="A33" s="1" t="s">
        <v>20</v>
      </c>
      <c r="B33" s="22">
        <f t="shared" ref="B33:Q33" si="40">IFERROR(B24/B17,0)</f>
        <v>-0.11740246422620121</v>
      </c>
      <c r="C33" s="22">
        <f t="shared" si="40"/>
        <v>-0.10876987023672451</v>
      </c>
      <c r="D33" s="22">
        <f t="shared" si="40"/>
        <v>-3.8255490353243084E-2</v>
      </c>
      <c r="E33" s="22">
        <f t="shared" si="40"/>
        <v>-1.7908296913825453E-2</v>
      </c>
      <c r="F33" s="22">
        <f t="shared" si="40"/>
        <v>5.0941601213857282E-3</v>
      </c>
      <c r="G33" s="22">
        <f t="shared" si="40"/>
        <v>2.5737607965335998E-2</v>
      </c>
      <c r="H33" s="22">
        <f t="shared" si="40"/>
        <v>4.4267462526477452E-2</v>
      </c>
      <c r="I33" s="22">
        <f t="shared" si="40"/>
        <v>6.0900419297128076E-2</v>
      </c>
      <c r="J33" s="22">
        <f t="shared" si="40"/>
        <v>7.5827980287009975E-2</v>
      </c>
      <c r="K33" s="22">
        <f t="shared" si="40"/>
        <v>0.10538429735579705</v>
      </c>
      <c r="L33" s="22">
        <f t="shared" si="40"/>
        <v>0.13221499369232761</v>
      </c>
      <c r="M33" s="22">
        <f t="shared" si="40"/>
        <v>0.15659474134165904</v>
      </c>
      <c r="N33" s="22">
        <f t="shared" si="40"/>
        <v>0.1787692785074996</v>
      </c>
      <c r="O33" s="22">
        <f t="shared" si="40"/>
        <v>0.19895851913573087</v>
      </c>
      <c r="P33" s="22">
        <f t="shared" si="40"/>
        <v>0.21735932539952471</v>
      </c>
      <c r="Q33" s="22">
        <f t="shared" si="40"/>
        <v>0.23414797976365839</v>
      </c>
      <c r="R33" s="22"/>
      <c r="S33" s="22"/>
      <c r="T33" s="22"/>
      <c r="U33" s="22"/>
      <c r="V33" s="22"/>
    </row>
    <row r="34" spans="1:22" x14ac:dyDescent="0.15">
      <c r="A34" s="1" t="s">
        <v>21</v>
      </c>
      <c r="B34" s="22">
        <f t="shared" ref="B34:Q34" si="41">IFERROR(B27/B26,0)</f>
        <v>-3.6328588374851685E-3</v>
      </c>
      <c r="C34" s="22">
        <f t="shared" si="41"/>
        <v>-4.959221566737961E-3</v>
      </c>
      <c r="D34" s="22">
        <f t="shared" si="41"/>
        <v>-4.9846504414976121E-3</v>
      </c>
      <c r="E34" s="22">
        <f t="shared" si="41"/>
        <v>5.0996357403042814E-2</v>
      </c>
      <c r="F34" s="22">
        <f t="shared" si="41"/>
        <v>0.15</v>
      </c>
      <c r="G34" s="22">
        <f t="shared" si="41"/>
        <v>0.15</v>
      </c>
      <c r="H34" s="22">
        <f t="shared" si="41"/>
        <v>0.15</v>
      </c>
      <c r="I34" s="22">
        <f t="shared" si="41"/>
        <v>0.15</v>
      </c>
      <c r="J34" s="22">
        <f t="shared" si="41"/>
        <v>0.15</v>
      </c>
      <c r="K34" s="22">
        <f t="shared" si="41"/>
        <v>0.15</v>
      </c>
      <c r="L34" s="22">
        <f t="shared" si="41"/>
        <v>0.15</v>
      </c>
      <c r="M34" s="22">
        <f t="shared" si="41"/>
        <v>0.15</v>
      </c>
      <c r="N34" s="22">
        <f t="shared" si="41"/>
        <v>0.15</v>
      </c>
      <c r="O34" s="22">
        <f t="shared" si="41"/>
        <v>0.15</v>
      </c>
      <c r="P34" s="22">
        <f t="shared" si="41"/>
        <v>0.15</v>
      </c>
      <c r="Q34" s="22">
        <f t="shared" si="41"/>
        <v>0.15</v>
      </c>
      <c r="R34" s="22"/>
      <c r="S34" s="22"/>
      <c r="T34" s="22"/>
      <c r="U34" s="22"/>
      <c r="V34" s="22"/>
    </row>
    <row r="35" spans="1:22" x14ac:dyDescent="0.1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x14ac:dyDescent="0.15">
      <c r="A36" s="16" t="s">
        <v>18</v>
      </c>
      <c r="B36" s="9"/>
      <c r="C36" s="21">
        <f t="shared" ref="C36:Q36" si="42">C17/B17-1</f>
        <v>0.24633508098931722</v>
      </c>
      <c r="D36" s="21">
        <f t="shared" si="42"/>
        <v>0.28625181550687451</v>
      </c>
      <c r="E36" s="21">
        <f t="shared" si="42"/>
        <v>0.44804714848770288</v>
      </c>
      <c r="F36" s="21">
        <f t="shared" si="42"/>
        <v>0.37699999999999978</v>
      </c>
      <c r="G36" s="21">
        <f t="shared" si="42"/>
        <v>0.377</v>
      </c>
      <c r="H36" s="21">
        <f t="shared" si="42"/>
        <v>0.37700000000000022</v>
      </c>
      <c r="I36" s="21">
        <f t="shared" si="42"/>
        <v>0.37700000000000022</v>
      </c>
      <c r="J36" s="21">
        <f t="shared" si="42"/>
        <v>0.377</v>
      </c>
      <c r="K36" s="21">
        <f t="shared" si="42"/>
        <v>0.10000000000000009</v>
      </c>
      <c r="L36" s="21">
        <f t="shared" si="42"/>
        <v>0.10000000000000009</v>
      </c>
      <c r="M36" s="21">
        <f t="shared" si="42"/>
        <v>0.10000000000000009</v>
      </c>
      <c r="N36" s="21">
        <f t="shared" si="42"/>
        <v>0.10000000000000009</v>
      </c>
      <c r="O36" s="21">
        <f t="shared" si="42"/>
        <v>0.10000000000000009</v>
      </c>
      <c r="P36" s="21">
        <f t="shared" si="42"/>
        <v>0.10000000000000009</v>
      </c>
      <c r="Q36" s="21">
        <f t="shared" si="42"/>
        <v>0.10000000000000009</v>
      </c>
      <c r="R36" s="21"/>
      <c r="S36" s="21"/>
      <c r="T36" s="21"/>
      <c r="U36" s="21"/>
      <c r="V36" s="21"/>
    </row>
    <row r="37" spans="1:22" x14ac:dyDescent="0.15">
      <c r="A37" s="1" t="s">
        <v>34</v>
      </c>
      <c r="B37" s="9"/>
      <c r="C37" s="22">
        <f t="shared" ref="C37:Q37" si="43">C20/B20-1</f>
        <v>0.50938199686936536</v>
      </c>
      <c r="D37" s="22">
        <f t="shared" si="43"/>
        <v>0.4170287619622719</v>
      </c>
      <c r="E37" s="22">
        <f t="shared" si="43"/>
        <v>0.58128676640881949</v>
      </c>
      <c r="F37" s="22">
        <f t="shared" si="43"/>
        <v>0.30000000000000004</v>
      </c>
      <c r="G37" s="22">
        <f t="shared" si="43"/>
        <v>0.30000000000000004</v>
      </c>
      <c r="H37" s="22">
        <f t="shared" si="43"/>
        <v>0.30000000000000004</v>
      </c>
      <c r="I37" s="22">
        <f t="shared" si="43"/>
        <v>0.30000000000000004</v>
      </c>
      <c r="J37" s="22">
        <f t="shared" si="43"/>
        <v>0.30000000000000004</v>
      </c>
      <c r="K37" s="22">
        <f t="shared" si="43"/>
        <v>5.0000000000000044E-2</v>
      </c>
      <c r="L37" s="22">
        <f t="shared" si="43"/>
        <v>5.0000000000000044E-2</v>
      </c>
      <c r="M37" s="22">
        <f t="shared" si="43"/>
        <v>5.0000000000000044E-2</v>
      </c>
      <c r="N37" s="22">
        <f t="shared" si="43"/>
        <v>5.0000000000000044E-2</v>
      </c>
      <c r="O37" s="22">
        <f t="shared" si="43"/>
        <v>5.0000000000000044E-2</v>
      </c>
      <c r="P37" s="22">
        <f t="shared" si="43"/>
        <v>5.0000000000000044E-2</v>
      </c>
      <c r="Q37" s="22">
        <f t="shared" si="43"/>
        <v>5.0000000000000044E-2</v>
      </c>
      <c r="R37" s="22"/>
      <c r="S37" s="22"/>
      <c r="T37" s="22"/>
      <c r="U37" s="22"/>
      <c r="V37" s="22"/>
    </row>
    <row r="38" spans="1:22" x14ac:dyDescent="0.15">
      <c r="A38" s="1" t="s">
        <v>35</v>
      </c>
      <c r="B38" s="9"/>
      <c r="C38" s="22">
        <f t="shared" ref="C38:Q38" si="44">C21/B21-1</f>
        <v>0.17130644696919362</v>
      </c>
      <c r="D38" s="22">
        <f t="shared" si="44"/>
        <v>0.21140901527756784</v>
      </c>
      <c r="E38" s="22">
        <f t="shared" si="44"/>
        <v>0.60420796328957826</v>
      </c>
      <c r="F38" s="22">
        <f t="shared" si="44"/>
        <v>0.39999999999999991</v>
      </c>
      <c r="G38" s="22">
        <f t="shared" si="44"/>
        <v>0.39999999999999991</v>
      </c>
      <c r="H38" s="22">
        <f t="shared" si="44"/>
        <v>0.39999999999999991</v>
      </c>
      <c r="I38" s="22">
        <f t="shared" si="44"/>
        <v>0.39999999999999991</v>
      </c>
      <c r="J38" s="22">
        <f t="shared" si="44"/>
        <v>0.39999999999999969</v>
      </c>
      <c r="K38" s="22">
        <f t="shared" si="44"/>
        <v>-2.0000000000000018E-2</v>
      </c>
      <c r="L38" s="22">
        <f t="shared" si="44"/>
        <v>-1.9999999999999907E-2</v>
      </c>
      <c r="M38" s="22">
        <f t="shared" si="44"/>
        <v>-2.0000000000000129E-2</v>
      </c>
      <c r="N38" s="22">
        <f t="shared" si="44"/>
        <v>-2.0000000000000018E-2</v>
      </c>
      <c r="O38" s="22">
        <f t="shared" si="44"/>
        <v>-2.0000000000000018E-2</v>
      </c>
      <c r="P38" s="22">
        <f t="shared" si="44"/>
        <v>-2.0000000000000018E-2</v>
      </c>
      <c r="Q38" s="22">
        <f t="shared" si="44"/>
        <v>-2.0000000000000018E-2</v>
      </c>
      <c r="R38" s="22"/>
      <c r="S38" s="22"/>
      <c r="T38" s="22"/>
      <c r="U38" s="22"/>
      <c r="V38" s="22"/>
    </row>
    <row r="39" spans="1:22" x14ac:dyDescent="0.15">
      <c r="A39" s="1" t="s">
        <v>36</v>
      </c>
      <c r="B39" s="9"/>
      <c r="C39" s="22">
        <f t="shared" ref="C39:Q39" si="45">C22/B22-1</f>
        <v>0.11457676296202868</v>
      </c>
      <c r="D39" s="22">
        <f t="shared" si="45"/>
        <v>0.34220876602246686</v>
      </c>
      <c r="E39" s="22">
        <f t="shared" si="45"/>
        <v>0.51727627279435029</v>
      </c>
      <c r="F39" s="22">
        <f t="shared" si="45"/>
        <v>0.19999999999999996</v>
      </c>
      <c r="G39" s="22">
        <f t="shared" si="45"/>
        <v>0.19999999999999996</v>
      </c>
      <c r="H39" s="22">
        <f t="shared" si="45"/>
        <v>0.19999999999999996</v>
      </c>
      <c r="I39" s="22">
        <f t="shared" si="45"/>
        <v>0.19999999999999996</v>
      </c>
      <c r="J39" s="22">
        <f t="shared" si="45"/>
        <v>0.19999999999999996</v>
      </c>
      <c r="K39" s="22">
        <f t="shared" si="45"/>
        <v>-1.9999999999999907E-2</v>
      </c>
      <c r="L39" s="22">
        <f t="shared" si="45"/>
        <v>-2.0000000000000018E-2</v>
      </c>
      <c r="M39" s="22">
        <f t="shared" si="45"/>
        <v>-2.0000000000000018E-2</v>
      </c>
      <c r="N39" s="22">
        <f t="shared" si="45"/>
        <v>-2.0000000000000018E-2</v>
      </c>
      <c r="O39" s="22">
        <f t="shared" si="45"/>
        <v>-1.9999999999999907E-2</v>
      </c>
      <c r="P39" s="22">
        <f t="shared" si="45"/>
        <v>-2.0000000000000018E-2</v>
      </c>
      <c r="Q39" s="22">
        <f t="shared" si="45"/>
        <v>-2.0000000000000018E-2</v>
      </c>
      <c r="R39" s="22"/>
      <c r="S39" s="22"/>
      <c r="T39" s="22"/>
      <c r="U39" s="22"/>
      <c r="V39" s="22"/>
    </row>
    <row r="41" spans="1:22" x14ac:dyDescent="0.15">
      <c r="A41" s="16" t="s">
        <v>26</v>
      </c>
      <c r="B41" s="18"/>
      <c r="C41" s="47">
        <f>C42-C43</f>
        <v>19.561999999999998</v>
      </c>
      <c r="D41" s="47">
        <f>Reports!I33</f>
        <v>177.25</v>
      </c>
      <c r="E41" s="47">
        <f>Reports!J33</f>
        <v>160.75</v>
      </c>
      <c r="F41" s="18">
        <f>E41+F28</f>
        <v>167.90990614999996</v>
      </c>
      <c r="G41" s="18">
        <f t="shared" ref="G41:Q41" si="46">F41+G28</f>
        <v>201.56463367309988</v>
      </c>
      <c r="H41" s="18">
        <f t="shared" si="46"/>
        <v>277.93778253378593</v>
      </c>
      <c r="I41" s="18">
        <f t="shared" si="46"/>
        <v>420.85200418537158</v>
      </c>
      <c r="J41" s="18">
        <f t="shared" si="46"/>
        <v>664.935093611203</v>
      </c>
      <c r="K41" s="18">
        <f t="shared" si="46"/>
        <v>1038.4457897865216</v>
      </c>
      <c r="L41" s="18">
        <f t="shared" si="46"/>
        <v>1555.9659329316087</v>
      </c>
      <c r="M41" s="18">
        <f t="shared" si="46"/>
        <v>2233.6606095192174</v>
      </c>
      <c r="N41" s="18">
        <f t="shared" si="46"/>
        <v>3089.4413726455632</v>
      </c>
      <c r="O41" s="18">
        <f t="shared" si="46"/>
        <v>4143.1460479546076</v>
      </c>
      <c r="P41" s="18">
        <f t="shared" si="46"/>
        <v>5416.736796329079</v>
      </c>
      <c r="Q41" s="18">
        <f t="shared" si="46"/>
        <v>6934.5182723238458</v>
      </c>
      <c r="R41" s="18"/>
      <c r="S41" s="18"/>
      <c r="T41" s="18"/>
      <c r="U41" s="18"/>
      <c r="V41" s="18"/>
    </row>
    <row r="42" spans="1:22" x14ac:dyDescent="0.15">
      <c r="A42" s="1" t="s">
        <v>27</v>
      </c>
      <c r="B42" s="3"/>
      <c r="C42" s="5">
        <f>Reports!E34</f>
        <v>34.561999999999998</v>
      </c>
      <c r="D42" s="5">
        <f>Reports!I34</f>
        <v>177.25</v>
      </c>
      <c r="E42" s="5">
        <f>Reports!M34</f>
        <v>197.70999999999998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x14ac:dyDescent="0.15">
      <c r="A43" s="1" t="s">
        <v>28</v>
      </c>
      <c r="C43" s="5">
        <f>Reports!E35</f>
        <v>15</v>
      </c>
      <c r="D43" s="5">
        <f>Reports!I35</f>
        <v>0</v>
      </c>
      <c r="E43" s="5">
        <f>Reports!M35</f>
        <v>0</v>
      </c>
    </row>
    <row r="45" spans="1:22" x14ac:dyDescent="0.15">
      <c r="A45" s="1" t="s">
        <v>64</v>
      </c>
      <c r="C45" s="5">
        <f>Reports!E37</f>
        <v>0</v>
      </c>
      <c r="D45" s="5">
        <f>Reports!I37</f>
        <v>3.4119999999999999</v>
      </c>
      <c r="E45" s="5">
        <f>Reports!M37</f>
        <v>2.859</v>
      </c>
    </row>
    <row r="46" spans="1:22" x14ac:dyDescent="0.15">
      <c r="A46" s="1" t="s">
        <v>65</v>
      </c>
      <c r="B46" s="3"/>
      <c r="C46" s="5">
        <f>Reports!E38</f>
        <v>179.078</v>
      </c>
      <c r="D46" s="5">
        <f>Reports!I38</f>
        <v>371.89699999999999</v>
      </c>
      <c r="E46" s="5">
        <f>Reports!M38</f>
        <v>464.97699999999998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x14ac:dyDescent="0.15">
      <c r="A47" s="1" t="s">
        <v>66</v>
      </c>
      <c r="C47" s="5">
        <f>Reports!E39</f>
        <v>372.90200000000004</v>
      </c>
      <c r="D47" s="5">
        <f>Reports!I39</f>
        <v>219.61799999999999</v>
      </c>
      <c r="E47" s="5">
        <f>Reports!M39</f>
        <v>220.346</v>
      </c>
    </row>
    <row r="49" spans="1:10" x14ac:dyDescent="0.15">
      <c r="A49" s="1" t="s">
        <v>67</v>
      </c>
      <c r="C49" s="51">
        <f>C46-C45-C42</f>
        <v>144.51600000000002</v>
      </c>
      <c r="D49" s="51">
        <f>D46-D45-D42</f>
        <v>191.23500000000001</v>
      </c>
      <c r="E49" s="51">
        <f>E46-E45-E42</f>
        <v>264.40800000000002</v>
      </c>
    </row>
    <row r="50" spans="1:10" x14ac:dyDescent="0.15">
      <c r="A50" s="1" t="s">
        <v>68</v>
      </c>
      <c r="C50" s="51">
        <f>C46-C47</f>
        <v>-193.82400000000004</v>
      </c>
      <c r="D50" s="51">
        <f>D46-D47</f>
        <v>152.279</v>
      </c>
      <c r="E50" s="51">
        <f>E46-E47</f>
        <v>244.63099999999997</v>
      </c>
    </row>
    <row r="52" spans="1:10" x14ac:dyDescent="0.15">
      <c r="A52" s="24" t="s">
        <v>69</v>
      </c>
      <c r="C52" s="14">
        <f>C28/C50</f>
        <v>0.22060219580650475</v>
      </c>
      <c r="D52" s="14">
        <f>D28/D50</f>
        <v>-0.41705684959843431</v>
      </c>
      <c r="E52" s="14">
        <f>E28/E50</f>
        <v>-3.6209638189763235E-2</v>
      </c>
    </row>
    <row r="53" spans="1:10" x14ac:dyDescent="0.15">
      <c r="A53" s="24" t="s">
        <v>70</v>
      </c>
      <c r="C53" s="14">
        <f>C28/C46</f>
        <v>-0.23876746445682881</v>
      </c>
      <c r="D53" s="14">
        <f>D28/D46</f>
        <v>-0.17077040148213074</v>
      </c>
      <c r="E53" s="14">
        <f>E28/E46</f>
        <v>-1.9050404643670481E-2</v>
      </c>
    </row>
    <row r="54" spans="1:10" x14ac:dyDescent="0.15">
      <c r="A54" s="24" t="s">
        <v>71</v>
      </c>
      <c r="C54" s="14">
        <f>C28/(C50-C45)</f>
        <v>0.22060219580650475</v>
      </c>
      <c r="D54" s="14">
        <f>D28/(D50-D45)</f>
        <v>-0.42661570395050602</v>
      </c>
      <c r="E54" s="14">
        <f>E28/(E50-E45)</f>
        <v>-3.66378240656485E-2</v>
      </c>
    </row>
    <row r="55" spans="1:10" x14ac:dyDescent="0.15">
      <c r="A55" s="24" t="s">
        <v>72</v>
      </c>
      <c r="C55" s="14">
        <f>C28/C49</f>
        <v>-0.29587035345567259</v>
      </c>
      <c r="D55" s="14">
        <f>D28/D49</f>
        <v>-0.33209924961434872</v>
      </c>
      <c r="E55" s="14">
        <f>E28/E49</f>
        <v>-3.3501255635230279E-2</v>
      </c>
    </row>
    <row r="57" spans="1:10" x14ac:dyDescent="0.15">
      <c r="A57" s="1" t="s">
        <v>75</v>
      </c>
      <c r="C57" s="14">
        <f t="shared" ref="C57:E58" si="47">C11/B11-1</f>
        <v>1.09943865276664</v>
      </c>
      <c r="D57" s="14">
        <f t="shared" si="47"/>
        <v>1.1519862490450725</v>
      </c>
      <c r="E57" s="14">
        <f t="shared" si="47"/>
        <v>0.84979321606702296</v>
      </c>
    </row>
    <row r="58" spans="1:10" x14ac:dyDescent="0.15">
      <c r="A58" s="1" t="s">
        <v>74</v>
      </c>
      <c r="C58" s="14">
        <f t="shared" si="47"/>
        <v>8.8718668627327579E-2</v>
      </c>
      <c r="D58" s="14">
        <f t="shared" si="47"/>
        <v>-2.2189032045153545E-2</v>
      </c>
      <c r="E58" s="14">
        <f t="shared" si="47"/>
        <v>0.13303781745051424</v>
      </c>
    </row>
    <row r="60" spans="1:10" x14ac:dyDescent="0.15">
      <c r="A60" s="14" t="s">
        <v>84</v>
      </c>
      <c r="C60" s="14">
        <f>C14/B14-1</f>
        <v>0.45800196099793</v>
      </c>
      <c r="D60" s="14">
        <f>D14/C14-1</f>
        <v>0.44212807292834211</v>
      </c>
      <c r="E60" s="14">
        <f t="shared" ref="E60:J60" si="48">E14/D14-1</f>
        <v>0.40414507772020736</v>
      </c>
      <c r="F60" s="14">
        <f t="shared" si="48"/>
        <v>0.34999999999999987</v>
      </c>
      <c r="G60" s="14">
        <f t="shared" si="48"/>
        <v>0.35000000000000009</v>
      </c>
      <c r="H60" s="14">
        <f t="shared" si="48"/>
        <v>0.35000000000000009</v>
      </c>
      <c r="I60" s="14">
        <f t="shared" si="48"/>
        <v>0.35000000000000009</v>
      </c>
      <c r="J60" s="14">
        <f t="shared" si="48"/>
        <v>0.35000000000000009</v>
      </c>
    </row>
    <row r="61" spans="1:10" x14ac:dyDescent="0.15">
      <c r="A61" s="14" t="s">
        <v>73</v>
      </c>
      <c r="C61" s="14">
        <f>C15/B15-1</f>
        <v>-0.14517599130232806</v>
      </c>
      <c r="D61" s="14">
        <f>D15/C15-1</f>
        <v>-0.10808766596225383</v>
      </c>
      <c r="E61" s="14">
        <f t="shared" ref="E61:J61" si="49">E15/D15-1</f>
        <v>3.1266050398991219E-2</v>
      </c>
      <c r="F61" s="14">
        <f t="shared" si="49"/>
        <v>2.0000000000000018E-2</v>
      </c>
      <c r="G61" s="14">
        <f t="shared" si="49"/>
        <v>2.0000000000000018E-2</v>
      </c>
      <c r="H61" s="14">
        <f t="shared" si="49"/>
        <v>2.0000000000000018E-2</v>
      </c>
      <c r="I61" s="14">
        <f t="shared" si="49"/>
        <v>2.0000000000000018E-2</v>
      </c>
      <c r="J61" s="14">
        <f t="shared" si="49"/>
        <v>2.0000000000000018E-2</v>
      </c>
    </row>
    <row r="63" spans="1:10" s="17" customFormat="1" x14ac:dyDescent="0.15">
      <c r="A63" s="17" t="s">
        <v>47</v>
      </c>
      <c r="B63" s="17">
        <v>5498</v>
      </c>
      <c r="C63" s="17">
        <v>9351</v>
      </c>
      <c r="D63" s="17">
        <f>SUM(Reports!F56:I56)</f>
        <v>14880</v>
      </c>
      <c r="E63" s="17">
        <f>SUM(Reports!J56:M56)</f>
        <v>24100</v>
      </c>
    </row>
    <row r="64" spans="1:10" x14ac:dyDescent="0.15">
      <c r="A64" s="1" t="s">
        <v>89</v>
      </c>
      <c r="C64" s="14">
        <f>C63/B63-1</f>
        <v>0.70080029101491448</v>
      </c>
      <c r="D64" s="14">
        <f>D63/C63-1</f>
        <v>0.59127366057106201</v>
      </c>
      <c r="E64" s="14">
        <f>E63/D63-1</f>
        <v>0.6196236559139785</v>
      </c>
    </row>
  </sheetData>
  <phoneticPr fontId="4" type="noConversion"/>
  <hyperlinks>
    <hyperlink ref="A4" r:id="rId1" display="Anthony Wood (CEO)"/>
    <hyperlink ref="A7" r:id="rId2" display="Anthony Wood (CEO)"/>
    <hyperlink ref="A1" r:id="rId3"/>
  </hyperlinks>
  <pageMargins left="0.7" right="0.7" top="0.75" bottom="0.75" header="0.3" footer="0.3"/>
  <pageSetup paperSize="9" orientation="portrait" horizontalDpi="0" verticalDpi="0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workbookViewId="0">
      <pane xSplit="1" ySplit="2" topLeftCell="D18" activePane="bottomRight" state="frozen"/>
      <selection pane="topRight" activeCell="B1" sqref="B1"/>
      <selection pane="bottomLeft" activeCell="A3" sqref="A3"/>
      <selection pane="bottomRight" activeCell="G52" sqref="G52"/>
    </sheetView>
  </sheetViews>
  <sheetFormatPr baseColWidth="10" defaultRowHeight="13" x14ac:dyDescent="0.15"/>
  <cols>
    <col min="1" max="1" width="19.5" style="1" bestFit="1" customWidth="1"/>
    <col min="2" max="2" width="10.83203125" style="29" customWidth="1"/>
    <col min="3" max="4" width="10.83203125" style="1" customWidth="1"/>
    <col min="5" max="5" width="10.83203125" style="1"/>
    <col min="6" max="6" width="10.83203125" style="29"/>
    <col min="7" max="7" width="10.83203125" style="1" customWidth="1"/>
    <col min="8" max="9" width="10.83203125" style="1"/>
    <col min="10" max="10" width="10.83203125" style="29"/>
    <col min="11" max="12" width="10.83203125" style="1"/>
    <col min="13" max="13" width="10.83203125" style="65"/>
    <col min="14" max="14" width="10.83203125" style="29"/>
    <col min="15" max="16384" width="10.83203125" style="1"/>
  </cols>
  <sheetData>
    <row r="1" spans="1:17" s="26" customFormat="1" x14ac:dyDescent="0.15">
      <c r="A1" s="25" t="s">
        <v>54</v>
      </c>
      <c r="B1" s="40" t="s">
        <v>22</v>
      </c>
      <c r="C1" s="26" t="s">
        <v>23</v>
      </c>
      <c r="D1" s="26" t="s">
        <v>24</v>
      </c>
      <c r="E1" s="26" t="s">
        <v>25</v>
      </c>
      <c r="F1" s="41" t="s">
        <v>0</v>
      </c>
      <c r="G1" s="27" t="s">
        <v>1</v>
      </c>
      <c r="H1" s="27" t="s">
        <v>2</v>
      </c>
      <c r="I1" s="27" t="s">
        <v>3</v>
      </c>
      <c r="J1" s="40" t="s">
        <v>76</v>
      </c>
      <c r="K1" s="26" t="s">
        <v>77</v>
      </c>
      <c r="L1" s="26" t="s">
        <v>57</v>
      </c>
      <c r="M1" s="57" t="s">
        <v>78</v>
      </c>
      <c r="N1" s="40" t="s">
        <v>79</v>
      </c>
      <c r="O1" s="26" t="s">
        <v>80</v>
      </c>
      <c r="P1" s="26" t="s">
        <v>81</v>
      </c>
      <c r="Q1" s="26" t="s">
        <v>82</v>
      </c>
    </row>
    <row r="2" spans="1:17" s="26" customFormat="1" x14ac:dyDescent="0.15">
      <c r="A2" s="25"/>
      <c r="B2" s="40" t="s">
        <v>43</v>
      </c>
      <c r="C2" s="26" t="s">
        <v>42</v>
      </c>
      <c r="D2" s="26" t="s">
        <v>46</v>
      </c>
      <c r="E2" s="26" t="s">
        <v>38</v>
      </c>
      <c r="F2" s="40" t="s">
        <v>41</v>
      </c>
      <c r="G2" s="26" t="s">
        <v>39</v>
      </c>
      <c r="H2" s="26" t="s">
        <v>40</v>
      </c>
      <c r="I2" s="26" t="s">
        <v>37</v>
      </c>
      <c r="J2" s="40" t="s">
        <v>85</v>
      </c>
      <c r="K2" s="26" t="s">
        <v>86</v>
      </c>
      <c r="L2" s="26" t="s">
        <v>87</v>
      </c>
      <c r="M2" s="57" t="s">
        <v>88</v>
      </c>
      <c r="N2" s="40"/>
    </row>
    <row r="3" spans="1:17" s="17" customFormat="1" x14ac:dyDescent="0.15">
      <c r="A3" s="17" t="s">
        <v>45</v>
      </c>
      <c r="B3" s="28"/>
      <c r="D3" s="17">
        <v>24.263999999999999</v>
      </c>
      <c r="E3" s="17">
        <v>37.316000000000003</v>
      </c>
      <c r="F3" s="28">
        <v>36.414999999999999</v>
      </c>
      <c r="G3" s="17">
        <v>45.975999999999999</v>
      </c>
      <c r="H3" s="17">
        <v>57.527999999999999</v>
      </c>
      <c r="I3" s="17">
        <v>85.436999999999998</v>
      </c>
      <c r="J3" s="28">
        <v>75.076999999999998</v>
      </c>
      <c r="K3" s="17">
        <v>90.340999999999994</v>
      </c>
      <c r="L3" s="17">
        <v>100.05</v>
      </c>
      <c r="M3" s="58">
        <v>151.39400000000001</v>
      </c>
      <c r="N3" s="28"/>
    </row>
    <row r="4" spans="1:17" s="17" customFormat="1" x14ac:dyDescent="0.15">
      <c r="A4" s="17" t="s">
        <v>44</v>
      </c>
      <c r="B4" s="28"/>
      <c r="D4" s="17">
        <v>64.789000000000001</v>
      </c>
      <c r="E4" s="17">
        <v>110.024</v>
      </c>
      <c r="F4" s="28">
        <v>63.677999999999997</v>
      </c>
      <c r="G4" s="17">
        <v>53.651000000000003</v>
      </c>
      <c r="H4" s="17">
        <v>67.254000000000005</v>
      </c>
      <c r="I4" s="17">
        <v>102.824</v>
      </c>
      <c r="J4" s="28">
        <v>61.499000000000002</v>
      </c>
      <c r="K4" s="5">
        <v>66.468999999999994</v>
      </c>
      <c r="L4" s="5">
        <v>73.331000000000003</v>
      </c>
      <c r="M4" s="19">
        <v>124.34399999999999</v>
      </c>
      <c r="N4" s="28"/>
    </row>
    <row r="5" spans="1:17" x14ac:dyDescent="0.15">
      <c r="B5" s="28"/>
      <c r="C5" s="17"/>
      <c r="D5" s="17"/>
      <c r="E5" s="17"/>
      <c r="F5" s="28"/>
      <c r="G5" s="17"/>
      <c r="H5" s="17"/>
      <c r="I5" s="17"/>
      <c r="J5" s="28"/>
      <c r="K5" s="5"/>
      <c r="L5" s="5"/>
      <c r="M5" s="19"/>
    </row>
    <row r="6" spans="1:17" s="42" customFormat="1" x14ac:dyDescent="0.15">
      <c r="A6" s="42" t="s">
        <v>49</v>
      </c>
      <c r="B6" s="43"/>
      <c r="D6" s="42">
        <v>11.278</v>
      </c>
      <c r="E6" s="42">
        <v>13.4</v>
      </c>
      <c r="F6" s="43">
        <v>14.2</v>
      </c>
      <c r="G6" s="42">
        <v>15.1</v>
      </c>
      <c r="H6" s="42">
        <v>16.728000000000002</v>
      </c>
      <c r="I6" s="42">
        <v>19.3</v>
      </c>
      <c r="J6" s="43">
        <v>20.8</v>
      </c>
      <c r="K6" s="44">
        <v>22</v>
      </c>
      <c r="L6" s="44">
        <v>23.8</v>
      </c>
      <c r="M6" s="59">
        <v>27.1</v>
      </c>
      <c r="N6" s="43"/>
    </row>
    <row r="7" spans="1:17" s="45" customFormat="1" x14ac:dyDescent="0.15">
      <c r="A7" s="45" t="s">
        <v>48</v>
      </c>
      <c r="B7" s="46"/>
      <c r="D7" s="11">
        <f t="shared" ref="D7:M7" si="0">SUM(D3:D4)/D6</f>
        <v>7.8961695336052484</v>
      </c>
      <c r="E7" s="11">
        <f t="shared" si="0"/>
        <v>10.995522388059701</v>
      </c>
      <c r="F7" s="11">
        <f t="shared" si="0"/>
        <v>7.0488028169014081</v>
      </c>
      <c r="G7" s="11">
        <f t="shared" si="0"/>
        <v>6.5978145695364248</v>
      </c>
      <c r="H7" s="11">
        <f t="shared" si="0"/>
        <v>7.4594691535150641</v>
      </c>
      <c r="I7" s="11">
        <f>SUM(I3:I4)/I6</f>
        <v>9.7544559585492223</v>
      </c>
      <c r="J7" s="56">
        <f t="shared" si="0"/>
        <v>6.5661538461538456</v>
      </c>
      <c r="K7" s="11">
        <f t="shared" si="0"/>
        <v>7.1277272727272729</v>
      </c>
      <c r="L7" s="11">
        <f t="shared" si="0"/>
        <v>7.2849159663865546</v>
      </c>
      <c r="M7" s="11">
        <f t="shared" si="0"/>
        <v>10.174833948339483</v>
      </c>
      <c r="N7" s="46"/>
    </row>
    <row r="8" spans="1:17" x14ac:dyDescent="0.15">
      <c r="E8" s="17"/>
      <c r="G8" s="3"/>
      <c r="H8" s="3"/>
      <c r="I8" s="3"/>
      <c r="K8" s="3"/>
      <c r="L8" s="3"/>
      <c r="M8" s="24"/>
      <c r="N8" s="66" t="s">
        <v>94</v>
      </c>
    </row>
    <row r="9" spans="1:17" s="16" customFormat="1" x14ac:dyDescent="0.15">
      <c r="A9" s="16" t="s">
        <v>4</v>
      </c>
      <c r="B9" s="29"/>
      <c r="C9" s="1"/>
      <c r="D9" s="47">
        <f>D6*D7</f>
        <v>89.052999999999997</v>
      </c>
      <c r="E9" s="47">
        <f>E6*E7</f>
        <v>147.34</v>
      </c>
      <c r="F9" s="49">
        <f>SUM(F3:F4)</f>
        <v>100.09299999999999</v>
      </c>
      <c r="G9" s="47">
        <f>SUM(G3:G4)</f>
        <v>99.62700000000001</v>
      </c>
      <c r="H9" s="47">
        <f>H6*H7</f>
        <v>124.78200000000001</v>
      </c>
      <c r="I9" s="47">
        <f>SUM(I3:I4)</f>
        <v>188.261</v>
      </c>
      <c r="J9" s="49">
        <f>J6*J7</f>
        <v>136.57599999999999</v>
      </c>
      <c r="K9" s="47">
        <f>K6*K7</f>
        <v>156.81</v>
      </c>
      <c r="L9" s="47">
        <f>L6*L7</f>
        <v>173.381</v>
      </c>
      <c r="M9" s="47">
        <f>M6*M7</f>
        <v>275.738</v>
      </c>
      <c r="N9" s="39"/>
    </row>
    <row r="10" spans="1:17" x14ac:dyDescent="0.15">
      <c r="A10" s="1" t="s">
        <v>5</v>
      </c>
      <c r="D10" s="17">
        <f>56.156+6.847</f>
        <v>63.003</v>
      </c>
      <c r="E10" s="17">
        <v>102.67700000000001</v>
      </c>
      <c r="F10" s="28">
        <v>61.253</v>
      </c>
      <c r="G10" s="5">
        <v>61.99</v>
      </c>
      <c r="H10" s="5">
        <v>74.887</v>
      </c>
      <c r="I10" s="5">
        <v>114.8</v>
      </c>
      <c r="J10" s="28">
        <v>73.463999999999999</v>
      </c>
      <c r="K10" s="5">
        <v>79.058000000000007</v>
      </c>
      <c r="L10" s="5">
        <v>94.388000000000005</v>
      </c>
      <c r="M10" s="19">
        <v>163.44800000000001</v>
      </c>
    </row>
    <row r="11" spans="1:17" x14ac:dyDescent="0.15">
      <c r="A11" s="1" t="s">
        <v>6</v>
      </c>
      <c r="D11" s="51">
        <f t="shared" ref="D11:H11" si="1">D9-D10</f>
        <v>26.049999999999997</v>
      </c>
      <c r="E11" s="51">
        <f t="shared" si="1"/>
        <v>44.662999999999997</v>
      </c>
      <c r="F11" s="50">
        <f t="shared" ref="F11" si="2">F9-F10</f>
        <v>38.839999999999989</v>
      </c>
      <c r="G11" s="7">
        <f t="shared" si="1"/>
        <v>37.637000000000008</v>
      </c>
      <c r="H11" s="7">
        <f t="shared" si="1"/>
        <v>49.89500000000001</v>
      </c>
      <c r="I11" s="7">
        <f t="shared" ref="I11" si="3">I9-I10</f>
        <v>73.460999999999999</v>
      </c>
      <c r="J11" s="50">
        <f>J9-J10</f>
        <v>63.111999999999995</v>
      </c>
      <c r="K11" s="7">
        <f>K9-K10</f>
        <v>77.751999999999995</v>
      </c>
      <c r="L11" s="7">
        <f>L9-L10</f>
        <v>78.992999999999995</v>
      </c>
      <c r="M11" s="7">
        <f>M9-M10</f>
        <v>112.28999999999999</v>
      </c>
    </row>
    <row r="12" spans="1:17" x14ac:dyDescent="0.15">
      <c r="A12" s="1" t="s">
        <v>7</v>
      </c>
      <c r="D12" s="17">
        <v>18.228999999999999</v>
      </c>
      <c r="E12" s="17">
        <v>19.477</v>
      </c>
      <c r="F12" s="28">
        <v>22.341999999999999</v>
      </c>
      <c r="G12" s="5">
        <v>25.776</v>
      </c>
      <c r="H12" s="5">
        <v>28.532</v>
      </c>
      <c r="I12" s="5">
        <v>31.295000000000002</v>
      </c>
      <c r="J12" s="28">
        <v>34.125999999999998</v>
      </c>
      <c r="K12" s="5">
        <v>40.195999999999998</v>
      </c>
      <c r="L12" s="5">
        <v>45.37</v>
      </c>
      <c r="M12" s="19">
        <v>51</v>
      </c>
    </row>
    <row r="13" spans="1:17" x14ac:dyDescent="0.15">
      <c r="A13" s="1" t="s">
        <v>8</v>
      </c>
      <c r="D13" s="17">
        <v>12.843999999999999</v>
      </c>
      <c r="E13" s="17">
        <v>13.798999999999999</v>
      </c>
      <c r="F13" s="28">
        <v>14.055</v>
      </c>
      <c r="G13" s="5">
        <v>14.667</v>
      </c>
      <c r="H13" s="5">
        <v>16.216000000000001</v>
      </c>
      <c r="I13" s="5">
        <v>19.131</v>
      </c>
      <c r="J13" s="28">
        <v>20.318000000000001</v>
      </c>
      <c r="K13" s="5">
        <v>22.259</v>
      </c>
      <c r="L13" s="5">
        <v>25.603000000000002</v>
      </c>
      <c r="M13" s="19">
        <v>34.6</v>
      </c>
    </row>
    <row r="14" spans="1:17" x14ac:dyDescent="0.15">
      <c r="A14" s="1" t="s">
        <v>9</v>
      </c>
      <c r="D14" s="17">
        <v>9.0779999999999994</v>
      </c>
      <c r="E14" s="17">
        <v>8.0079999999999991</v>
      </c>
      <c r="F14" s="28">
        <v>10.278</v>
      </c>
      <c r="G14" s="5">
        <v>10.577</v>
      </c>
      <c r="H14" s="5">
        <v>13.039</v>
      </c>
      <c r="I14" s="5">
        <v>13.541</v>
      </c>
      <c r="J14" s="28">
        <v>15.57</v>
      </c>
      <c r="K14" s="5">
        <v>15.429</v>
      </c>
      <c r="L14" s="5">
        <v>19.768999999999998</v>
      </c>
      <c r="M14" s="19">
        <v>21.204000000000001</v>
      </c>
    </row>
    <row r="15" spans="1:17" x14ac:dyDescent="0.15">
      <c r="A15" s="1" t="s">
        <v>10</v>
      </c>
      <c r="D15" s="51">
        <f t="shared" ref="D15:H15" si="4">SUM(D12:D14)</f>
        <v>40.150999999999996</v>
      </c>
      <c r="E15" s="51">
        <f t="shared" si="4"/>
        <v>41.283999999999992</v>
      </c>
      <c r="F15" s="50">
        <f t="shared" ref="F15" si="5">SUM(F12:F14)</f>
        <v>46.674999999999997</v>
      </c>
      <c r="G15" s="7">
        <f t="shared" si="4"/>
        <v>51.019999999999996</v>
      </c>
      <c r="H15" s="7">
        <f t="shared" si="4"/>
        <v>57.787000000000006</v>
      </c>
      <c r="I15" s="7">
        <f t="shared" ref="I15" si="6">SUM(I12:I14)</f>
        <v>63.966999999999999</v>
      </c>
      <c r="J15" s="50">
        <f>SUM(J12:J14)</f>
        <v>70.01400000000001</v>
      </c>
      <c r="K15" s="7">
        <f>SUM(K12:K14)</f>
        <v>77.884</v>
      </c>
      <c r="L15" s="7">
        <f>SUM(L12:L14)</f>
        <v>90.74199999999999</v>
      </c>
      <c r="M15" s="7">
        <f>SUM(M12:M14)</f>
        <v>106.804</v>
      </c>
    </row>
    <row r="16" spans="1:17" x14ac:dyDescent="0.15">
      <c r="A16" s="1" t="s">
        <v>11</v>
      </c>
      <c r="D16" s="51">
        <f t="shared" ref="D16:I16" si="7">D11-D15</f>
        <v>-14.100999999999999</v>
      </c>
      <c r="E16" s="51">
        <f t="shared" si="7"/>
        <v>3.3790000000000049</v>
      </c>
      <c r="F16" s="50">
        <f t="shared" ref="F16" si="8">F11-F15</f>
        <v>-7.835000000000008</v>
      </c>
      <c r="G16" s="7">
        <f t="shared" si="7"/>
        <v>-13.382999999999988</v>
      </c>
      <c r="H16" s="7">
        <f t="shared" si="7"/>
        <v>-7.8919999999999959</v>
      </c>
      <c r="I16" s="7">
        <f t="shared" si="7"/>
        <v>9.4939999999999998</v>
      </c>
      <c r="J16" s="50">
        <f>J11-J15</f>
        <v>-6.9020000000000152</v>
      </c>
      <c r="K16" s="7">
        <f>K11-K15</f>
        <v>-0.132000000000005</v>
      </c>
      <c r="L16" s="7">
        <f>L11-L15</f>
        <v>-11.748999999999995</v>
      </c>
      <c r="M16" s="7">
        <f>M11-M15</f>
        <v>5.48599999999999</v>
      </c>
    </row>
    <row r="17" spans="1:14" x14ac:dyDescent="0.15">
      <c r="A17" s="1" t="s">
        <v>12</v>
      </c>
      <c r="D17" s="17">
        <f>-0.032+1.481-0.041</f>
        <v>1.4080000000000001</v>
      </c>
      <c r="E17" s="17">
        <f>0.309-0.199-0.154</f>
        <v>-4.4000000000000011E-2</v>
      </c>
      <c r="F17" s="28">
        <f>-0.167-0.735+0.083</f>
        <v>-0.81900000000000006</v>
      </c>
      <c r="G17" s="5">
        <f>-0.304-1.916+0.128</f>
        <v>-2.0919999999999996</v>
      </c>
      <c r="H17" s="5">
        <f>-0.815-37.682+0.212</f>
        <v>-38.284999999999997</v>
      </c>
      <c r="I17" s="5">
        <f>-0.326-2.338+0.282</f>
        <v>-2.3820000000000001</v>
      </c>
      <c r="J17" s="28">
        <f>-0.051+0.448</f>
        <v>0.39700000000000002</v>
      </c>
      <c r="K17" s="5">
        <f>-0.057+0.361</f>
        <v>0.30399999999999999</v>
      </c>
      <c r="L17" s="5">
        <f>-0.112+2.162</f>
        <v>2.0499999999999998</v>
      </c>
      <c r="M17" s="19">
        <f>-0.126+1.338</f>
        <v>1.2120000000000002</v>
      </c>
    </row>
    <row r="18" spans="1:14" x14ac:dyDescent="0.15">
      <c r="A18" s="1" t="s">
        <v>13</v>
      </c>
      <c r="D18" s="51">
        <f t="shared" ref="D18:F18" si="9">D16+D17</f>
        <v>-12.693</v>
      </c>
      <c r="E18" s="51">
        <f t="shared" si="9"/>
        <v>3.3350000000000048</v>
      </c>
      <c r="F18" s="50">
        <f t="shared" si="9"/>
        <v>-8.6540000000000088</v>
      </c>
      <c r="G18" s="7">
        <f t="shared" ref="G18" si="10">G16+G17</f>
        <v>-15.474999999999987</v>
      </c>
      <c r="H18" s="7">
        <f t="shared" ref="H18" si="11">H16+H17</f>
        <v>-46.176999999999992</v>
      </c>
      <c r="I18" s="7">
        <f>I16+I17</f>
        <v>7.1120000000000001</v>
      </c>
      <c r="J18" s="50">
        <f>J16+J17</f>
        <v>-6.505000000000015</v>
      </c>
      <c r="K18" s="7">
        <f>K16+K17</f>
        <v>0.17199999999999499</v>
      </c>
      <c r="L18" s="7">
        <f>L16+L17</f>
        <v>-9.6989999999999945</v>
      </c>
      <c r="M18" s="7">
        <f>M16+M17</f>
        <v>6.6979999999999897</v>
      </c>
    </row>
    <row r="19" spans="1:14" x14ac:dyDescent="0.15">
      <c r="A19" s="1" t="s">
        <v>14</v>
      </c>
      <c r="D19" s="17">
        <v>0.05</v>
      </c>
      <c r="E19" s="17">
        <v>0.108</v>
      </c>
      <c r="F19" s="28">
        <v>4.8000000000000001E-2</v>
      </c>
      <c r="G19" s="5">
        <v>3.7999999999999999E-2</v>
      </c>
      <c r="H19" s="5">
        <v>5.8000000000000003E-2</v>
      </c>
      <c r="I19" s="5">
        <v>0.17100000000000001</v>
      </c>
      <c r="J19" s="28">
        <v>0.129</v>
      </c>
      <c r="K19" s="5">
        <v>-0.35399999999999998</v>
      </c>
      <c r="L19" s="5">
        <v>-0.17199999999999999</v>
      </c>
      <c r="M19" s="19">
        <v>-7.9000000000000001E-2</v>
      </c>
    </row>
    <row r="20" spans="1:14" s="16" customFormat="1" x14ac:dyDescent="0.15">
      <c r="A20" s="16" t="s">
        <v>15</v>
      </c>
      <c r="B20" s="29"/>
      <c r="C20" s="1"/>
      <c r="D20" s="54">
        <f t="shared" ref="D20" si="12">D18-D19</f>
        <v>-12.743</v>
      </c>
      <c r="E20" s="54">
        <f t="shared" ref="E20:L20" si="13">E18-E19</f>
        <v>3.2270000000000048</v>
      </c>
      <c r="F20" s="49">
        <f t="shared" si="13"/>
        <v>-8.7020000000000088</v>
      </c>
      <c r="G20" s="47">
        <f t="shared" si="13"/>
        <v>-15.512999999999987</v>
      </c>
      <c r="H20" s="47">
        <f t="shared" si="13"/>
        <v>-46.234999999999992</v>
      </c>
      <c r="I20" s="47">
        <f t="shared" si="13"/>
        <v>6.9409999999999998</v>
      </c>
      <c r="J20" s="49">
        <f t="shared" si="13"/>
        <v>-6.6340000000000146</v>
      </c>
      <c r="K20" s="47">
        <f t="shared" si="13"/>
        <v>0.52599999999999492</v>
      </c>
      <c r="L20" s="47">
        <f t="shared" si="13"/>
        <v>-9.5269999999999939</v>
      </c>
      <c r="M20" s="47">
        <f>M18-M19</f>
        <v>6.7769999999999895</v>
      </c>
      <c r="N20" s="39"/>
    </row>
    <row r="21" spans="1:14" x14ac:dyDescent="0.15">
      <c r="A21" s="1" t="s">
        <v>16</v>
      </c>
      <c r="D21" s="53">
        <f t="shared" ref="D21" si="14">IFERROR(D20/D22,0)</f>
        <v>-2.6636705685618729</v>
      </c>
      <c r="E21" s="53">
        <f t="shared" ref="E21:H21" si="15">IFERROR(E20/E22,0)</f>
        <v>0.67075452088962895</v>
      </c>
      <c r="F21" s="52">
        <f t="shared" ref="F21" si="16">IFERROR(F20/F22,0)</f>
        <v>-1.7942268041237133</v>
      </c>
      <c r="G21" s="48">
        <f t="shared" si="15"/>
        <v>-3.1775911511675519</v>
      </c>
      <c r="H21" s="48">
        <f t="shared" si="15"/>
        <v>-8.7915953603346626</v>
      </c>
      <c r="I21" s="48">
        <f t="shared" ref="I21" si="17">IFERROR(I20/I22,0)</f>
        <v>5.8259190867886515E-2</v>
      </c>
      <c r="J21" s="52">
        <f>J20/J22</f>
        <v>-6.6681408813123344E-2</v>
      </c>
      <c r="K21" s="48">
        <f>K20/K22</f>
        <v>4.3221745632631182E-3</v>
      </c>
      <c r="L21" s="48">
        <f>L20/L22</f>
        <v>-8.9134014445567095E-2</v>
      </c>
      <c r="M21" s="48">
        <f>M20/M22</f>
        <v>5.4991601548236242E-2</v>
      </c>
    </row>
    <row r="22" spans="1:14" x14ac:dyDescent="0.15">
      <c r="A22" s="1" t="s">
        <v>17</v>
      </c>
      <c r="D22" s="5">
        <v>4.7839999999999998</v>
      </c>
      <c r="E22" s="5">
        <v>4.8109999999999999</v>
      </c>
      <c r="F22" s="28">
        <v>4.8499999999999996</v>
      </c>
      <c r="G22" s="5">
        <v>4.8819999999999997</v>
      </c>
      <c r="H22" s="5">
        <v>5.2590000000000003</v>
      </c>
      <c r="I22" s="5">
        <v>119.14</v>
      </c>
      <c r="J22" s="28">
        <v>99.488</v>
      </c>
      <c r="K22" s="5">
        <v>121.69799999999999</v>
      </c>
      <c r="L22" s="5">
        <v>106.884</v>
      </c>
      <c r="M22" s="19">
        <v>123.23699999999999</v>
      </c>
    </row>
    <row r="23" spans="1:14" x14ac:dyDescent="0.15">
      <c r="D23" s="5"/>
      <c r="E23" s="5"/>
      <c r="F23" s="28"/>
      <c r="G23" s="5"/>
      <c r="H23" s="5"/>
      <c r="I23" s="5"/>
      <c r="J23" s="28"/>
      <c r="K23" s="5"/>
      <c r="L23" s="5"/>
      <c r="M23" s="19"/>
    </row>
    <row r="24" spans="1:14" x14ac:dyDescent="0.15">
      <c r="A24" s="1" t="s">
        <v>19</v>
      </c>
      <c r="D24" s="14">
        <f t="shared" ref="D24:M24" si="18">IFERROR(D11/D9,0)</f>
        <v>0.29252243046275811</v>
      </c>
      <c r="E24" s="14">
        <f t="shared" si="18"/>
        <v>0.3031288177005565</v>
      </c>
      <c r="F24" s="31">
        <f t="shared" si="18"/>
        <v>0.38803912361503795</v>
      </c>
      <c r="G24" s="23">
        <f t="shared" si="18"/>
        <v>0.37777911610306447</v>
      </c>
      <c r="H24" s="23">
        <f t="shared" si="18"/>
        <v>0.39985735122052862</v>
      </c>
      <c r="I24" s="23">
        <f t="shared" si="18"/>
        <v>0.3902082746824887</v>
      </c>
      <c r="J24" s="31">
        <f t="shared" si="18"/>
        <v>0.462101686972821</v>
      </c>
      <c r="K24" s="23">
        <f t="shared" si="18"/>
        <v>0.49583572476245136</v>
      </c>
      <c r="L24" s="23">
        <f t="shared" si="18"/>
        <v>0.45560355517617268</v>
      </c>
      <c r="M24" s="55">
        <f t="shared" si="18"/>
        <v>0.40723440367305191</v>
      </c>
    </row>
    <row r="25" spans="1:14" x14ac:dyDescent="0.15">
      <c r="A25" s="1" t="s">
        <v>20</v>
      </c>
      <c r="D25" s="33">
        <f t="shared" ref="D25:M25" si="19">IFERROR(D16/D9,0)</f>
        <v>-0.1583439075606661</v>
      </c>
      <c r="E25" s="33">
        <f t="shared" si="19"/>
        <v>2.2933351432061929E-2</v>
      </c>
      <c r="F25" s="32">
        <f t="shared" si="19"/>
        <v>-7.8277202201952278E-2</v>
      </c>
      <c r="G25" s="22">
        <f t="shared" si="19"/>
        <v>-0.13433105483453267</v>
      </c>
      <c r="H25" s="22">
        <f t="shared" si="19"/>
        <v>-6.3246301549902989E-2</v>
      </c>
      <c r="I25" s="22">
        <f t="shared" si="19"/>
        <v>5.0429988154742617E-2</v>
      </c>
      <c r="J25" s="32">
        <f t="shared" si="19"/>
        <v>-5.0535965323336568E-2</v>
      </c>
      <c r="K25" s="22">
        <f t="shared" si="19"/>
        <v>-8.417830495504432E-4</v>
      </c>
      <c r="L25" s="22">
        <f t="shared" si="19"/>
        <v>-6.7764057191964489E-2</v>
      </c>
      <c r="M25" s="61">
        <f t="shared" si="19"/>
        <v>1.9895698090216039E-2</v>
      </c>
    </row>
    <row r="26" spans="1:14" x14ac:dyDescent="0.15">
      <c r="A26" s="1" t="s">
        <v>21</v>
      </c>
      <c r="D26" s="33">
        <f t="shared" ref="D26:M26" si="20">IFERROR(D19/D18,0)</f>
        <v>-3.9391790750807534E-3</v>
      </c>
      <c r="E26" s="33">
        <f t="shared" si="20"/>
        <v>3.2383808095951976E-2</v>
      </c>
      <c r="F26" s="32">
        <f t="shared" si="20"/>
        <v>-5.546568061012243E-3</v>
      </c>
      <c r="G26" s="22">
        <f t="shared" si="20"/>
        <v>-2.4555735056542832E-3</v>
      </c>
      <c r="H26" s="22">
        <f t="shared" si="20"/>
        <v>-1.2560365549949112E-3</v>
      </c>
      <c r="I26" s="22">
        <f t="shared" si="20"/>
        <v>2.4043869516310462E-2</v>
      </c>
      <c r="J26" s="32">
        <f t="shared" si="20"/>
        <v>-1.9830899308224396E-2</v>
      </c>
      <c r="K26" s="22">
        <f t="shared" si="20"/>
        <v>-2.058139534883781</v>
      </c>
      <c r="L26" s="22">
        <f t="shared" si="20"/>
        <v>1.7733786988349324E-2</v>
      </c>
      <c r="M26" s="61">
        <f t="shared" si="20"/>
        <v>-1.179456554195284E-2</v>
      </c>
    </row>
    <row r="27" spans="1:14" x14ac:dyDescent="0.15">
      <c r="G27" s="3"/>
      <c r="H27" s="3"/>
      <c r="I27" s="3"/>
      <c r="K27" s="3"/>
      <c r="L27" s="3"/>
      <c r="M27" s="24"/>
    </row>
    <row r="28" spans="1:14" s="16" customFormat="1" x14ac:dyDescent="0.15">
      <c r="A28" s="16" t="s">
        <v>18</v>
      </c>
      <c r="B28" s="29"/>
      <c r="C28" s="1"/>
      <c r="D28" s="1"/>
      <c r="E28" s="34">
        <f>IFERROR((E9/#REF!)-1,0)</f>
        <v>0</v>
      </c>
      <c r="F28" s="35">
        <f t="shared" ref="F28:M28" si="21">IFERROR((F9/B9)-1,0)</f>
        <v>0</v>
      </c>
      <c r="G28" s="34">
        <f t="shared" si="21"/>
        <v>0</v>
      </c>
      <c r="H28" s="34">
        <f t="shared" si="21"/>
        <v>0.40121051508652172</v>
      </c>
      <c r="I28" s="34">
        <f t="shared" si="21"/>
        <v>0.2777317768426768</v>
      </c>
      <c r="J28" s="35">
        <f t="shared" si="21"/>
        <v>0.36449102334828609</v>
      </c>
      <c r="K28" s="34">
        <f t="shared" si="21"/>
        <v>0.57397091149989454</v>
      </c>
      <c r="L28" s="34">
        <f t="shared" si="21"/>
        <v>0.38947123783879078</v>
      </c>
      <c r="M28" s="62">
        <f t="shared" si="21"/>
        <v>0.46465810762717719</v>
      </c>
      <c r="N28" s="39"/>
    </row>
    <row r="29" spans="1:14" s="16" customFormat="1" x14ac:dyDescent="0.15">
      <c r="A29" s="1" t="s">
        <v>34</v>
      </c>
      <c r="B29" s="29"/>
      <c r="C29" s="1"/>
      <c r="D29" s="1"/>
      <c r="E29" s="36">
        <f>IFERROR((E12/#REF!)-1,0)</f>
        <v>0</v>
      </c>
      <c r="F29" s="37">
        <f t="shared" ref="F29:M31" si="22">IFERROR((F12/B12)-1,0)</f>
        <v>0</v>
      </c>
      <c r="G29" s="36">
        <f t="shared" si="22"/>
        <v>0</v>
      </c>
      <c r="H29" s="36">
        <f t="shared" si="22"/>
        <v>0.56519831038455215</v>
      </c>
      <c r="I29" s="36">
        <f t="shared" si="22"/>
        <v>0.60676695589669882</v>
      </c>
      <c r="J29" s="37">
        <f t="shared" si="22"/>
        <v>0.5274371139557783</v>
      </c>
      <c r="K29" s="36">
        <f t="shared" si="22"/>
        <v>0.55943513345747986</v>
      </c>
      <c r="L29" s="36">
        <f t="shared" si="22"/>
        <v>0.59014439927099382</v>
      </c>
      <c r="M29" s="63">
        <f t="shared" si="22"/>
        <v>0.62965329924908131</v>
      </c>
      <c r="N29" s="39"/>
    </row>
    <row r="30" spans="1:14" s="16" customFormat="1" x14ac:dyDescent="0.15">
      <c r="A30" s="1" t="s">
        <v>35</v>
      </c>
      <c r="B30" s="29"/>
      <c r="C30" s="1"/>
      <c r="D30" s="1"/>
      <c r="E30" s="36">
        <f>IFERROR((E13/#REF!)-1,0)</f>
        <v>0</v>
      </c>
      <c r="F30" s="37">
        <f t="shared" si="22"/>
        <v>0</v>
      </c>
      <c r="G30" s="36">
        <f t="shared" si="22"/>
        <v>0</v>
      </c>
      <c r="H30" s="36">
        <f t="shared" si="22"/>
        <v>0.26253503581438808</v>
      </c>
      <c r="I30" s="36">
        <f t="shared" si="22"/>
        <v>0.38640481194289444</v>
      </c>
      <c r="J30" s="37">
        <f t="shared" si="22"/>
        <v>0.44560654571326941</v>
      </c>
      <c r="K30" s="36">
        <f t="shared" si="22"/>
        <v>0.51762459944092187</v>
      </c>
      <c r="L30" s="36">
        <f t="shared" si="22"/>
        <v>0.57887271830291076</v>
      </c>
      <c r="M30" s="63">
        <f t="shared" si="22"/>
        <v>0.80858292823166589</v>
      </c>
      <c r="N30" s="39"/>
    </row>
    <row r="31" spans="1:14" s="16" customFormat="1" x14ac:dyDescent="0.15">
      <c r="A31" s="1" t="s">
        <v>36</v>
      </c>
      <c r="B31" s="29"/>
      <c r="C31" s="1"/>
      <c r="D31" s="1"/>
      <c r="E31" s="36">
        <f>IFERROR((E14/#REF!)-1,0)</f>
        <v>0</v>
      </c>
      <c r="F31" s="37">
        <f t="shared" si="22"/>
        <v>0</v>
      </c>
      <c r="G31" s="36">
        <f t="shared" si="22"/>
        <v>0</v>
      </c>
      <c r="H31" s="36">
        <f t="shared" si="22"/>
        <v>0.43632958801498134</v>
      </c>
      <c r="I31" s="36">
        <f t="shared" si="22"/>
        <v>0.69093406593406614</v>
      </c>
      <c r="J31" s="37">
        <f t="shared" si="22"/>
        <v>0.51488616462346748</v>
      </c>
      <c r="K31" s="36">
        <f t="shared" si="22"/>
        <v>0.45873120922756927</v>
      </c>
      <c r="L31" s="36">
        <f t="shared" si="22"/>
        <v>0.51614387606411527</v>
      </c>
      <c r="M31" s="63">
        <f t="shared" si="22"/>
        <v>0.56591093715382912</v>
      </c>
      <c r="N31" s="39"/>
    </row>
    <row r="32" spans="1:14" x14ac:dyDescent="0.15">
      <c r="G32" s="3"/>
      <c r="H32" s="3"/>
      <c r="I32" s="3"/>
      <c r="K32" s="3"/>
      <c r="L32" s="3"/>
      <c r="M32" s="24"/>
    </row>
    <row r="33" spans="1:14" s="16" customFormat="1" x14ac:dyDescent="0.15">
      <c r="A33" s="16" t="s">
        <v>26</v>
      </c>
      <c r="B33" s="30"/>
      <c r="C33" s="38"/>
      <c r="D33" s="38"/>
      <c r="E33" s="47">
        <f>E34-E35</f>
        <v>19.561999999999998</v>
      </c>
      <c r="F33" s="29"/>
      <c r="G33" s="3"/>
      <c r="H33" s="18"/>
      <c r="I33" s="47">
        <f>I34-I35</f>
        <v>177.25</v>
      </c>
      <c r="J33" s="49">
        <f>J34-J35</f>
        <v>160.75</v>
      </c>
      <c r="K33" s="47">
        <f>K34-K35</f>
        <v>174.167</v>
      </c>
      <c r="L33" s="47">
        <f>L34-L35</f>
        <v>179.72699999999998</v>
      </c>
      <c r="M33" s="47">
        <f>M34-M35</f>
        <v>197.70999999999998</v>
      </c>
      <c r="N33" s="39"/>
    </row>
    <row r="34" spans="1:14" x14ac:dyDescent="0.15">
      <c r="A34" s="1" t="s">
        <v>27</v>
      </c>
      <c r="B34" s="28"/>
      <c r="C34" s="5"/>
      <c r="D34" s="5"/>
      <c r="E34" s="5">
        <v>34.561999999999998</v>
      </c>
      <c r="G34" s="3"/>
      <c r="H34" s="5"/>
      <c r="I34" s="5">
        <v>177.25</v>
      </c>
      <c r="J34" s="28">
        <v>160.75</v>
      </c>
      <c r="K34" s="5">
        <v>174.167</v>
      </c>
      <c r="L34" s="5">
        <f>137.67+42.057</f>
        <v>179.72699999999998</v>
      </c>
      <c r="M34" s="5">
        <f>155.564+42.146</f>
        <v>197.70999999999998</v>
      </c>
    </row>
    <row r="35" spans="1:14" x14ac:dyDescent="0.15">
      <c r="A35" s="1" t="s">
        <v>28</v>
      </c>
      <c r="B35" s="28"/>
      <c r="C35" s="5"/>
      <c r="D35" s="5"/>
      <c r="E35" s="5">
        <v>15</v>
      </c>
      <c r="G35" s="3"/>
      <c r="H35" s="5"/>
      <c r="I35" s="5">
        <v>0</v>
      </c>
      <c r="J35" s="28">
        <v>0</v>
      </c>
      <c r="K35" s="5">
        <v>0</v>
      </c>
      <c r="L35" s="5">
        <v>0</v>
      </c>
      <c r="M35" s="5">
        <v>0</v>
      </c>
    </row>
    <row r="36" spans="1:14" x14ac:dyDescent="0.15">
      <c r="E36" s="3"/>
      <c r="G36" s="3"/>
      <c r="H36" s="3"/>
      <c r="I36" s="3"/>
      <c r="K36" s="3"/>
      <c r="L36" s="3"/>
      <c r="M36" s="3"/>
    </row>
    <row r="37" spans="1:14" s="17" customFormat="1" x14ac:dyDescent="0.15">
      <c r="A37" s="17" t="s">
        <v>64</v>
      </c>
      <c r="B37" s="28"/>
      <c r="E37" s="17">
        <v>0</v>
      </c>
      <c r="F37" s="28"/>
      <c r="I37" s="17">
        <f>2.03+1.382</f>
        <v>3.4119999999999999</v>
      </c>
      <c r="J37" s="28">
        <f>1.892+1.382</f>
        <v>3.274</v>
      </c>
      <c r="K37" s="17">
        <f>1.754+1.382</f>
        <v>3.1360000000000001</v>
      </c>
      <c r="L37" s="17">
        <f>1.615+1.382</f>
        <v>2.9969999999999999</v>
      </c>
      <c r="M37" s="17">
        <f>1.477+1.382</f>
        <v>2.859</v>
      </c>
      <c r="N37" s="28"/>
    </row>
    <row r="38" spans="1:14" s="17" customFormat="1" x14ac:dyDescent="0.15">
      <c r="A38" s="17" t="s">
        <v>65</v>
      </c>
      <c r="B38" s="28"/>
      <c r="E38" s="17">
        <v>179.078</v>
      </c>
      <c r="F38" s="28"/>
      <c r="I38" s="17">
        <v>371.89699999999999</v>
      </c>
      <c r="J38" s="28">
        <v>360.48</v>
      </c>
      <c r="K38" s="17">
        <v>381.66800000000001</v>
      </c>
      <c r="L38" s="17">
        <v>428.358</v>
      </c>
      <c r="M38" s="17">
        <v>464.97699999999998</v>
      </c>
      <c r="N38" s="28"/>
    </row>
    <row r="39" spans="1:14" s="17" customFormat="1" x14ac:dyDescent="0.15">
      <c r="A39" s="17" t="s">
        <v>66</v>
      </c>
      <c r="B39" s="28"/>
      <c r="E39" s="17">
        <f>159.722+213.18</f>
        <v>372.90200000000004</v>
      </c>
      <c r="F39" s="28"/>
      <c r="I39" s="17">
        <v>219.61799999999999</v>
      </c>
      <c r="J39" s="28">
        <v>167.00399999999999</v>
      </c>
      <c r="K39" s="17">
        <v>169.90299999999999</v>
      </c>
      <c r="L39" s="17">
        <v>206.482</v>
      </c>
      <c r="M39" s="17">
        <v>220.346</v>
      </c>
      <c r="N39" s="28"/>
    </row>
    <row r="40" spans="1:14" x14ac:dyDescent="0.15">
      <c r="M40" s="1"/>
    </row>
    <row r="41" spans="1:14" s="17" customFormat="1" x14ac:dyDescent="0.15">
      <c r="A41" s="17" t="s">
        <v>67</v>
      </c>
      <c r="B41" s="28"/>
      <c r="E41" s="51">
        <f>E38-E37-E34</f>
        <v>144.51600000000002</v>
      </c>
      <c r="F41" s="28"/>
      <c r="I41" s="51">
        <f>I38-I37-I34</f>
        <v>191.23500000000001</v>
      </c>
      <c r="J41" s="50">
        <f>J38-J37-J34</f>
        <v>196.45600000000002</v>
      </c>
      <c r="K41" s="51">
        <f>K38-K37-K34</f>
        <v>204.36499999999998</v>
      </c>
      <c r="L41" s="51">
        <f>L38-L37-L34</f>
        <v>245.63400000000001</v>
      </c>
      <c r="M41" s="51">
        <f>M38-M37-M34</f>
        <v>264.40800000000002</v>
      </c>
      <c r="N41" s="28"/>
    </row>
    <row r="42" spans="1:14" s="17" customFormat="1" x14ac:dyDescent="0.15">
      <c r="A42" s="17" t="s">
        <v>68</v>
      </c>
      <c r="B42" s="28"/>
      <c r="E42" s="51">
        <f>E38-E39</f>
        <v>-193.82400000000004</v>
      </c>
      <c r="F42" s="28"/>
      <c r="I42" s="51">
        <f>I38-I39</f>
        <v>152.279</v>
      </c>
      <c r="J42" s="50">
        <f>J38-J39</f>
        <v>193.47600000000003</v>
      </c>
      <c r="K42" s="51">
        <f>K38-K39</f>
        <v>211.76500000000001</v>
      </c>
      <c r="L42" s="51">
        <f>L38-L39</f>
        <v>221.876</v>
      </c>
      <c r="M42" s="51">
        <f>M38-M39</f>
        <v>244.63099999999997</v>
      </c>
      <c r="N42" s="28"/>
    </row>
    <row r="43" spans="1:14" x14ac:dyDescent="0.15">
      <c r="M43" s="1"/>
    </row>
    <row r="44" spans="1:14" s="16" customFormat="1" x14ac:dyDescent="0.15">
      <c r="A44" s="16" t="s">
        <v>83</v>
      </c>
      <c r="B44" s="39"/>
      <c r="E44" s="54">
        <f>SUM(B20:E20)</f>
        <v>-9.5159999999999947</v>
      </c>
      <c r="F44" s="39"/>
      <c r="I44" s="54">
        <f>SUM(F20:I20)</f>
        <v>-63.508999999999986</v>
      </c>
      <c r="J44" s="49">
        <f>SUM(G20:J20)</f>
        <v>-61.440999999999988</v>
      </c>
      <c r="K44" s="54">
        <f>SUM(H20:K20)</f>
        <v>-45.402000000000008</v>
      </c>
      <c r="L44" s="54">
        <f>SUM(I20:L20)</f>
        <v>-8.6940000000000133</v>
      </c>
      <c r="M44" s="54">
        <f>SUM(J20:M20)</f>
        <v>-8.8580000000000254</v>
      </c>
      <c r="N44" s="39"/>
    </row>
    <row r="45" spans="1:14" s="14" customFormat="1" x14ac:dyDescent="0.15">
      <c r="A45" s="55" t="s">
        <v>69</v>
      </c>
      <c r="B45" s="31"/>
      <c r="E45" s="14">
        <f>E44/E42</f>
        <v>4.9096087171867225E-2</v>
      </c>
      <c r="F45" s="31"/>
      <c r="I45" s="14">
        <f>I44/I42</f>
        <v>-0.41705684959843436</v>
      </c>
      <c r="J45" s="31">
        <f>J44/J42</f>
        <v>-0.31756393557857293</v>
      </c>
      <c r="K45" s="14">
        <f>K44/K42</f>
        <v>-0.21439803555828396</v>
      </c>
      <c r="L45" s="14">
        <f>L44/L42</f>
        <v>-3.9184048747949361E-2</v>
      </c>
      <c r="M45" s="14">
        <f>M44/M42</f>
        <v>-3.6209638189763464E-2</v>
      </c>
      <c r="N45" s="31"/>
    </row>
    <row r="46" spans="1:14" s="14" customFormat="1" x14ac:dyDescent="0.15">
      <c r="A46" s="55" t="s">
        <v>70</v>
      </c>
      <c r="B46" s="31"/>
      <c r="E46" s="14">
        <f>E44/E38</f>
        <v>-5.3138855694166758E-2</v>
      </c>
      <c r="F46" s="31"/>
      <c r="I46" s="14">
        <f>I44/I38</f>
        <v>-0.17077040148213077</v>
      </c>
      <c r="J46" s="31">
        <f>J44/J38</f>
        <v>-0.17044218819351972</v>
      </c>
      <c r="K46" s="14">
        <f>K44/K38</f>
        <v>-0.11895678967060379</v>
      </c>
      <c r="L46" s="14">
        <f>L44/L38</f>
        <v>-2.0296107461515864E-2</v>
      </c>
      <c r="M46" s="14">
        <f>M44/M38</f>
        <v>-1.9050404643670603E-2</v>
      </c>
      <c r="N46" s="31"/>
    </row>
    <row r="47" spans="1:14" s="14" customFormat="1" x14ac:dyDescent="0.15">
      <c r="A47" s="55" t="s">
        <v>71</v>
      </c>
      <c r="B47" s="31"/>
      <c r="E47" s="14">
        <f>E44/(E42-E37)</f>
        <v>4.9096087171867225E-2</v>
      </c>
      <c r="F47" s="31"/>
      <c r="I47" s="14">
        <f>I44/(I42-I37)</f>
        <v>-0.42661570395050608</v>
      </c>
      <c r="J47" s="31">
        <f>J44/(J42-J37)</f>
        <v>-0.32303025204782271</v>
      </c>
      <c r="K47" s="14">
        <f>K44/(K42-K37)</f>
        <v>-0.21762075262787053</v>
      </c>
      <c r="L47" s="14">
        <f>L44/(L42-L37)</f>
        <v>-3.9720576208772944E-2</v>
      </c>
      <c r="M47" s="14">
        <f>M44/(M42-M37)</f>
        <v>-3.6637824065648736E-2</v>
      </c>
      <c r="N47" s="31"/>
    </row>
    <row r="48" spans="1:14" s="14" customFormat="1" x14ac:dyDescent="0.15">
      <c r="A48" s="55" t="s">
        <v>72</v>
      </c>
      <c r="B48" s="31"/>
      <c r="E48" s="14">
        <f>E44/E41</f>
        <v>-6.5847380220875149E-2</v>
      </c>
      <c r="F48" s="31"/>
      <c r="I48" s="14">
        <f>I44/I41</f>
        <v>-0.33209924961434872</v>
      </c>
      <c r="J48" s="31">
        <f>J44/J41</f>
        <v>-0.31274687461823503</v>
      </c>
      <c r="K48" s="14">
        <f>K44/K41</f>
        <v>-0.22216132899469093</v>
      </c>
      <c r="L48" s="14">
        <f>L44/L41</f>
        <v>-3.5394122963433451E-2</v>
      </c>
      <c r="M48" s="14">
        <f>M44/M41</f>
        <v>-3.3501255635230494E-2</v>
      </c>
      <c r="N48" s="31"/>
    </row>
    <row r="49" spans="1:14" x14ac:dyDescent="0.15">
      <c r="M49" s="1"/>
    </row>
    <row r="50" spans="1:14" x14ac:dyDescent="0.15">
      <c r="A50" s="1" t="s">
        <v>75</v>
      </c>
      <c r="E50" s="14"/>
      <c r="H50" s="14">
        <f t="shared" ref="H50:M51" si="23">H3/D3-1</f>
        <v>1.370919881305638</v>
      </c>
      <c r="I50" s="14">
        <f t="shared" si="23"/>
        <v>1.2895540786793864</v>
      </c>
      <c r="J50" s="31">
        <f t="shared" si="23"/>
        <v>1.0617053412055473</v>
      </c>
      <c r="K50" s="14">
        <f t="shared" si="23"/>
        <v>0.96495997911954046</v>
      </c>
      <c r="L50" s="14">
        <f t="shared" si="23"/>
        <v>0.73915310805173129</v>
      </c>
      <c r="M50" s="14">
        <f t="shared" si="23"/>
        <v>0.77199573955078016</v>
      </c>
    </row>
    <row r="51" spans="1:14" x14ac:dyDescent="0.15">
      <c r="A51" s="1" t="s">
        <v>74</v>
      </c>
      <c r="E51" s="14"/>
      <c r="H51" s="14">
        <f t="shared" si="23"/>
        <v>3.8046581981509231E-2</v>
      </c>
      <c r="I51" s="14">
        <f t="shared" si="23"/>
        <v>-6.5440267577983047E-2</v>
      </c>
      <c r="J51" s="31">
        <f t="shared" si="23"/>
        <v>-3.4219039542699115E-2</v>
      </c>
      <c r="K51" s="14">
        <f t="shared" si="23"/>
        <v>0.23891446571359332</v>
      </c>
      <c r="L51" s="14">
        <f t="shared" si="23"/>
        <v>9.0358937758348912E-2</v>
      </c>
      <c r="M51" s="14">
        <f t="shared" si="23"/>
        <v>0.20928966000155613</v>
      </c>
    </row>
    <row r="53" spans="1:14" x14ac:dyDescent="0.15">
      <c r="A53" s="14" t="s">
        <v>84</v>
      </c>
      <c r="E53" s="14"/>
      <c r="H53" s="14">
        <f t="shared" ref="H53:M54" si="24">H6/D6-1</f>
        <v>0.48324170952296508</v>
      </c>
      <c r="I53" s="14">
        <f t="shared" si="24"/>
        <v>0.44029850746268662</v>
      </c>
      <c r="J53" s="31">
        <f t="shared" si="24"/>
        <v>0.46478873239436624</v>
      </c>
      <c r="K53" s="14">
        <f t="shared" si="24"/>
        <v>0.45695364238410607</v>
      </c>
      <c r="L53" s="14">
        <f t="shared" si="24"/>
        <v>0.42276422764227628</v>
      </c>
      <c r="M53" s="64">
        <f t="shared" si="24"/>
        <v>0.40414507772020736</v>
      </c>
    </row>
    <row r="54" spans="1:14" x14ac:dyDescent="0.15">
      <c r="A54" s="14" t="s">
        <v>73</v>
      </c>
      <c r="E54" s="14"/>
      <c r="H54" s="14">
        <f t="shared" si="24"/>
        <v>-5.5305344981719906E-2</v>
      </c>
      <c r="I54" s="14">
        <f t="shared" si="24"/>
        <v>-0.11287016530093941</v>
      </c>
      <c r="J54" s="31">
        <f t="shared" si="24"/>
        <v>-6.8472474444920106E-2</v>
      </c>
      <c r="K54" s="14">
        <f t="shared" si="24"/>
        <v>8.0316398347654916E-2</v>
      </c>
      <c r="L54" s="14">
        <f t="shared" si="24"/>
        <v>-2.340021569044981E-2</v>
      </c>
      <c r="M54" s="64">
        <f>M7/I7-1</f>
        <v>4.3095995468801496E-2</v>
      </c>
    </row>
    <row r="56" spans="1:14" s="17" customFormat="1" x14ac:dyDescent="0.15">
      <c r="A56" s="17" t="s">
        <v>47</v>
      </c>
      <c r="B56" s="28"/>
      <c r="D56" s="17">
        <v>2396</v>
      </c>
      <c r="E56" s="17">
        <v>2800</v>
      </c>
      <c r="F56" s="28">
        <v>3300</v>
      </c>
      <c r="G56" s="17">
        <v>3500</v>
      </c>
      <c r="H56" s="17">
        <v>3780</v>
      </c>
      <c r="I56" s="17">
        <v>4300</v>
      </c>
      <c r="J56" s="28">
        <v>5100</v>
      </c>
      <c r="K56" s="17">
        <v>5500</v>
      </c>
      <c r="L56" s="17">
        <v>6200</v>
      </c>
      <c r="M56" s="58">
        <v>7300</v>
      </c>
      <c r="N56" s="28"/>
    </row>
    <row r="57" spans="1:14" x14ac:dyDescent="0.15">
      <c r="A57" s="1" t="s">
        <v>89</v>
      </c>
      <c r="H57" s="14">
        <f t="shared" ref="H57:M57" si="25">H56/D56-1</f>
        <v>0.57762938230383964</v>
      </c>
      <c r="I57" s="14">
        <f t="shared" si="25"/>
        <v>0.53571428571428581</v>
      </c>
      <c r="J57" s="31">
        <f t="shared" si="25"/>
        <v>0.54545454545454541</v>
      </c>
      <c r="K57" s="14">
        <f t="shared" si="25"/>
        <v>0.5714285714285714</v>
      </c>
      <c r="L57" s="14">
        <f t="shared" si="25"/>
        <v>0.64021164021164023</v>
      </c>
      <c r="M57" s="14">
        <f t="shared" si="25"/>
        <v>0.69767441860465107</v>
      </c>
    </row>
  </sheetData>
  <hyperlinks>
    <hyperlink ref="A1" r:id="rId1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baseColWidth="10" defaultRowHeight="13" x14ac:dyDescent="0.15"/>
  <cols>
    <col min="1" max="1" width="14.5" style="1" bestFit="1" customWidth="1"/>
    <col min="2" max="16384" width="10.83203125" style="1"/>
  </cols>
  <sheetData>
    <row r="1" spans="1:2" x14ac:dyDescent="0.15">
      <c r="A1" s="1" t="s">
        <v>90</v>
      </c>
      <c r="B1" s="1" t="s">
        <v>92</v>
      </c>
    </row>
    <row r="2" spans="1:2" x14ac:dyDescent="0.15">
      <c r="A2" s="1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Reports</vt:lpstr>
      <vt:lpstr>Products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2018-01-04T19:16:18Z</dcterms:created>
  <dcterms:modified xsi:type="dcterms:W3CDTF">2019-08-19T09:36:12Z</dcterms:modified>
</cp:coreProperties>
</file>