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0D8482FF-603D-1F45-A1CF-8FD6B150F5C3}" xr6:coauthVersionLast="45" xr6:coauthVersionMax="45" xr10:uidLastSave="{00000000-0000-0000-0000-000000000000}"/>
  <bookViews>
    <workbookView xWindow="0" yWindow="460" windowWidth="16540" windowHeight="2032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C3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U10" i="2"/>
  <c r="T10" i="2"/>
  <c r="S10" i="2"/>
  <c r="R10" i="2"/>
  <c r="F27" i="2"/>
  <c r="F39" i="2"/>
  <c r="F45" i="2"/>
  <c r="F44" i="2"/>
  <c r="F48" i="2" s="1"/>
  <c r="F43" i="2"/>
  <c r="F41" i="2"/>
  <c r="F40" i="2"/>
  <c r="F24" i="2"/>
  <c r="F22" i="2"/>
  <c r="F19" i="2"/>
  <c r="F18" i="2"/>
  <c r="F17" i="2"/>
  <c r="F20" i="2" s="1"/>
  <c r="F15" i="2"/>
  <c r="F12" i="2"/>
  <c r="G12" i="2" s="1"/>
  <c r="H12" i="2" s="1"/>
  <c r="I12" i="2" s="1"/>
  <c r="J12" i="2" s="1"/>
  <c r="K12" i="2" s="1"/>
  <c r="F11" i="2"/>
  <c r="G11" i="2" s="1"/>
  <c r="V48" i="1"/>
  <c r="V47" i="1"/>
  <c r="V41" i="1"/>
  <c r="V45" i="1" s="1"/>
  <c r="V39" i="1"/>
  <c r="V38" i="1"/>
  <c r="V36" i="1"/>
  <c r="V34" i="1"/>
  <c r="V31" i="1"/>
  <c r="V30" i="1"/>
  <c r="V28" i="1"/>
  <c r="V27" i="1"/>
  <c r="V26" i="1"/>
  <c r="V25" i="1"/>
  <c r="V23" i="1"/>
  <c r="V22" i="1"/>
  <c r="V21" i="1"/>
  <c r="V18" i="1"/>
  <c r="V17" i="1"/>
  <c r="V15" i="1"/>
  <c r="V14" i="1"/>
  <c r="V12" i="1"/>
  <c r="V13" i="1" s="1"/>
  <c r="V11" i="1"/>
  <c r="V8" i="1"/>
  <c r="V6" i="1"/>
  <c r="U48" i="1"/>
  <c r="U47" i="1"/>
  <c r="U41" i="1"/>
  <c r="U45" i="1" s="1"/>
  <c r="U39" i="1"/>
  <c r="U38" i="1"/>
  <c r="U36" i="1"/>
  <c r="U34" i="1"/>
  <c r="U31" i="1"/>
  <c r="U30" i="1"/>
  <c r="U28" i="1"/>
  <c r="U27" i="1"/>
  <c r="U26" i="1"/>
  <c r="U25" i="1"/>
  <c r="U23" i="1"/>
  <c r="U22" i="1"/>
  <c r="U21" i="1"/>
  <c r="U18" i="1"/>
  <c r="U17" i="1"/>
  <c r="U15" i="1"/>
  <c r="U14" i="1"/>
  <c r="U12" i="1"/>
  <c r="U13" i="1" s="1"/>
  <c r="U8" i="1"/>
  <c r="U6" i="1"/>
  <c r="T48" i="1"/>
  <c r="T47" i="1"/>
  <c r="T41" i="1"/>
  <c r="T45" i="1" s="1"/>
  <c r="T39" i="1"/>
  <c r="T38" i="1"/>
  <c r="T36" i="1"/>
  <c r="T34" i="1"/>
  <c r="T31" i="1"/>
  <c r="T30" i="1"/>
  <c r="T28" i="1"/>
  <c r="T27" i="1"/>
  <c r="T26" i="1"/>
  <c r="T25" i="1"/>
  <c r="T23" i="1"/>
  <c r="T22" i="1"/>
  <c r="T21" i="1"/>
  <c r="T18" i="1"/>
  <c r="T17" i="1"/>
  <c r="T15" i="1"/>
  <c r="T14" i="1"/>
  <c r="T12" i="1"/>
  <c r="T13" i="1" s="1"/>
  <c r="T8" i="1"/>
  <c r="T6" i="1"/>
  <c r="S48" i="1"/>
  <c r="S47" i="1"/>
  <c r="S41" i="1"/>
  <c r="S45" i="1" s="1"/>
  <c r="S39" i="1"/>
  <c r="S38" i="1"/>
  <c r="S36" i="1"/>
  <c r="S34" i="1"/>
  <c r="S31" i="1"/>
  <c r="S30" i="1"/>
  <c r="S28" i="1"/>
  <c r="S27" i="1"/>
  <c r="S26" i="1"/>
  <c r="S25" i="1"/>
  <c r="S23" i="1"/>
  <c r="S22" i="1"/>
  <c r="S21" i="1"/>
  <c r="S17" i="1"/>
  <c r="S18" i="1" s="1"/>
  <c r="Q12" i="1"/>
  <c r="R12" i="1"/>
  <c r="R13" i="1" s="1"/>
  <c r="R22" i="1" s="1"/>
  <c r="S12" i="1"/>
  <c r="S13" i="1" s="1"/>
  <c r="S15" i="1" s="1"/>
  <c r="S14" i="1"/>
  <c r="S8" i="1"/>
  <c r="S6" i="1"/>
  <c r="R48" i="1"/>
  <c r="R47" i="1"/>
  <c r="R39" i="1"/>
  <c r="R38" i="1"/>
  <c r="R36" i="1"/>
  <c r="R34" i="1"/>
  <c r="R30" i="1"/>
  <c r="R31" i="1"/>
  <c r="R28" i="1"/>
  <c r="R27" i="1"/>
  <c r="R26" i="1"/>
  <c r="R25" i="1"/>
  <c r="R21" i="1"/>
  <c r="R14" i="1"/>
  <c r="R8" i="1"/>
  <c r="R6" i="1"/>
  <c r="F4" i="2"/>
  <c r="G14" i="2" l="1"/>
  <c r="H11" i="2"/>
  <c r="I11" i="2" s="1"/>
  <c r="J11" i="2" s="1"/>
  <c r="K11" i="2" s="1"/>
  <c r="F47" i="2"/>
  <c r="F14" i="2"/>
  <c r="F16" i="2" s="1"/>
  <c r="F21" i="2" s="1"/>
  <c r="F23" i="2" s="1"/>
  <c r="H14" i="2"/>
  <c r="I14" i="2"/>
  <c r="J14" i="2"/>
  <c r="V42" i="1"/>
  <c r="V44" i="1"/>
  <c r="V43" i="1"/>
  <c r="U42" i="1"/>
  <c r="U43" i="1"/>
  <c r="U44" i="1"/>
  <c r="T43" i="1"/>
  <c r="T44" i="1"/>
  <c r="T42" i="1"/>
  <c r="S43" i="1"/>
  <c r="S44" i="1"/>
  <c r="S42" i="1"/>
  <c r="R15" i="1"/>
  <c r="C4" i="2"/>
  <c r="E44" i="2"/>
  <c r="E41" i="2"/>
  <c r="E40" i="2"/>
  <c r="E39" i="2" s="1"/>
  <c r="E27" i="2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E19" i="2"/>
  <c r="E18" i="2"/>
  <c r="E17" i="2"/>
  <c r="E20" i="2" s="1"/>
  <c r="E12" i="2"/>
  <c r="F56" i="2" s="1"/>
  <c r="E11" i="2"/>
  <c r="Q36" i="1"/>
  <c r="Q39" i="1" s="1"/>
  <c r="Q34" i="1"/>
  <c r="Q38" i="1" s="1"/>
  <c r="Q31" i="1"/>
  <c r="Q30" i="1" s="1"/>
  <c r="Q25" i="1"/>
  <c r="Q6" i="1"/>
  <c r="Q8" i="1" s="1"/>
  <c r="Q47" i="1"/>
  <c r="M31" i="1"/>
  <c r="D40" i="2"/>
  <c r="D41" i="2"/>
  <c r="D39" i="2"/>
  <c r="D11" i="2"/>
  <c r="D12" i="2"/>
  <c r="J7" i="1"/>
  <c r="D15" i="2" s="1"/>
  <c r="K7" i="1"/>
  <c r="L7" i="1"/>
  <c r="L8" i="1" s="1"/>
  <c r="N14" i="1"/>
  <c r="E22" i="2" s="1"/>
  <c r="O14" i="1"/>
  <c r="P14" i="1"/>
  <c r="P6" i="1"/>
  <c r="P7" i="1"/>
  <c r="P8" i="1"/>
  <c r="P12" i="1"/>
  <c r="P13" i="1"/>
  <c r="P15" i="1" s="1"/>
  <c r="C17" i="2"/>
  <c r="B17" i="2"/>
  <c r="C34" i="2"/>
  <c r="D17" i="2"/>
  <c r="D34" i="2"/>
  <c r="C12" i="2"/>
  <c r="C14" i="2" s="1"/>
  <c r="C16" i="2" s="1"/>
  <c r="B12" i="2"/>
  <c r="C56" i="2" s="1"/>
  <c r="C11" i="2"/>
  <c r="B11" i="2"/>
  <c r="D44" i="2"/>
  <c r="M36" i="1"/>
  <c r="D45" i="2"/>
  <c r="C44" i="2"/>
  <c r="I36" i="1"/>
  <c r="C45" i="2"/>
  <c r="B44" i="2"/>
  <c r="E36" i="1"/>
  <c r="E39" i="1" s="1"/>
  <c r="M34" i="1"/>
  <c r="D43" i="2"/>
  <c r="I34" i="1"/>
  <c r="I38" i="1" s="1"/>
  <c r="C43" i="2"/>
  <c r="I31" i="1"/>
  <c r="C40" i="2"/>
  <c r="E34" i="1"/>
  <c r="B43" i="2"/>
  <c r="E31" i="1"/>
  <c r="E38" i="1" s="1"/>
  <c r="C41" i="2"/>
  <c r="B41" i="2"/>
  <c r="N7" i="1"/>
  <c r="N8" i="1" s="1"/>
  <c r="O7" i="1"/>
  <c r="O8" i="1" s="1"/>
  <c r="P21" i="1"/>
  <c r="D27" i="2"/>
  <c r="M16" i="1"/>
  <c r="D24" i="2"/>
  <c r="J14" i="1"/>
  <c r="K14" i="1"/>
  <c r="L14" i="1"/>
  <c r="D22" i="2"/>
  <c r="D19" i="2"/>
  <c r="D18" i="2"/>
  <c r="C27" i="2"/>
  <c r="C24" i="2"/>
  <c r="F14" i="1"/>
  <c r="G14" i="1"/>
  <c r="H14" i="1"/>
  <c r="H15" i="1" s="1"/>
  <c r="C22" i="2"/>
  <c r="C19" i="2"/>
  <c r="C18" i="2"/>
  <c r="F7" i="1"/>
  <c r="G7" i="1"/>
  <c r="H7" i="1"/>
  <c r="I7" i="1"/>
  <c r="C15" i="2"/>
  <c r="B27" i="2"/>
  <c r="B24" i="2"/>
  <c r="B14" i="1"/>
  <c r="C14" i="1"/>
  <c r="D14" i="1"/>
  <c r="B22" i="2"/>
  <c r="B19" i="2"/>
  <c r="B18" i="2"/>
  <c r="B7" i="1"/>
  <c r="B15" i="2" s="1"/>
  <c r="C7" i="1"/>
  <c r="D7" i="1"/>
  <c r="D8" i="1" s="1"/>
  <c r="E7" i="1"/>
  <c r="P31" i="1"/>
  <c r="P30" i="1"/>
  <c r="Q28" i="1"/>
  <c r="Q27" i="1"/>
  <c r="Q26" i="1"/>
  <c r="M6" i="1"/>
  <c r="M25" i="1" s="1"/>
  <c r="Q48" i="1"/>
  <c r="B6" i="1"/>
  <c r="B12" i="1"/>
  <c r="C6" i="1"/>
  <c r="C8" i="1" s="1"/>
  <c r="C12" i="1"/>
  <c r="D6" i="1"/>
  <c r="D12" i="1"/>
  <c r="E6" i="1"/>
  <c r="E8" i="1"/>
  <c r="E21" i="1" s="1"/>
  <c r="E12" i="1"/>
  <c r="E13" i="1" s="1"/>
  <c r="F6" i="1"/>
  <c r="F25" i="1" s="1"/>
  <c r="F8" i="1"/>
  <c r="F13" i="1" s="1"/>
  <c r="F12" i="1"/>
  <c r="G6" i="1"/>
  <c r="G25" i="1" s="1"/>
  <c r="G8" i="1"/>
  <c r="G13" i="1" s="1"/>
  <c r="G12" i="1"/>
  <c r="H6" i="1"/>
  <c r="L25" i="1" s="1"/>
  <c r="H8" i="1"/>
  <c r="H12" i="1"/>
  <c r="H13" i="1"/>
  <c r="I6" i="1"/>
  <c r="I25" i="1" s="1"/>
  <c r="I12" i="1"/>
  <c r="I39" i="1"/>
  <c r="J6" i="1"/>
  <c r="J25" i="1" s="1"/>
  <c r="J8" i="1"/>
  <c r="J12" i="1"/>
  <c r="J13" i="1"/>
  <c r="J15" i="1" s="1"/>
  <c r="K6" i="1"/>
  <c r="K25" i="1" s="1"/>
  <c r="K8" i="1"/>
  <c r="K13" i="1" s="1"/>
  <c r="K12" i="1"/>
  <c r="L6" i="1"/>
  <c r="L12" i="1"/>
  <c r="M8" i="1"/>
  <c r="M13" i="1" s="1"/>
  <c r="M12" i="1"/>
  <c r="M38" i="1"/>
  <c r="M39" i="1"/>
  <c r="N6" i="1"/>
  <c r="N12" i="1"/>
  <c r="N34" i="1"/>
  <c r="N31" i="1"/>
  <c r="N30" i="1" s="1"/>
  <c r="N38" i="1"/>
  <c r="N36" i="1"/>
  <c r="N39" i="1"/>
  <c r="O6" i="1"/>
  <c r="O25" i="1" s="1"/>
  <c r="O12" i="1"/>
  <c r="O34" i="1"/>
  <c r="O31" i="1"/>
  <c r="O38" i="1"/>
  <c r="O36" i="1"/>
  <c r="O39" i="1"/>
  <c r="P34" i="1"/>
  <c r="P38" i="1"/>
  <c r="P36" i="1"/>
  <c r="P39" i="1" s="1"/>
  <c r="N48" i="1"/>
  <c r="N47" i="1"/>
  <c r="N28" i="1"/>
  <c r="N27" i="1"/>
  <c r="N26" i="1"/>
  <c r="O48" i="1"/>
  <c r="O47" i="1"/>
  <c r="O30" i="1"/>
  <c r="O28" i="1"/>
  <c r="O27" i="1"/>
  <c r="O26" i="1"/>
  <c r="M48" i="1"/>
  <c r="L48" i="1"/>
  <c r="K48" i="1"/>
  <c r="J48" i="1"/>
  <c r="I48" i="1"/>
  <c r="H48" i="1"/>
  <c r="G48" i="1"/>
  <c r="F48" i="1"/>
  <c r="M47" i="1"/>
  <c r="L47" i="1"/>
  <c r="K47" i="1"/>
  <c r="J47" i="1"/>
  <c r="I47" i="1"/>
  <c r="H47" i="1"/>
  <c r="G47" i="1"/>
  <c r="F47" i="1"/>
  <c r="P48" i="1"/>
  <c r="P47" i="1"/>
  <c r="P28" i="1"/>
  <c r="P27" i="1"/>
  <c r="P26" i="1"/>
  <c r="P25" i="1"/>
  <c r="P22" i="1"/>
  <c r="L31" i="1"/>
  <c r="L30" i="1"/>
  <c r="F31" i="1"/>
  <c r="F30" i="1" s="1"/>
  <c r="G31" i="1"/>
  <c r="G30" i="1" s="1"/>
  <c r="H31" i="1"/>
  <c r="H30" i="1" s="1"/>
  <c r="J31" i="1"/>
  <c r="K31" i="1"/>
  <c r="L26" i="1"/>
  <c r="M26" i="1"/>
  <c r="L27" i="1"/>
  <c r="M27" i="1"/>
  <c r="L28" i="1"/>
  <c r="M28" i="1"/>
  <c r="M21" i="1"/>
  <c r="K30" i="1"/>
  <c r="J26" i="1"/>
  <c r="K26" i="1"/>
  <c r="J27" i="1"/>
  <c r="K27" i="1"/>
  <c r="J28" i="1"/>
  <c r="K28" i="1"/>
  <c r="J21" i="1"/>
  <c r="J22" i="1"/>
  <c r="J30" i="1"/>
  <c r="I26" i="1"/>
  <c r="G28" i="1"/>
  <c r="H28" i="1"/>
  <c r="I28" i="1"/>
  <c r="G27" i="1"/>
  <c r="H27" i="1"/>
  <c r="I27" i="1"/>
  <c r="F28" i="1"/>
  <c r="F27" i="1"/>
  <c r="G26" i="1"/>
  <c r="H26" i="1"/>
  <c r="F26" i="1"/>
  <c r="I30" i="1"/>
  <c r="F21" i="1"/>
  <c r="E30" i="1"/>
  <c r="E10" i="2"/>
  <c r="F10" i="2"/>
  <c r="G10" i="2"/>
  <c r="H10" i="2"/>
  <c r="I10" i="2"/>
  <c r="J10" i="2"/>
  <c r="K10" i="2" s="1"/>
  <c r="L10" i="2" s="1"/>
  <c r="M10" i="2" s="1"/>
  <c r="N10" i="2" s="1"/>
  <c r="O10" i="2" s="1"/>
  <c r="P10" i="2" s="1"/>
  <c r="Q10" i="2" s="1"/>
  <c r="H21" i="1"/>
  <c r="H22" i="1"/>
  <c r="K14" i="2" l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K55" i="2"/>
  <c r="B14" i="2"/>
  <c r="C55" i="2"/>
  <c r="B20" i="2"/>
  <c r="C36" i="2"/>
  <c r="C48" i="2"/>
  <c r="D55" i="2"/>
  <c r="C39" i="2"/>
  <c r="E14" i="2"/>
  <c r="E35" i="2"/>
  <c r="E36" i="2"/>
  <c r="C6" i="2"/>
  <c r="C7" i="2" s="1"/>
  <c r="D20" i="2"/>
  <c r="C47" i="2"/>
  <c r="D56" i="2"/>
  <c r="D35" i="2"/>
  <c r="G17" i="2"/>
  <c r="D36" i="2"/>
  <c r="D14" i="2"/>
  <c r="D16" i="2" s="1"/>
  <c r="C35" i="2"/>
  <c r="D47" i="2"/>
  <c r="E56" i="2"/>
  <c r="G19" i="2"/>
  <c r="G36" i="2" s="1"/>
  <c r="F35" i="2"/>
  <c r="R17" i="1"/>
  <c r="R18" i="1" s="1"/>
  <c r="R23" i="1"/>
  <c r="D13" i="1"/>
  <c r="D21" i="1"/>
  <c r="L21" i="1"/>
  <c r="L13" i="1"/>
  <c r="O21" i="1"/>
  <c r="O13" i="1"/>
  <c r="P17" i="1"/>
  <c r="P18" i="1" s="1"/>
  <c r="P23" i="1"/>
  <c r="B16" i="2"/>
  <c r="J17" i="1"/>
  <c r="J23" i="1"/>
  <c r="H23" i="1"/>
  <c r="H17" i="1"/>
  <c r="H18" i="1" s="1"/>
  <c r="C13" i="1"/>
  <c r="C21" i="1"/>
  <c r="C29" i="2"/>
  <c r="M15" i="1"/>
  <c r="M22" i="1"/>
  <c r="G15" i="1"/>
  <c r="G22" i="1"/>
  <c r="F22" i="1"/>
  <c r="F15" i="1"/>
  <c r="E22" i="1"/>
  <c r="E15" i="1"/>
  <c r="N13" i="1"/>
  <c r="N21" i="1"/>
  <c r="K15" i="1"/>
  <c r="K22" i="1"/>
  <c r="Q13" i="1"/>
  <c r="Q21" i="1"/>
  <c r="G21" i="1"/>
  <c r="I8" i="1"/>
  <c r="E15" i="2"/>
  <c r="E16" i="2" s="1"/>
  <c r="E45" i="2"/>
  <c r="E48" i="2" s="1"/>
  <c r="B45" i="2"/>
  <c r="B48" i="2" s="1"/>
  <c r="C20" i="2"/>
  <c r="C21" i="2" s="1"/>
  <c r="B8" i="1"/>
  <c r="B40" i="2"/>
  <c r="E55" i="2"/>
  <c r="E43" i="2"/>
  <c r="E47" i="2" s="1"/>
  <c r="E34" i="2"/>
  <c r="K21" i="1"/>
  <c r="H25" i="1"/>
  <c r="D48" i="2"/>
  <c r="C33" i="2"/>
  <c r="N25" i="1"/>
  <c r="H19" i="2" l="1"/>
  <c r="E33" i="2"/>
  <c r="G18" i="2"/>
  <c r="F36" i="2"/>
  <c r="D33" i="2"/>
  <c r="F34" i="2"/>
  <c r="C23" i="2"/>
  <c r="C30" i="2"/>
  <c r="E21" i="2"/>
  <c r="E29" i="2"/>
  <c r="L22" i="1"/>
  <c r="L15" i="1"/>
  <c r="M17" i="1"/>
  <c r="M23" i="1"/>
  <c r="B47" i="2"/>
  <c r="B39" i="2"/>
  <c r="F17" i="1"/>
  <c r="F23" i="1"/>
  <c r="B21" i="2"/>
  <c r="B30" i="2" s="1"/>
  <c r="B29" i="2"/>
  <c r="G56" i="2"/>
  <c r="O22" i="1"/>
  <c r="O15" i="1"/>
  <c r="G23" i="1"/>
  <c r="G17" i="1"/>
  <c r="G18" i="1" s="1"/>
  <c r="I19" i="2"/>
  <c r="H36" i="2"/>
  <c r="G35" i="2"/>
  <c r="H18" i="2"/>
  <c r="E17" i="1"/>
  <c r="E18" i="1" s="1"/>
  <c r="E23" i="1"/>
  <c r="J18" i="1"/>
  <c r="I13" i="1"/>
  <c r="I21" i="1"/>
  <c r="D21" i="2"/>
  <c r="D29" i="2"/>
  <c r="Q15" i="1"/>
  <c r="Q22" i="1"/>
  <c r="K17" i="1"/>
  <c r="K23" i="1"/>
  <c r="H17" i="2"/>
  <c r="G34" i="2"/>
  <c r="G20" i="2"/>
  <c r="F55" i="2"/>
  <c r="B13" i="1"/>
  <c r="B21" i="1"/>
  <c r="N22" i="1"/>
  <c r="N15" i="1"/>
  <c r="C15" i="1"/>
  <c r="C22" i="1"/>
  <c r="D22" i="1"/>
  <c r="D15" i="1"/>
  <c r="F18" i="1" l="1"/>
  <c r="G55" i="2"/>
  <c r="H56" i="2"/>
  <c r="M30" i="1"/>
  <c r="M18" i="1"/>
  <c r="L17" i="1"/>
  <c r="N41" i="1" s="1"/>
  <c r="L23" i="1"/>
  <c r="E23" i="2"/>
  <c r="E30" i="2"/>
  <c r="D23" i="2"/>
  <c r="D30" i="2"/>
  <c r="H35" i="2"/>
  <c r="I18" i="2"/>
  <c r="I36" i="2"/>
  <c r="J19" i="2"/>
  <c r="K19" i="2" s="1"/>
  <c r="O23" i="1"/>
  <c r="O17" i="1"/>
  <c r="O18" i="1" s="1"/>
  <c r="C23" i="1"/>
  <c r="C17" i="1"/>
  <c r="C18" i="1" s="1"/>
  <c r="N23" i="1"/>
  <c r="N17" i="1"/>
  <c r="P41" i="1" s="1"/>
  <c r="I15" i="1"/>
  <c r="I22" i="1"/>
  <c r="B22" i="1"/>
  <c r="B15" i="1"/>
  <c r="F33" i="2"/>
  <c r="I17" i="2"/>
  <c r="H34" i="2"/>
  <c r="H20" i="2"/>
  <c r="K18" i="1"/>
  <c r="D17" i="1"/>
  <c r="D18" i="1" s="1"/>
  <c r="D23" i="1"/>
  <c r="Q16" i="1"/>
  <c r="C25" i="2"/>
  <c r="C26" i="2" s="1"/>
  <c r="C31" i="2"/>
  <c r="N44" i="1" l="1"/>
  <c r="N43" i="1"/>
  <c r="N42" i="1"/>
  <c r="N45" i="1"/>
  <c r="P45" i="1"/>
  <c r="P43" i="1"/>
  <c r="P44" i="1"/>
  <c r="P42" i="1"/>
  <c r="E24" i="2"/>
  <c r="E31" i="2" s="1"/>
  <c r="Q23" i="1"/>
  <c r="G33" i="2"/>
  <c r="D31" i="2"/>
  <c r="D25" i="2"/>
  <c r="D26" i="2" s="1"/>
  <c r="I23" i="1"/>
  <c r="I17" i="1"/>
  <c r="N18" i="1"/>
  <c r="Q17" i="1"/>
  <c r="H55" i="2"/>
  <c r="J36" i="2"/>
  <c r="I20" i="2"/>
  <c r="I34" i="2"/>
  <c r="J17" i="2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I35" i="2"/>
  <c r="J18" i="2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B17" i="1"/>
  <c r="B23" i="1"/>
  <c r="B23" i="2"/>
  <c r="L18" i="1"/>
  <c r="O41" i="1"/>
  <c r="M41" i="1"/>
  <c r="I56" i="2"/>
  <c r="F29" i="2"/>
  <c r="G16" i="2" s="1"/>
  <c r="J56" i="2" l="1"/>
  <c r="K56" i="2"/>
  <c r="Q18" i="1"/>
  <c r="R41" i="1"/>
  <c r="J35" i="2"/>
  <c r="J20" i="2"/>
  <c r="J34" i="2"/>
  <c r="I55" i="2"/>
  <c r="M45" i="1"/>
  <c r="M44" i="1"/>
  <c r="M43" i="1"/>
  <c r="M42" i="1"/>
  <c r="O44" i="1"/>
  <c r="O45" i="1"/>
  <c r="O43" i="1"/>
  <c r="O42" i="1"/>
  <c r="E41" i="1"/>
  <c r="B18" i="1"/>
  <c r="G29" i="2"/>
  <c r="G21" i="2"/>
  <c r="G15" i="2"/>
  <c r="F30" i="2"/>
  <c r="E25" i="2"/>
  <c r="B25" i="2"/>
  <c r="B26" i="2" s="1"/>
  <c r="B31" i="2"/>
  <c r="L19" i="2"/>
  <c r="K36" i="2"/>
  <c r="H33" i="2"/>
  <c r="H16" i="2"/>
  <c r="H15" i="2" s="1"/>
  <c r="Q41" i="1"/>
  <c r="I18" i="1"/>
  <c r="I41" i="1"/>
  <c r="R45" i="1" l="1"/>
  <c r="R42" i="1"/>
  <c r="R43" i="1"/>
  <c r="R44" i="1"/>
  <c r="H21" i="2"/>
  <c r="H29" i="2"/>
  <c r="I16" i="2" s="1"/>
  <c r="I15" i="2" s="1"/>
  <c r="M19" i="2"/>
  <c r="L36" i="2"/>
  <c r="E26" i="2"/>
  <c r="E53" i="2"/>
  <c r="E52" i="2"/>
  <c r="E51" i="2"/>
  <c r="E50" i="2"/>
  <c r="I45" i="1"/>
  <c r="I44" i="1"/>
  <c r="I43" i="1"/>
  <c r="I42" i="1"/>
  <c r="Q45" i="1"/>
  <c r="Q44" i="1"/>
  <c r="Q43" i="1"/>
  <c r="Q42" i="1"/>
  <c r="I33" i="2"/>
  <c r="F31" i="2"/>
  <c r="J55" i="2"/>
  <c r="G30" i="2"/>
  <c r="K20" i="2"/>
  <c r="K34" i="2"/>
  <c r="E45" i="1"/>
  <c r="E44" i="1"/>
  <c r="E43" i="1"/>
  <c r="E42" i="1"/>
  <c r="K35" i="2"/>
  <c r="J33" i="2" l="1"/>
  <c r="N19" i="2"/>
  <c r="M36" i="2"/>
  <c r="L34" i="2"/>
  <c r="L20" i="2"/>
  <c r="L35" i="2"/>
  <c r="F25" i="2"/>
  <c r="I21" i="2"/>
  <c r="I29" i="2"/>
  <c r="J16" i="2" s="1"/>
  <c r="H30" i="2"/>
  <c r="F51" i="2" l="1"/>
  <c r="F52" i="2"/>
  <c r="F26" i="2"/>
  <c r="F50" i="2"/>
  <c r="F53" i="2"/>
  <c r="J29" i="2"/>
  <c r="J21" i="2"/>
  <c r="J15" i="2"/>
  <c r="M20" i="2"/>
  <c r="M34" i="2"/>
  <c r="I30" i="2"/>
  <c r="M35" i="2"/>
  <c r="N36" i="2"/>
  <c r="O19" i="2"/>
  <c r="K33" i="2"/>
  <c r="K16" i="2"/>
  <c r="K15" i="2" s="1"/>
  <c r="O36" i="2" l="1"/>
  <c r="P19" i="2"/>
  <c r="N35" i="2"/>
  <c r="G22" i="2"/>
  <c r="G23" i="2" s="1"/>
  <c r="N20" i="2"/>
  <c r="N34" i="2"/>
  <c r="K29" i="2"/>
  <c r="L16" i="2" s="1"/>
  <c r="L15" i="2" s="1"/>
  <c r="K21" i="2"/>
  <c r="J30" i="2"/>
  <c r="L33" i="2"/>
  <c r="K30" i="2" l="1"/>
  <c r="O34" i="2"/>
  <c r="O20" i="2"/>
  <c r="G24" i="2"/>
  <c r="G31" i="2" s="1"/>
  <c r="Q19" i="2"/>
  <c r="P36" i="2"/>
  <c r="L21" i="2"/>
  <c r="L29" i="2"/>
  <c r="M16" i="2" s="1"/>
  <c r="M15" i="2" s="1"/>
  <c r="O35" i="2"/>
  <c r="M33" i="2"/>
  <c r="Q36" i="2" l="1"/>
  <c r="R19" i="2"/>
  <c r="P35" i="2"/>
  <c r="M29" i="2"/>
  <c r="N16" i="2" s="1"/>
  <c r="M21" i="2"/>
  <c r="L30" i="2"/>
  <c r="G25" i="2"/>
  <c r="P34" i="2"/>
  <c r="P20" i="2"/>
  <c r="N33" i="2"/>
  <c r="R34" i="2" l="1"/>
  <c r="Q35" i="2"/>
  <c r="R36" i="2"/>
  <c r="S19" i="2"/>
  <c r="N21" i="2"/>
  <c r="N29" i="2"/>
  <c r="O16" i="2" s="1"/>
  <c r="O33" i="2"/>
  <c r="N15" i="2"/>
  <c r="M30" i="2"/>
  <c r="Q34" i="2"/>
  <c r="Q20" i="2"/>
  <c r="G26" i="2"/>
  <c r="G39" i="2"/>
  <c r="S36" i="2" l="1"/>
  <c r="T19" i="2"/>
  <c r="R35" i="2"/>
  <c r="R20" i="2"/>
  <c r="S20" i="2"/>
  <c r="S34" i="2"/>
  <c r="H22" i="2"/>
  <c r="H23" i="2" s="1"/>
  <c r="O29" i="2"/>
  <c r="P16" i="2" s="1"/>
  <c r="O21" i="2"/>
  <c r="P33" i="2"/>
  <c r="O15" i="2"/>
  <c r="N30" i="2"/>
  <c r="R33" i="2" l="1"/>
  <c r="S35" i="2"/>
  <c r="T34" i="2"/>
  <c r="T20" i="2"/>
  <c r="T36" i="2"/>
  <c r="U19" i="2"/>
  <c r="U36" i="2" s="1"/>
  <c r="P29" i="2"/>
  <c r="Q16" i="2" s="1"/>
  <c r="P21" i="2"/>
  <c r="P15" i="2"/>
  <c r="Q33" i="2"/>
  <c r="O30" i="2"/>
  <c r="H24" i="2"/>
  <c r="H31" i="2" s="1"/>
  <c r="S33" i="2" l="1"/>
  <c r="U34" i="2"/>
  <c r="U35" i="2"/>
  <c r="T35" i="2"/>
  <c r="P30" i="2"/>
  <c r="H25" i="2"/>
  <c r="Q29" i="2"/>
  <c r="R16" i="2" s="1"/>
  <c r="Q21" i="2"/>
  <c r="Q15" i="2"/>
  <c r="R29" i="2" l="1"/>
  <c r="S16" i="2" s="1"/>
  <c r="R21" i="2"/>
  <c r="R30" i="2" s="1"/>
  <c r="R15" i="2"/>
  <c r="T33" i="2"/>
  <c r="U20" i="2"/>
  <c r="Q30" i="2"/>
  <c r="H26" i="2"/>
  <c r="H39" i="2"/>
  <c r="U33" i="2" l="1"/>
  <c r="S29" i="2"/>
  <c r="T16" i="2" s="1"/>
  <c r="S21" i="2"/>
  <c r="S30" i="2" s="1"/>
  <c r="S15" i="2"/>
  <c r="I22" i="2"/>
  <c r="I23" i="2" s="1"/>
  <c r="T29" i="2" l="1"/>
  <c r="U16" i="2" s="1"/>
  <c r="T21" i="2"/>
  <c r="T30" i="2" s="1"/>
  <c r="T15" i="2"/>
  <c r="I24" i="2"/>
  <c r="I31" i="2" s="1"/>
  <c r="U29" i="2" l="1"/>
  <c r="U15" i="2"/>
  <c r="U21" i="2"/>
  <c r="U30" i="2" s="1"/>
  <c r="I25" i="2"/>
  <c r="I39" i="2" s="1"/>
  <c r="I26" i="2" l="1"/>
  <c r="J22" i="2"/>
  <c r="J23" i="2" s="1"/>
  <c r="J24" i="2" l="1"/>
  <c r="J31" i="2" s="1"/>
  <c r="J25" i="2"/>
  <c r="J26" i="2" l="1"/>
  <c r="J39" i="2"/>
  <c r="K22" i="2" l="1"/>
  <c r="K23" i="2" s="1"/>
  <c r="K24" i="2" l="1"/>
  <c r="K31" i="2" s="1"/>
  <c r="K25" i="2" l="1"/>
  <c r="K26" i="2" l="1"/>
  <c r="K39" i="2"/>
  <c r="L22" i="2" l="1"/>
  <c r="L23" i="2" s="1"/>
  <c r="L24" i="2" l="1"/>
  <c r="L31" i="2" s="1"/>
  <c r="L25" i="2" l="1"/>
  <c r="L26" i="2"/>
  <c r="L39" i="2"/>
  <c r="M22" i="2" l="1"/>
  <c r="M23" i="2" s="1"/>
  <c r="M24" i="2" l="1"/>
  <c r="M31" i="2" s="1"/>
  <c r="M25" i="2" l="1"/>
  <c r="M26" i="2"/>
  <c r="M39" i="2"/>
  <c r="N22" i="2" l="1"/>
  <c r="N23" i="2" s="1"/>
  <c r="N24" i="2" l="1"/>
  <c r="N31" i="2" s="1"/>
  <c r="N25" i="2" l="1"/>
  <c r="N26" i="2"/>
  <c r="N39" i="2"/>
  <c r="O22" i="2" l="1"/>
  <c r="O23" i="2" s="1"/>
  <c r="O24" i="2" l="1"/>
  <c r="O31" i="2" s="1"/>
  <c r="O25" i="2" l="1"/>
  <c r="O26" i="2"/>
  <c r="O39" i="2"/>
  <c r="P22" i="2" l="1"/>
  <c r="P23" i="2" s="1"/>
  <c r="P24" i="2" l="1"/>
  <c r="P31" i="2" s="1"/>
  <c r="P25" i="2" l="1"/>
  <c r="P26" i="2"/>
  <c r="P39" i="2"/>
  <c r="Q22" i="2" l="1"/>
  <c r="Q23" i="2" s="1"/>
  <c r="Q24" i="2" l="1"/>
  <c r="Q31" i="2" s="1"/>
  <c r="Q25" i="2"/>
  <c r="Q26" i="2" l="1"/>
  <c r="Q39" i="2"/>
  <c r="R22" i="2" l="1"/>
  <c r="R23" i="2" s="1"/>
  <c r="R24" i="2" l="1"/>
  <c r="R31" i="2" s="1"/>
  <c r="R25" i="2"/>
  <c r="R26" i="2" l="1"/>
  <c r="R39" i="2"/>
  <c r="S22" i="2" l="1"/>
  <c r="S23" i="2" s="1"/>
  <c r="S24" i="2" l="1"/>
  <c r="S31" i="2" s="1"/>
  <c r="S25" i="2"/>
  <c r="S26" i="2" l="1"/>
  <c r="S39" i="2"/>
  <c r="T22" i="2" l="1"/>
  <c r="T23" i="2" s="1"/>
  <c r="T24" i="2" l="1"/>
  <c r="T31" i="2" s="1"/>
  <c r="T25" i="2"/>
  <c r="T26" i="2" l="1"/>
  <c r="T39" i="2"/>
  <c r="U22" i="2" l="1"/>
  <c r="U23" i="2" s="1"/>
  <c r="U24" i="2" l="1"/>
  <c r="U31" i="2" s="1"/>
  <c r="U25" i="2"/>
  <c r="U26" i="2" l="1"/>
  <c r="V25" i="2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X25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DO25" i="2" s="1"/>
  <c r="DP25" i="2" s="1"/>
  <c r="DQ25" i="2" s="1"/>
  <c r="DR25" i="2" s="1"/>
  <c r="F5" i="2" s="1"/>
  <c r="F6" i="2" s="1"/>
  <c r="F7" i="2" s="1"/>
  <c r="G7" i="2" s="1"/>
  <c r="U39" i="2"/>
</calcChain>
</file>

<file path=xl/sharedStrings.xml><?xml version="1.0" encoding="utf-8"?>
<sst xmlns="http://schemas.openxmlformats.org/spreadsheetml/2006/main" count="155" uniqueCount="112">
  <si>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</si>
  <si>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</si>
  <si>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</si>
  <si>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</si>
  <si>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</si>
  <si>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</si>
  <si>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</si>
  <si>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</si>
  <si>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</si>
  <si>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</si>
  <si>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</si>
  <si>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</si>
  <si>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</si>
  <si>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</si>
  <si>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</si>
  <si>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</si>
  <si>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</si>
  <si>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</si>
  <si>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</si>
  <si>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</si>
  <si>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</si>
  <si>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</si>
  <si>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</si>
  <si>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</si>
  <si>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</si>
  <si>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</si>
  <si>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</si>
  <si>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</si>
  <si>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</si>
  <si>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</si>
  <si>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</si>
  <si>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</si>
  <si>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</si>
  <si>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</si>
  <si>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R&amp;D y/y</t>
  </si>
  <si>
    <t>S&amp;M y/y</t>
  </si>
  <si>
    <t>G&amp;A y/y</t>
  </si>
  <si>
    <t>31/12/2017</t>
  </si>
  <si>
    <t>31/12/2016</t>
  </si>
  <si>
    <t>30/6/2017</t>
  </si>
  <si>
    <t>30/9/2016</t>
  </si>
  <si>
    <t>30/9/2017</t>
  </si>
  <si>
    <t>31/3/2017</t>
  </si>
  <si>
    <t>30/6/2016</t>
  </si>
  <si>
    <t>31/3/2016</t>
  </si>
  <si>
    <t>31/12/2015</t>
  </si>
  <si>
    <t>30/9/2015</t>
  </si>
  <si>
    <t>Q115</t>
  </si>
  <si>
    <t>Q215</t>
  </si>
  <si>
    <t>Q315</t>
  </si>
  <si>
    <t>Q415</t>
  </si>
  <si>
    <t>30/6/2015</t>
  </si>
  <si>
    <t>31/3/2015</t>
  </si>
  <si>
    <t>Investor Relations</t>
  </si>
  <si>
    <t>CEO</t>
  </si>
  <si>
    <t>Founder</t>
  </si>
  <si>
    <t>Shopify Inc (SHOP)</t>
  </si>
  <si>
    <t>Price</t>
  </si>
  <si>
    <t>Q318</t>
  </si>
  <si>
    <t>Market Cap</t>
  </si>
  <si>
    <t>EV</t>
  </si>
  <si>
    <t>per share</t>
  </si>
  <si>
    <t>Tobias Lutke</t>
  </si>
  <si>
    <t>Daniel Weinand</t>
  </si>
  <si>
    <t>Scott Lake</t>
  </si>
  <si>
    <t>EDGAR</t>
  </si>
  <si>
    <t>Subscriptions</t>
  </si>
  <si>
    <t>Merchant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</si>
  <si>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</si>
  <si>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</si>
  <si>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</si>
  <si>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</si>
  <si>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</si>
  <si>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</si>
  <si>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</si>
  <si>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</si>
  <si>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</si>
  <si>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NI 12M</t>
  </si>
  <si>
    <t>Subscriptions y/y</t>
  </si>
  <si>
    <t>Merchant y/y</t>
  </si>
  <si>
    <t>Q118</t>
  </si>
  <si>
    <t>Q218</t>
  </si>
  <si>
    <t>Q418</t>
  </si>
  <si>
    <t>31/3/2018</t>
  </si>
  <si>
    <t>30/6/2018</t>
  </si>
  <si>
    <t>30/9/2018</t>
  </si>
  <si>
    <t>31/12/2018</t>
  </si>
  <si>
    <t>305-310</t>
  </si>
  <si>
    <t>Q119</t>
  </si>
  <si>
    <t>Q219</t>
  </si>
  <si>
    <t>Q319</t>
  </si>
  <si>
    <t>Q419</t>
  </si>
  <si>
    <t>Q120</t>
  </si>
  <si>
    <t>Q220</t>
  </si>
  <si>
    <t>Q320</t>
  </si>
  <si>
    <t>Q420</t>
  </si>
  <si>
    <t>PRODUCTS</t>
  </si>
  <si>
    <t>Shopify Studios</t>
  </si>
  <si>
    <t>TV and film production</t>
  </si>
  <si>
    <t>345-350</t>
  </si>
  <si>
    <t>1 480-1 500</t>
  </si>
  <si>
    <t>31/3/2019</t>
  </si>
  <si>
    <t>377-382</t>
  </si>
  <si>
    <t>30/6/2019</t>
  </si>
  <si>
    <t>472-482</t>
  </si>
  <si>
    <t>AQUIRED</t>
  </si>
  <si>
    <t>6 River Systems</t>
  </si>
  <si>
    <t>Warehousing solutions (Shopify Fulfillment)</t>
  </si>
  <si>
    <t>Shopify Payments</t>
  </si>
  <si>
    <t>440-446</t>
  </si>
  <si>
    <t>2 130-2 160</t>
  </si>
  <si>
    <t>Operating Expenses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</si>
</sst>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11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7">
    <xf numFmtId="0" fontId="0" fillId="0" borderId="0" xfId="0"/>
    <xf numFmtId="0" fontId="5" fillId="0" borderId="0" xfId="0" applyFont="1"/>
    <xf numFmtId="0" fontId="6" fillId="0" borderId="0" xfId="0" applyFont="1"/>
    <xf numFmtId="0" fontId="5" fillId="0" borderId="0" xfId="0" applyFont="1" applyBorder="1"/>
    <xf numFmtId="10" fontId="5" fillId="0" borderId="0" xfId="0" applyNumberFormat="1" applyFont="1"/>
    <xf numFmtId="0" fontId="7" fillId="0" borderId="0" xfId="4" applyFont="1"/>
    <xf numFmtId="164" fontId="5" fillId="2" borderId="0" xfId="0" applyNumberFormat="1" applyFont="1" applyFill="1"/>
    <xf numFmtId="3" fontId="5" fillId="0" borderId="0" xfId="0" applyNumberFormat="1" applyFont="1"/>
    <xf numFmtId="0" fontId="6" fillId="0" borderId="0" xfId="0" applyFont="1" applyBorder="1"/>
    <xf numFmtId="2" fontId="5" fillId="0" borderId="0" xfId="0" applyNumberFormat="1" applyFont="1"/>
    <xf numFmtId="3" fontId="5" fillId="0" borderId="0" xfId="0" applyNumberFormat="1" applyFont="1" applyBorder="1"/>
    <xf numFmtId="3" fontId="5" fillId="0" borderId="0" xfId="0" applyNumberFormat="1" applyFont="1" applyFill="1" applyBorder="1"/>
    <xf numFmtId="3" fontId="5" fillId="2" borderId="0" xfId="0" applyNumberFormat="1" applyFont="1" applyFill="1" applyBorder="1"/>
    <xf numFmtId="0" fontId="7" fillId="0" borderId="0" xfId="4" applyFont="1" applyBorder="1"/>
    <xf numFmtId="4" fontId="5" fillId="0" borderId="0" xfId="0" applyNumberFormat="1" applyFont="1" applyBorder="1"/>
    <xf numFmtId="0" fontId="8" fillId="0" borderId="0" xfId="0" applyFont="1"/>
    <xf numFmtId="164" fontId="6" fillId="2" borderId="0" xfId="0" applyNumberFormat="1" applyFont="1" applyFill="1"/>
    <xf numFmtId="4" fontId="5" fillId="2" borderId="0" xfId="0" applyNumberFormat="1" applyFont="1" applyFill="1" applyBorder="1"/>
    <xf numFmtId="0" fontId="8" fillId="0" borderId="0" xfId="0" applyFont="1" applyBorder="1"/>
    <xf numFmtId="4" fontId="5" fillId="2" borderId="0" xfId="0" applyNumberFormat="1" applyFont="1" applyFill="1"/>
    <xf numFmtId="9" fontId="5" fillId="0" borderId="0" xfId="0" applyNumberFormat="1" applyFont="1"/>
    <xf numFmtId="0" fontId="7" fillId="0" borderId="0" xfId="4" applyFont="1" applyAlignment="1">
      <alignment horizontal="left"/>
    </xf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3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6" fillId="0" borderId="0" xfId="0" applyFont="1" applyAlignment="1">
      <alignment horizontal="left"/>
    </xf>
    <xf numFmtId="3" fontId="6" fillId="0" borderId="0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2" fontId="5" fillId="0" borderId="0" xfId="0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5" fillId="0" borderId="0" xfId="0" applyNumberFormat="1" applyFont="1" applyBorder="1" applyAlignment="1">
      <alignment horizontal="right"/>
    </xf>
    <xf numFmtId="9" fontId="5" fillId="0" borderId="1" xfId="0" applyNumberFormat="1" applyFont="1" applyBorder="1" applyAlignment="1">
      <alignment horizontal="right"/>
    </xf>
    <xf numFmtId="9" fontId="5" fillId="0" borderId="0" xfId="0" applyNumberFormat="1" applyFont="1" applyAlignment="1">
      <alignment horizontal="right"/>
    </xf>
    <xf numFmtId="9" fontId="5" fillId="0" borderId="1" xfId="0" applyNumberFormat="1" applyFont="1" applyBorder="1"/>
    <xf numFmtId="9" fontId="5" fillId="0" borderId="0" xfId="1" applyFont="1" applyBorder="1" applyAlignment="1">
      <alignment horizontal="right"/>
    </xf>
    <xf numFmtId="9" fontId="5" fillId="0" borderId="1" xfId="1" applyFont="1" applyBorder="1" applyAlignment="1">
      <alignment horizontal="right"/>
    </xf>
    <xf numFmtId="9" fontId="5" fillId="0" borderId="0" xfId="1" applyFont="1" applyAlignment="1">
      <alignment horizontal="right"/>
    </xf>
    <xf numFmtId="0" fontId="5" fillId="0" borderId="0" xfId="0" applyFont="1" applyFill="1" applyBorder="1"/>
    <xf numFmtId="3" fontId="6" fillId="2" borderId="0" xfId="0" applyNumberFormat="1" applyFont="1" applyFill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5" fillId="2" borderId="0" xfId="0" applyNumberFormat="1" applyFont="1" applyFill="1" applyBorder="1" applyAlignment="1">
      <alignment horizontal="right"/>
    </xf>
    <xf numFmtId="3" fontId="6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3" fontId="6" fillId="2" borderId="0" xfId="0" applyNumberFormat="1" applyFont="1" applyFill="1"/>
    <xf numFmtId="9" fontId="5" fillId="0" borderId="0" xfId="0" applyNumberFormat="1" applyFont="1" applyFill="1" applyBorder="1"/>
    <xf numFmtId="0" fontId="5" fillId="0" borderId="0" xfId="0" applyFont="1" applyFill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9" fontId="5" fillId="0" borderId="0" xfId="0" applyNumberFormat="1" applyFont="1" applyFill="1" applyBorder="1" applyAlignment="1">
      <alignment horizontal="right"/>
    </xf>
    <xf numFmtId="9" fontId="5" fillId="0" borderId="0" xfId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9" fontId="6" fillId="0" borderId="0" xfId="1" applyNumberFormat="1" applyFont="1" applyFill="1" applyBorder="1" applyAlignment="1">
      <alignment horizontal="right"/>
    </xf>
    <xf numFmtId="9" fontId="5" fillId="0" borderId="0" xfId="1" applyNumberFormat="1" applyFont="1" applyFill="1" applyBorder="1" applyAlignment="1">
      <alignment horizontal="right"/>
    </xf>
    <xf numFmtId="9" fontId="5" fillId="0" borderId="0" xfId="0" applyNumberFormat="1" applyFont="1" applyFill="1" applyAlignment="1">
      <alignment horizontal="right"/>
    </xf>
    <xf numFmtId="0" fontId="8" fillId="0" borderId="0" xfId="0" applyFont="1" applyFill="1" applyBorder="1" applyAlignment="1">
      <alignment horizontal="right"/>
    </xf>
    <xf numFmtId="0" fontId="6" fillId="0" borderId="0" xfId="0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  <xf numFmtId="14" fontId="5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right"/>
    </xf>
    <xf numFmtId="0" fontId="8" fillId="0" borderId="0" xfId="0" applyFont="1" applyBorder="1" applyAlignment="1">
      <alignment horizontal="right"/>
    </xf>
    <xf numFmtId="3" fontId="6" fillId="0" borderId="0" xfId="0" applyNumberFormat="1" applyFont="1" applyAlignment="1">
      <alignment horizontal="left"/>
    </xf>
    <xf numFmtId="3" fontId="6" fillId="0" borderId="0" xfId="0" applyNumberFormat="1" applyFont="1"/>
    <xf numFmtId="4" fontId="5" fillId="0" borderId="0" xfId="0" applyNumberFormat="1" applyFont="1" applyAlignment="1">
      <alignment horizontal="left"/>
    </xf>
    <xf numFmtId="4" fontId="5" fillId="2" borderId="0" xfId="0" applyNumberFormat="1" applyFont="1" applyFill="1" applyBorder="1" applyAlignment="1">
      <alignment horizontal="right"/>
    </xf>
    <xf numFmtId="4" fontId="5" fillId="2" borderId="1" xfId="0" applyNumberFormat="1" applyFont="1" applyFill="1" applyBorder="1" applyAlignment="1">
      <alignment horizontal="right"/>
    </xf>
    <xf numFmtId="4" fontId="5" fillId="2" borderId="0" xfId="0" applyNumberFormat="1" applyFont="1" applyFill="1" applyAlignment="1">
      <alignment horizontal="right"/>
    </xf>
    <xf numFmtId="4" fontId="5" fillId="0" borderId="0" xfId="0" applyNumberFormat="1" applyFont="1"/>
    <xf numFmtId="3" fontId="6" fillId="0" borderId="0" xfId="0" applyNumberFormat="1" applyFont="1" applyFill="1" applyBorder="1"/>
    <xf numFmtId="3" fontId="6" fillId="0" borderId="0" xfId="0" applyNumberFormat="1" applyFont="1" applyAlignment="1">
      <alignment horizontal="right"/>
    </xf>
    <xf numFmtId="0" fontId="9" fillId="0" borderId="0" xfId="0" applyFont="1"/>
    <xf numFmtId="3" fontId="0" fillId="0" borderId="0" xfId="0" applyNumberFormat="1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1" xfId="0" applyFont="1" applyBorder="1" applyAlignment="1">
      <alignment horizontal="right"/>
    </xf>
    <xf numFmtId="9" fontId="5" fillId="0" borderId="1" xfId="0" applyNumberFormat="1" applyFont="1" applyFill="1" applyBorder="1" applyAlignment="1">
      <alignment horizontal="right"/>
    </xf>
    <xf numFmtId="9" fontId="5" fillId="0" borderId="1" xfId="1" applyFont="1" applyFill="1" applyBorder="1" applyAlignment="1">
      <alignment horizontal="right"/>
    </xf>
    <xf numFmtId="9" fontId="6" fillId="0" borderId="1" xfId="1" applyNumberFormat="1" applyFont="1" applyFill="1" applyBorder="1" applyAlignment="1">
      <alignment horizontal="right"/>
    </xf>
    <xf numFmtId="9" fontId="5" fillId="0" borderId="1" xfId="1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3" fontId="0" fillId="0" borderId="0" xfId="0" applyNumberFormat="1" applyFont="1"/>
    <xf numFmtId="3" fontId="5" fillId="0" borderId="1" xfId="0" applyNumberFormat="1" applyFont="1" applyBorder="1"/>
    <xf numFmtId="3" fontId="0" fillId="0" borderId="1" xfId="0" applyNumberFormat="1" applyFont="1" applyBorder="1"/>
    <xf numFmtId="0" fontId="5" fillId="0" borderId="1" xfId="0" applyFont="1" applyBorder="1"/>
    <xf numFmtId="0" fontId="10" fillId="0" borderId="0" xfId="0" applyFont="1" applyBorder="1" applyAlignment="1">
      <alignment horizontal="right"/>
    </xf>
    <xf numFmtId="9" fontId="8" fillId="0" borderId="0" xfId="1" applyFont="1" applyBorder="1" applyAlignment="1">
      <alignment horizontal="right"/>
    </xf>
    <xf numFmtId="0" fontId="0" fillId="0" borderId="0" xfId="0" applyFont="1" applyAlignment="1">
      <alignment horizontal="left"/>
    </xf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 customBuiltin="1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9</xdr:row>
      <xdr:rowOff>0</xdr:rowOff>
    </xdr:from>
    <xdr:to>
      <xdr:col>6</xdr:col>
      <xdr:colOff>228600</xdr:colOff>
      <xdr:row>57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740400" y="1485900"/>
          <a:ext cx="0" cy="777240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215900</xdr:colOff>
      <xdr:row>1</xdr:row>
      <xdr:rowOff>0</xdr:rowOff>
    </xdr:from>
    <xdr:to>
      <xdr:col>22</xdr:col>
      <xdr:colOff>215900</xdr:colOff>
      <xdr:row>49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9037300" y="165100"/>
          <a:ext cx="0" cy="792480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Tobias_L%C3%BCtke" TargetMode="External"/><Relationship Id="rId2" Type="http://schemas.openxmlformats.org/officeDocument/2006/relationships/hyperlink" Target="https://en.wikipedia.org/wiki/Tobias_L%C3%BCtke" TargetMode="External"/><Relationship Id="rId1" Type="http://schemas.openxmlformats.org/officeDocument/2006/relationships/hyperlink" Target="https://investors.shopify.com/Home/default.aspx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shop&amp;owner=exclude&amp;action=getcomp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56"/>
  <sheetViews>
    <sheetView tabSelected="1" workbookViewId="0">
      <pane xSplit="1" ySplit="10" topLeftCell="D11" activePane="bottomRight" state="frozen"/>
      <selection pane="topRight" activeCell="B1" sqref="B1"/>
      <selection pane="bottomLeft" activeCell="A11" sqref="A11"/>
      <selection pane="bottomRight" activeCell="I6" sqref="I6"/>
    </sheetView>
  </sheetViews>
  <sheetFormatPr baseColWidth="10" defaultRowHeight="13" x14ac:dyDescent="0.15"/>
  <cols>
    <col min="1" max="1" width="20.1640625" style="1" bestFit="1" customWidth="1"/>
    <col min="2" max="16384" width="10.83203125" style="1"/>
  </cols>
  <sheetData>
    <row r="1" spans="1:122" x14ac:dyDescent="0.15">
      <c r="A1" s="13" t="s">
        <v>53</v>
      </c>
      <c r="B1" s="2" t="s">
        <v>56</v>
      </c>
    </row>
    <row r="2" spans="1:122" x14ac:dyDescent="0.15">
      <c r="B2" s="1" t="s">
        <v>57</v>
      </c>
      <c r="C2" s="14">
        <v>928.13</v>
      </c>
      <c r="D2" s="68">
        <v>44029</v>
      </c>
      <c r="E2" s="3" t="s">
        <v>29</v>
      </c>
      <c r="F2" s="4">
        <v>-5.0000000000000001E-3</v>
      </c>
      <c r="I2" s="7"/>
    </row>
    <row r="3" spans="1:122" x14ac:dyDescent="0.15">
      <c r="A3" s="2" t="s">
        <v>54</v>
      </c>
      <c r="B3" s="1" t="s">
        <v>17</v>
      </c>
      <c r="C3" s="10">
        <f>Reports!V19</f>
        <v>116.806549</v>
      </c>
      <c r="D3" s="96" t="s">
        <v>92</v>
      </c>
      <c r="E3" s="3" t="s">
        <v>30</v>
      </c>
      <c r="F3" s="4">
        <v>0.05</v>
      </c>
      <c r="G3" s="15"/>
      <c r="I3" s="7"/>
    </row>
    <row r="4" spans="1:122" x14ac:dyDescent="0.15">
      <c r="A4" s="5" t="s">
        <v>62</v>
      </c>
      <c r="B4" s="1" t="s">
        <v>59</v>
      </c>
      <c r="C4" s="12">
        <f>C2*C3</f>
        <v>108411.66232337001</v>
      </c>
      <c r="D4" s="24"/>
      <c r="E4" s="3" t="s">
        <v>31</v>
      </c>
      <c r="F4" s="4">
        <f>7%</f>
        <v>7.0000000000000007E-2</v>
      </c>
      <c r="G4" s="15"/>
      <c r="I4" s="20"/>
    </row>
    <row r="5" spans="1:122" x14ac:dyDescent="0.15">
      <c r="B5" s="1" t="s">
        <v>26</v>
      </c>
      <c r="C5" s="10">
        <f>Reports!V30</f>
        <v>2360</v>
      </c>
      <c r="D5" s="96" t="s">
        <v>92</v>
      </c>
      <c r="E5" s="3" t="s">
        <v>32</v>
      </c>
      <c r="F5" s="6">
        <f>NPV(F4,F25:DR25)</f>
        <v>41657.383964216337</v>
      </c>
      <c r="G5" s="15"/>
      <c r="I5" s="20"/>
    </row>
    <row r="6" spans="1:122" x14ac:dyDescent="0.15">
      <c r="A6" s="2" t="s">
        <v>55</v>
      </c>
      <c r="B6" s="1" t="s">
        <v>60</v>
      </c>
      <c r="C6" s="12">
        <f>C4-C5</f>
        <v>106051.66232337001</v>
      </c>
      <c r="D6" s="24"/>
      <c r="E6" s="8" t="s">
        <v>33</v>
      </c>
      <c r="F6" s="16">
        <f>F5+C5</f>
        <v>44017.383964216337</v>
      </c>
      <c r="I6" s="20"/>
    </row>
    <row r="7" spans="1:122" x14ac:dyDescent="0.15">
      <c r="A7" s="5" t="s">
        <v>62</v>
      </c>
      <c r="B7" s="15" t="s">
        <v>61</v>
      </c>
      <c r="C7" s="17">
        <f>C6/C3</f>
        <v>907.92565340981014</v>
      </c>
      <c r="D7" s="24"/>
      <c r="E7" s="18" t="s">
        <v>61</v>
      </c>
      <c r="F7" s="19">
        <f>F6/C3</f>
        <v>376.84003457902293</v>
      </c>
      <c r="G7" s="20">
        <f>F7/C2-1</f>
        <v>-0.59397925443739252</v>
      </c>
    </row>
    <row r="8" spans="1:122" x14ac:dyDescent="0.15">
      <c r="A8" s="1" t="s">
        <v>63</v>
      </c>
      <c r="E8" s="3"/>
      <c r="F8" s="9"/>
    </row>
    <row r="9" spans="1:122" x14ac:dyDescent="0.15">
      <c r="A9" s="1" t="s">
        <v>64</v>
      </c>
    </row>
    <row r="10" spans="1:122" x14ac:dyDescent="0.15">
      <c r="B10" s="22">
        <v>2015</v>
      </c>
      <c r="C10" s="22">
        <v>2016</v>
      </c>
      <c r="D10" s="22">
        <v>2017</v>
      </c>
      <c r="E10" s="22">
        <f>D10+1</f>
        <v>2018</v>
      </c>
      <c r="F10" s="22">
        <f t="shared" ref="F10:U10" si="0">E10+1</f>
        <v>2019</v>
      </c>
      <c r="G10" s="22">
        <f t="shared" si="0"/>
        <v>2020</v>
      </c>
      <c r="H10" s="22">
        <f t="shared" si="0"/>
        <v>2021</v>
      </c>
      <c r="I10" s="22">
        <f t="shared" si="0"/>
        <v>2022</v>
      </c>
      <c r="J10" s="22">
        <f t="shared" si="0"/>
        <v>2023</v>
      </c>
      <c r="K10" s="22">
        <f t="shared" si="0"/>
        <v>2024</v>
      </c>
      <c r="L10" s="22">
        <f t="shared" si="0"/>
        <v>2025</v>
      </c>
      <c r="M10" s="22">
        <f t="shared" si="0"/>
        <v>2026</v>
      </c>
      <c r="N10" s="22">
        <f t="shared" si="0"/>
        <v>2027</v>
      </c>
      <c r="O10" s="22">
        <f t="shared" si="0"/>
        <v>2028</v>
      </c>
      <c r="P10" s="22">
        <f t="shared" si="0"/>
        <v>2029</v>
      </c>
      <c r="Q10" s="22">
        <f t="shared" si="0"/>
        <v>2030</v>
      </c>
      <c r="R10" s="22">
        <f t="shared" si="0"/>
        <v>2031</v>
      </c>
      <c r="S10" s="22">
        <f t="shared" si="0"/>
        <v>2032</v>
      </c>
      <c r="T10" s="22">
        <f t="shared" si="0"/>
        <v>2033</v>
      </c>
      <c r="U10" s="22">
        <f t="shared" si="0"/>
        <v>2034</v>
      </c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</row>
    <row r="11" spans="1:122" s="7" customFormat="1" x14ac:dyDescent="0.15">
      <c r="A11" s="7" t="s">
        <v>66</v>
      </c>
      <c r="B11" s="30">
        <f>SUM(Reports!B3:E3)</f>
        <v>111.97899999999998</v>
      </c>
      <c r="C11" s="30">
        <f>SUM(Reports!F3:I3)</f>
        <v>188.60599999999999</v>
      </c>
      <c r="D11" s="23">
        <f>SUM(Reports!J3:M3)</f>
        <v>310.03100000000001</v>
      </c>
      <c r="E11" s="23">
        <f>SUM(Reports!N3:Q3)</f>
        <v>464.99599999999998</v>
      </c>
      <c r="F11" s="23">
        <f>SUM(Reports!R3:U3)</f>
        <v>642.45100000000002</v>
      </c>
      <c r="G11" s="23">
        <f>F11*1.35</f>
        <v>867.30885000000012</v>
      </c>
      <c r="H11" s="23">
        <f t="shared" ref="H11:K11" si="1">G11*1.35</f>
        <v>1170.8669475000002</v>
      </c>
      <c r="I11" s="23">
        <f t="shared" si="1"/>
        <v>1580.6703791250004</v>
      </c>
      <c r="J11" s="23">
        <f t="shared" si="1"/>
        <v>2133.9050118187506</v>
      </c>
      <c r="K11" s="23">
        <f t="shared" si="1"/>
        <v>2880.7717659553136</v>
      </c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</row>
    <row r="12" spans="1:122" s="7" customFormat="1" x14ac:dyDescent="0.15">
      <c r="A12" s="7" t="s">
        <v>67</v>
      </c>
      <c r="B12" s="30">
        <f>SUM(Reports!B4:E4)</f>
        <v>93.253999999999991</v>
      </c>
      <c r="C12" s="30">
        <f>SUM(Reports!F4:I4)</f>
        <v>200.72399999999999</v>
      </c>
      <c r="D12" s="23">
        <f>SUM(Reports!J4:M4)</f>
        <v>363.27300000000002</v>
      </c>
      <c r="E12" s="23">
        <f>SUM(Reports!N4:Q4)</f>
        <v>608.23299999999995</v>
      </c>
      <c r="F12" s="23">
        <f>SUM(Reports!R4:U4)</f>
        <v>936.03099999999995</v>
      </c>
      <c r="G12" s="23">
        <f>F12*1.45</f>
        <v>1357.2449499999998</v>
      </c>
      <c r="H12" s="23">
        <f t="shared" ref="H12:K12" si="2">G12*1.45</f>
        <v>1968.0051774999997</v>
      </c>
      <c r="I12" s="23">
        <f t="shared" si="2"/>
        <v>2853.6075073749994</v>
      </c>
      <c r="J12" s="23">
        <f t="shared" si="2"/>
        <v>4137.7308856937489</v>
      </c>
      <c r="K12" s="23">
        <f t="shared" si="2"/>
        <v>5999.709784255936</v>
      </c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</row>
    <row r="13" spans="1:122" s="15" customFormat="1" x14ac:dyDescent="0.15">
      <c r="B13" s="66"/>
      <c r="C13" s="66"/>
      <c r="D13" s="66"/>
      <c r="E13" s="66"/>
      <c r="F13" s="66" t="s">
        <v>100</v>
      </c>
      <c r="G13" s="66" t="s">
        <v>110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</row>
    <row r="14" spans="1:122" x14ac:dyDescent="0.15">
      <c r="A14" s="2" t="s">
        <v>4</v>
      </c>
      <c r="B14" s="44">
        <f t="shared" ref="B14:F14" si="3">SUM(B11:B12)</f>
        <v>205.23299999999998</v>
      </c>
      <c r="C14" s="44">
        <f t="shared" si="3"/>
        <v>389.33</v>
      </c>
      <c r="D14" s="44">
        <f t="shared" si="3"/>
        <v>673.30400000000009</v>
      </c>
      <c r="E14" s="44">
        <f t="shared" si="3"/>
        <v>1073.2289999999998</v>
      </c>
      <c r="F14" s="44">
        <f t="shared" si="3"/>
        <v>1578.482</v>
      </c>
      <c r="G14" s="55">
        <f>SUM(G11:G12)</f>
        <v>2224.5537999999997</v>
      </c>
      <c r="H14" s="55">
        <f t="shared" ref="H14:J14" si="4">SUM(H11:H12)</f>
        <v>3138.8721249999999</v>
      </c>
      <c r="I14" s="55">
        <f t="shared" si="4"/>
        <v>4434.2778865</v>
      </c>
      <c r="J14" s="55">
        <f t="shared" si="4"/>
        <v>6271.6358975124995</v>
      </c>
      <c r="K14" s="55">
        <f>SUM(K11:K12)</f>
        <v>8880.4815502112506</v>
      </c>
      <c r="L14" s="29">
        <f>K14*1.1</f>
        <v>9768.5297052323767</v>
      </c>
      <c r="M14" s="29">
        <f t="shared" ref="M14:U14" si="5">L14*1.1</f>
        <v>10745.382675755614</v>
      </c>
      <c r="N14" s="29">
        <f t="shared" si="5"/>
        <v>11819.920943331177</v>
      </c>
      <c r="O14" s="29">
        <f t="shared" si="5"/>
        <v>13001.913037664295</v>
      </c>
      <c r="P14" s="29">
        <f t="shared" si="5"/>
        <v>14302.104341430726</v>
      </c>
      <c r="Q14" s="29">
        <f t="shared" si="5"/>
        <v>15732.314775573799</v>
      </c>
      <c r="R14" s="29">
        <f t="shared" si="5"/>
        <v>17305.546253131179</v>
      </c>
      <c r="S14" s="29">
        <f t="shared" si="5"/>
        <v>19036.100878444297</v>
      </c>
      <c r="T14" s="29">
        <f t="shared" si="5"/>
        <v>20939.710966288727</v>
      </c>
      <c r="U14" s="29">
        <f t="shared" si="5"/>
        <v>23033.6820629176</v>
      </c>
      <c r="V14" s="29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</row>
    <row r="15" spans="1:122" x14ac:dyDescent="0.15">
      <c r="A15" s="1" t="s">
        <v>5</v>
      </c>
      <c r="B15" s="30">
        <f>SUM(Reports!B7:E7)</f>
        <v>93.205000000000013</v>
      </c>
      <c r="C15" s="30">
        <f>SUM(Reports!F7:I7)</f>
        <v>179.83499999999998</v>
      </c>
      <c r="D15" s="23">
        <f>SUM(Reports!J7:M7)</f>
        <v>293.05099999999999</v>
      </c>
      <c r="E15" s="23">
        <f>SUM(Reports!N7:Q7)</f>
        <v>476.96199999999999</v>
      </c>
      <c r="F15" s="23">
        <f>SUM(Reports!R7:U7)</f>
        <v>712.19100000000003</v>
      </c>
      <c r="G15" s="30">
        <f t="shared" ref="G15:H15" si="6">G14-G16</f>
        <v>1003.6903780821065</v>
      </c>
      <c r="H15" s="30">
        <f t="shared" si="6"/>
        <v>1416.2191761298986</v>
      </c>
      <c r="I15" s="30">
        <f t="shared" ref="I15:L15" si="7">I14-I16</f>
        <v>2000.6897780679928</v>
      </c>
      <c r="J15" s="30">
        <f t="shared" si="7"/>
        <v>2829.6823413161028</v>
      </c>
      <c r="K15" s="30">
        <f t="shared" si="7"/>
        <v>4006.7603151169924</v>
      </c>
      <c r="L15" s="30">
        <f t="shared" si="7"/>
        <v>4407.4363466286923</v>
      </c>
      <c r="M15" s="30">
        <f t="shared" ref="M15:Q15" si="8">M14-M16</f>
        <v>4848.1799812915615</v>
      </c>
      <c r="N15" s="30">
        <f t="shared" si="8"/>
        <v>5332.9979794207184</v>
      </c>
      <c r="O15" s="30">
        <f t="shared" si="8"/>
        <v>5866.2977773627899</v>
      </c>
      <c r="P15" s="30">
        <f t="shared" si="8"/>
        <v>6452.9275550990697</v>
      </c>
      <c r="Q15" s="30">
        <f t="shared" si="8"/>
        <v>7098.2203106089764</v>
      </c>
      <c r="R15" s="30">
        <f t="shared" ref="R15:U15" si="9">R14-R16</f>
        <v>7808.0423416698741</v>
      </c>
      <c r="S15" s="30">
        <f t="shared" si="9"/>
        <v>8588.846575836862</v>
      </c>
      <c r="T15" s="30">
        <f t="shared" si="9"/>
        <v>9447.731233420549</v>
      </c>
      <c r="U15" s="30">
        <f t="shared" si="9"/>
        <v>10392.504356762603</v>
      </c>
      <c r="V15" s="30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</row>
    <row r="16" spans="1:122" x14ac:dyDescent="0.15">
      <c r="A16" s="1" t="s">
        <v>6</v>
      </c>
      <c r="B16" s="45">
        <f>B14-B15</f>
        <v>112.02799999999996</v>
      </c>
      <c r="C16" s="45">
        <f>C14-C15</f>
        <v>209.495</v>
      </c>
      <c r="D16" s="45">
        <f>D14-D15</f>
        <v>380.2530000000001</v>
      </c>
      <c r="E16" s="45">
        <f>E14-E15</f>
        <v>596.26699999999983</v>
      </c>
      <c r="F16" s="45">
        <f>F14-F15</f>
        <v>866.29099999999994</v>
      </c>
      <c r="G16" s="30">
        <f t="shared" ref="G16:U16" si="10">G14*F29</f>
        <v>1220.8634219178932</v>
      </c>
      <c r="H16" s="30">
        <f t="shared" si="10"/>
        <v>1722.6529488701012</v>
      </c>
      <c r="I16" s="30">
        <f t="shared" si="10"/>
        <v>2433.5881084320072</v>
      </c>
      <c r="J16" s="30">
        <f t="shared" si="10"/>
        <v>3441.9535561963967</v>
      </c>
      <c r="K16" s="30">
        <f t="shared" si="10"/>
        <v>4873.7212350942582</v>
      </c>
      <c r="L16" s="30">
        <f t="shared" si="10"/>
        <v>5361.0933586036845</v>
      </c>
      <c r="M16" s="30">
        <f t="shared" si="10"/>
        <v>5897.2026944640529</v>
      </c>
      <c r="N16" s="30">
        <f t="shared" si="10"/>
        <v>6486.9229639104587</v>
      </c>
      <c r="O16" s="30">
        <f t="shared" si="10"/>
        <v>7135.6152603015053</v>
      </c>
      <c r="P16" s="30">
        <f t="shared" si="10"/>
        <v>7849.1767863316563</v>
      </c>
      <c r="Q16" s="30">
        <f t="shared" si="10"/>
        <v>8634.0944649648227</v>
      </c>
      <c r="R16" s="30">
        <f t="shared" si="10"/>
        <v>9497.5039114613046</v>
      </c>
      <c r="S16" s="30">
        <f t="shared" si="10"/>
        <v>10447.254302607435</v>
      </c>
      <c r="T16" s="30">
        <f t="shared" si="10"/>
        <v>11491.979732868178</v>
      </c>
      <c r="U16" s="30">
        <f t="shared" si="10"/>
        <v>12641.177706154996</v>
      </c>
      <c r="V16" s="30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</row>
    <row r="17" spans="1:122" x14ac:dyDescent="0.15">
      <c r="A17" s="1" t="s">
        <v>7</v>
      </c>
      <c r="B17" s="30">
        <f>SUM(Reports!B9:E9)</f>
        <v>39.721999999999994</v>
      </c>
      <c r="C17" s="30">
        <f>SUM(Reports!F9:I9)</f>
        <v>74.336000000000013</v>
      </c>
      <c r="D17" s="23">
        <f>SUM(Reports!J9:M9)</f>
        <v>135.99700000000001</v>
      </c>
      <c r="E17" s="23">
        <f>SUM(Reports!N9:Q9)</f>
        <v>230.67400000000001</v>
      </c>
      <c r="F17" s="23">
        <f>SUM(Reports!R9:U9)</f>
        <v>355</v>
      </c>
      <c r="G17" s="30">
        <f t="shared" ref="G17:K17" si="11">F17*1.3</f>
        <v>461.5</v>
      </c>
      <c r="H17" s="30">
        <f t="shared" si="11"/>
        <v>599.95000000000005</v>
      </c>
      <c r="I17" s="30">
        <f t="shared" si="11"/>
        <v>779.93500000000006</v>
      </c>
      <c r="J17" s="30">
        <f t="shared" si="11"/>
        <v>1013.9155000000001</v>
      </c>
      <c r="K17" s="30">
        <f t="shared" si="11"/>
        <v>1318.0901500000002</v>
      </c>
      <c r="L17" s="30">
        <f>K17*1.05</f>
        <v>1383.9946575000004</v>
      </c>
      <c r="M17" s="30">
        <f t="shared" ref="M17:U17" si="12">L17*1.05</f>
        <v>1453.1943903750005</v>
      </c>
      <c r="N17" s="30">
        <f t="shared" si="12"/>
        <v>1525.8541098937505</v>
      </c>
      <c r="O17" s="30">
        <f t="shared" si="12"/>
        <v>1602.1468153884382</v>
      </c>
      <c r="P17" s="30">
        <f t="shared" si="12"/>
        <v>1682.2541561578603</v>
      </c>
      <c r="Q17" s="30">
        <f t="shared" si="12"/>
        <v>1766.3668639657533</v>
      </c>
      <c r="R17" s="30">
        <f t="shared" si="12"/>
        <v>1854.685207164041</v>
      </c>
      <c r="S17" s="30">
        <f t="shared" si="12"/>
        <v>1947.4194675222432</v>
      </c>
      <c r="T17" s="30">
        <f t="shared" si="12"/>
        <v>2044.7904408983554</v>
      </c>
      <c r="U17" s="30">
        <f t="shared" si="12"/>
        <v>2147.0299629432734</v>
      </c>
      <c r="V17" s="30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</row>
    <row r="18" spans="1:122" x14ac:dyDescent="0.15">
      <c r="A18" s="1" t="s">
        <v>8</v>
      </c>
      <c r="B18" s="30">
        <f>SUM(Reports!B10:E10)</f>
        <v>70.373999999999995</v>
      </c>
      <c r="C18" s="30">
        <f>SUM(Reports!F10:I10)</f>
        <v>129.214</v>
      </c>
      <c r="D18" s="23">
        <f>SUM(Reports!J10:M10)</f>
        <v>225.69400000000002</v>
      </c>
      <c r="E18" s="23">
        <f>SUM(Reports!N10:Q10)</f>
        <v>350.06900000000002</v>
      </c>
      <c r="F18" s="23">
        <f>SUM(Reports!R10:U10)</f>
        <v>473</v>
      </c>
      <c r="G18" s="30">
        <f t="shared" ref="G18:K18" si="13">F18*1.3</f>
        <v>614.9</v>
      </c>
      <c r="H18" s="30">
        <f t="shared" si="13"/>
        <v>799.37</v>
      </c>
      <c r="I18" s="30">
        <f t="shared" si="13"/>
        <v>1039.181</v>
      </c>
      <c r="J18" s="30">
        <f t="shared" si="13"/>
        <v>1350.9353000000001</v>
      </c>
      <c r="K18" s="30">
        <f t="shared" si="13"/>
        <v>1756.2158900000002</v>
      </c>
      <c r="L18" s="30">
        <f>K18*1.1</f>
        <v>1931.8374790000003</v>
      </c>
      <c r="M18" s="30">
        <f t="shared" ref="M18:U18" si="14">L18*1.1</f>
        <v>2125.0212269000003</v>
      </c>
      <c r="N18" s="30">
        <f t="shared" si="14"/>
        <v>2337.5233495900006</v>
      </c>
      <c r="O18" s="30">
        <f t="shared" si="14"/>
        <v>2571.2756845490007</v>
      </c>
      <c r="P18" s="30">
        <f t="shared" si="14"/>
        <v>2828.4032530039012</v>
      </c>
      <c r="Q18" s="30">
        <f t="shared" si="14"/>
        <v>3111.2435783042915</v>
      </c>
      <c r="R18" s="30">
        <f t="shared" si="14"/>
        <v>3422.3679361347208</v>
      </c>
      <c r="S18" s="30">
        <f t="shared" si="14"/>
        <v>3764.6047297481932</v>
      </c>
      <c r="T18" s="30">
        <f t="shared" si="14"/>
        <v>4141.0652027230126</v>
      </c>
      <c r="U18" s="30">
        <f t="shared" si="14"/>
        <v>4555.1717229953147</v>
      </c>
      <c r="V18" s="30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</row>
    <row r="19" spans="1:122" x14ac:dyDescent="0.15">
      <c r="A19" s="1" t="s">
        <v>9</v>
      </c>
      <c r="B19" s="30">
        <f>SUM(Reports!B11:E11)</f>
        <v>19.687999999999999</v>
      </c>
      <c r="C19" s="30">
        <f>SUM(Reports!F11:I11)</f>
        <v>43.11</v>
      </c>
      <c r="D19" s="23">
        <f>SUM(Reports!J11:M11)</f>
        <v>67.719000000000008</v>
      </c>
      <c r="E19" s="23">
        <f>SUM(Reports!N11:Q11)</f>
        <v>107.44400000000002</v>
      </c>
      <c r="F19" s="23">
        <f>SUM(Reports!R11:U11)</f>
        <v>179</v>
      </c>
      <c r="G19" s="30">
        <f t="shared" ref="G19" si="15">F19*1.2</f>
        <v>214.79999999999998</v>
      </c>
      <c r="H19" s="30">
        <f t="shared" ref="H19" si="16">G19*1.2</f>
        <v>257.76</v>
      </c>
      <c r="I19" s="30">
        <f t="shared" ref="I19:K19" si="17">H19*1.2</f>
        <v>309.31199999999995</v>
      </c>
      <c r="J19" s="30">
        <f t="shared" si="17"/>
        <v>371.17439999999993</v>
      </c>
      <c r="K19" s="30">
        <f t="shared" si="17"/>
        <v>445.40927999999991</v>
      </c>
      <c r="L19" s="30">
        <f t="shared" ref="L19:U19" si="18">K19*0.98</f>
        <v>436.50109439999989</v>
      </c>
      <c r="M19" s="30">
        <f t="shared" si="18"/>
        <v>427.77107251199988</v>
      </c>
      <c r="N19" s="30">
        <f t="shared" si="18"/>
        <v>419.21565106175984</v>
      </c>
      <c r="O19" s="30">
        <f t="shared" si="18"/>
        <v>410.83133804052466</v>
      </c>
      <c r="P19" s="30">
        <f t="shared" si="18"/>
        <v>402.61471127971413</v>
      </c>
      <c r="Q19" s="30">
        <f t="shared" si="18"/>
        <v>394.56241705411986</v>
      </c>
      <c r="R19" s="30">
        <f t="shared" si="18"/>
        <v>386.67116871303745</v>
      </c>
      <c r="S19" s="30">
        <f t="shared" si="18"/>
        <v>378.93774533877666</v>
      </c>
      <c r="T19" s="30">
        <f t="shared" si="18"/>
        <v>371.35899043200112</v>
      </c>
      <c r="U19" s="30">
        <f t="shared" si="18"/>
        <v>363.93181062336112</v>
      </c>
      <c r="V19" s="30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</row>
    <row r="20" spans="1:122" x14ac:dyDescent="0.15">
      <c r="A20" s="1" t="s">
        <v>10</v>
      </c>
      <c r="B20" s="45">
        <f>SUM(B17:B19)</f>
        <v>129.78399999999999</v>
      </c>
      <c r="C20" s="45">
        <f>SUM(C17:C19)</f>
        <v>246.66000000000003</v>
      </c>
      <c r="D20" s="45">
        <f>SUM(D17:D19)</f>
        <v>429.41</v>
      </c>
      <c r="E20" s="45">
        <f>SUM(E17:E19)</f>
        <v>688.18700000000013</v>
      </c>
      <c r="F20" s="45">
        <f>SUM(F17:F19)</f>
        <v>1007</v>
      </c>
      <c r="G20" s="30">
        <f t="shared" ref="G20:H20" si="19">SUM(G17:G19)</f>
        <v>1291.2</v>
      </c>
      <c r="H20" s="30">
        <f t="shared" si="19"/>
        <v>1657.0800000000002</v>
      </c>
      <c r="I20" s="30">
        <f t="shared" ref="I20:L20" si="20">SUM(I17:I19)</f>
        <v>2128.4279999999999</v>
      </c>
      <c r="J20" s="30">
        <f t="shared" si="20"/>
        <v>2736.0252</v>
      </c>
      <c r="K20" s="30">
        <f t="shared" si="20"/>
        <v>3519.7153200000002</v>
      </c>
      <c r="L20" s="30">
        <f t="shared" si="20"/>
        <v>3752.3332309000007</v>
      </c>
      <c r="M20" s="30">
        <f t="shared" ref="M20:Q20" si="21">SUM(M17:M19)</f>
        <v>4005.9866897870011</v>
      </c>
      <c r="N20" s="30">
        <f t="shared" si="21"/>
        <v>4282.5931105455111</v>
      </c>
      <c r="O20" s="30">
        <f t="shared" si="21"/>
        <v>4584.2538379779635</v>
      </c>
      <c r="P20" s="30">
        <f t="shared" si="21"/>
        <v>4913.2721204414756</v>
      </c>
      <c r="Q20" s="30">
        <f t="shared" si="21"/>
        <v>5272.1728593241642</v>
      </c>
      <c r="R20" s="30">
        <f t="shared" ref="R20:U20" si="22">SUM(R17:R19)</f>
        <v>5663.7243120117992</v>
      </c>
      <c r="S20" s="30">
        <f t="shared" si="22"/>
        <v>6090.9619426092131</v>
      </c>
      <c r="T20" s="30">
        <f t="shared" si="22"/>
        <v>6557.2146340533691</v>
      </c>
      <c r="U20" s="30">
        <f t="shared" si="22"/>
        <v>7066.133496561949</v>
      </c>
      <c r="V20" s="30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</row>
    <row r="21" spans="1:122" x14ac:dyDescent="0.15">
      <c r="A21" s="1" t="s">
        <v>11</v>
      </c>
      <c r="B21" s="45">
        <f>B16-B20</f>
        <v>-17.756000000000029</v>
      </c>
      <c r="C21" s="45">
        <f>C16-C20</f>
        <v>-37.16500000000002</v>
      </c>
      <c r="D21" s="45">
        <f>D16-D20</f>
        <v>-49.156999999999925</v>
      </c>
      <c r="E21" s="45">
        <f>E16-E20</f>
        <v>-91.9200000000003</v>
      </c>
      <c r="F21" s="45">
        <f>F16-F20</f>
        <v>-140.70900000000006</v>
      </c>
      <c r="G21" s="30">
        <f t="shared" ref="G21:H21" si="23">G16-G20</f>
        <v>-70.336578082106826</v>
      </c>
      <c r="H21" s="30">
        <f t="shared" si="23"/>
        <v>65.572948870101072</v>
      </c>
      <c r="I21" s="30">
        <f t="shared" ref="I21:L21" si="24">I16-I20</f>
        <v>305.16010843200729</v>
      </c>
      <c r="J21" s="30">
        <f t="shared" si="24"/>
        <v>705.92835619639663</v>
      </c>
      <c r="K21" s="30">
        <f t="shared" si="24"/>
        <v>1354.0059150942579</v>
      </c>
      <c r="L21" s="30">
        <f t="shared" si="24"/>
        <v>1608.7601277036838</v>
      </c>
      <c r="M21" s="30">
        <f t="shared" ref="M21:Q21" si="25">M16-M20</f>
        <v>1891.2160046770518</v>
      </c>
      <c r="N21" s="30">
        <f t="shared" si="25"/>
        <v>2204.3298533649477</v>
      </c>
      <c r="O21" s="30">
        <f t="shared" si="25"/>
        <v>2551.3614223235418</v>
      </c>
      <c r="P21" s="30">
        <f t="shared" si="25"/>
        <v>2935.9046658901807</v>
      </c>
      <c r="Q21" s="30">
        <f t="shared" si="25"/>
        <v>3361.9216056406585</v>
      </c>
      <c r="R21" s="30">
        <f t="shared" ref="R21:U21" si="26">R16-R20</f>
        <v>3833.7795994495054</v>
      </c>
      <c r="S21" s="30">
        <f t="shared" si="26"/>
        <v>4356.2923599982214</v>
      </c>
      <c r="T21" s="30">
        <f t="shared" si="26"/>
        <v>4934.7650988148089</v>
      </c>
      <c r="U21" s="30">
        <f t="shared" si="26"/>
        <v>5575.0442095930475</v>
      </c>
      <c r="V21" s="30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</row>
    <row r="22" spans="1:122" x14ac:dyDescent="0.15">
      <c r="A22" s="1" t="s">
        <v>12</v>
      </c>
      <c r="B22" s="30">
        <f>SUM(Reports!B14:E14)</f>
        <v>-1.034</v>
      </c>
      <c r="C22" s="30">
        <f>SUM(Reports!F14:I14)</f>
        <v>1.8099999999999998</v>
      </c>
      <c r="D22" s="23">
        <f>SUM(Reports!J14:M14)</f>
        <v>17.834</v>
      </c>
      <c r="E22" s="23">
        <f>SUM(Reports!N14:Q14)</f>
        <v>22.236000000000001</v>
      </c>
      <c r="F22" s="23">
        <f>SUM(Reports!R14:U14)</f>
        <v>59</v>
      </c>
      <c r="G22" s="30">
        <f t="shared" ref="G22:U22" si="27">F39*$F$3</f>
        <v>122.75</v>
      </c>
      <c r="H22" s="30">
        <f t="shared" si="27"/>
        <v>124.84653687671573</v>
      </c>
      <c r="I22" s="30">
        <f t="shared" si="27"/>
        <v>132.46331630658841</v>
      </c>
      <c r="J22" s="30">
        <f t="shared" si="27"/>
        <v>149.96825329613225</v>
      </c>
      <c r="K22" s="30">
        <f t="shared" si="27"/>
        <v>184.2041176758334</v>
      </c>
      <c r="L22" s="30">
        <f t="shared" si="27"/>
        <v>245.73251898663705</v>
      </c>
      <c r="M22" s="30">
        <f t="shared" si="27"/>
        <v>319.91222485424987</v>
      </c>
      <c r="N22" s="30">
        <f t="shared" si="27"/>
        <v>408.35735403550194</v>
      </c>
      <c r="O22" s="30">
        <f t="shared" si="27"/>
        <v>512.86484233151987</v>
      </c>
      <c r="P22" s="30">
        <f t="shared" si="27"/>
        <v>635.43389291772246</v>
      </c>
      <c r="Q22" s="30">
        <f t="shared" si="27"/>
        <v>778.28743527003849</v>
      </c>
      <c r="R22" s="30">
        <f t="shared" si="27"/>
        <v>943.89579690646633</v>
      </c>
      <c r="S22" s="30">
        <f t="shared" si="27"/>
        <v>1135.0028127607052</v>
      </c>
      <c r="T22" s="30">
        <f t="shared" si="27"/>
        <v>1354.6546196710622</v>
      </c>
      <c r="U22" s="30">
        <f t="shared" si="27"/>
        <v>1606.2314084104969</v>
      </c>
      <c r="V22" s="30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</row>
    <row r="23" spans="1:122" x14ac:dyDescent="0.15">
      <c r="A23" s="1" t="s">
        <v>13</v>
      </c>
      <c r="B23" s="45">
        <f>SUM(Reports!B15:E15)</f>
        <v>-18.789999999999992</v>
      </c>
      <c r="C23" s="45">
        <f>C21+C22</f>
        <v>-35.355000000000018</v>
      </c>
      <c r="D23" s="45">
        <f>D21+D22</f>
        <v>-31.322999999999926</v>
      </c>
      <c r="E23" s="45">
        <f>E21+E22</f>
        <v>-69.684000000000296</v>
      </c>
      <c r="F23" s="45">
        <f>F21+F22</f>
        <v>-81.70900000000006</v>
      </c>
      <c r="G23" s="30">
        <f t="shared" ref="G23:H23" si="28">G21+G22</f>
        <v>52.413421917893174</v>
      </c>
      <c r="H23" s="30">
        <f t="shared" si="28"/>
        <v>190.4194857468168</v>
      </c>
      <c r="I23" s="30">
        <f t="shared" ref="I23:L23" si="29">I21+I22</f>
        <v>437.6234247385957</v>
      </c>
      <c r="J23" s="30">
        <f t="shared" si="29"/>
        <v>855.89660949252891</v>
      </c>
      <c r="K23" s="30">
        <f t="shared" si="29"/>
        <v>1538.2100327700914</v>
      </c>
      <c r="L23" s="30">
        <f t="shared" si="29"/>
        <v>1854.4926466903207</v>
      </c>
      <c r="M23" s="30">
        <f t="shared" ref="M23:Q23" si="30">M21+M22</f>
        <v>2211.1282295313017</v>
      </c>
      <c r="N23" s="30">
        <f t="shared" si="30"/>
        <v>2612.6872074004496</v>
      </c>
      <c r="O23" s="30">
        <f t="shared" si="30"/>
        <v>3064.2262646550616</v>
      </c>
      <c r="P23" s="30">
        <f t="shared" si="30"/>
        <v>3571.3385588079032</v>
      </c>
      <c r="Q23" s="30">
        <f t="shared" si="30"/>
        <v>4140.2090409106968</v>
      </c>
      <c r="R23" s="30">
        <f t="shared" ref="R23:U23" si="31">R21+R22</f>
        <v>4777.6753963559713</v>
      </c>
      <c r="S23" s="30">
        <f t="shared" si="31"/>
        <v>5491.2951727589261</v>
      </c>
      <c r="T23" s="30">
        <f t="shared" si="31"/>
        <v>6289.4197184858713</v>
      </c>
      <c r="U23" s="30">
        <f t="shared" si="31"/>
        <v>7181.2756180035449</v>
      </c>
      <c r="V23" s="30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</row>
    <row r="24" spans="1:122" x14ac:dyDescent="0.15">
      <c r="A24" s="1" t="s">
        <v>14</v>
      </c>
      <c r="B24" s="30">
        <f>SUM(Reports!B16:E16)</f>
        <v>0</v>
      </c>
      <c r="C24" s="30">
        <f>SUM(Reports!F16:I16)</f>
        <v>0.21099999999999999</v>
      </c>
      <c r="D24" s="23">
        <f>SUM(Reports!J16:M16)</f>
        <v>0</v>
      </c>
      <c r="E24" s="23">
        <f>SUM(Reports!N16:Q16)</f>
        <v>0</v>
      </c>
      <c r="F24" s="23">
        <f>SUM(Reports!R16:U16)</f>
        <v>29</v>
      </c>
      <c r="G24" s="30">
        <f t="shared" ref="G24:Q24" si="32">G23*0.2</f>
        <v>10.482684383578636</v>
      </c>
      <c r="H24" s="30">
        <f t="shared" si="32"/>
        <v>38.083897149363359</v>
      </c>
      <c r="I24" s="30">
        <f t="shared" si="32"/>
        <v>87.524684947719152</v>
      </c>
      <c r="J24" s="30">
        <f t="shared" si="32"/>
        <v>171.1793218985058</v>
      </c>
      <c r="K24" s="30">
        <f t="shared" si="32"/>
        <v>307.64200655401828</v>
      </c>
      <c r="L24" s="30">
        <f t="shared" si="32"/>
        <v>370.89852933806418</v>
      </c>
      <c r="M24" s="30">
        <f t="shared" si="32"/>
        <v>442.22564590626035</v>
      </c>
      <c r="N24" s="30">
        <f t="shared" si="32"/>
        <v>522.53744148008991</v>
      </c>
      <c r="O24" s="30">
        <f t="shared" si="32"/>
        <v>612.8452529310124</v>
      </c>
      <c r="P24" s="30">
        <f t="shared" si="32"/>
        <v>714.2677117615807</v>
      </c>
      <c r="Q24" s="30">
        <f t="shared" si="32"/>
        <v>828.04180818213945</v>
      </c>
      <c r="R24" s="30">
        <f t="shared" ref="R24:U24" si="33">R23*0.2</f>
        <v>955.53507927119426</v>
      </c>
      <c r="S24" s="30">
        <f t="shared" si="33"/>
        <v>1098.2590345517854</v>
      </c>
      <c r="T24" s="30">
        <f t="shared" si="33"/>
        <v>1257.8839436971743</v>
      </c>
      <c r="U24" s="30">
        <f t="shared" si="33"/>
        <v>1436.2551236007091</v>
      </c>
      <c r="V24" s="30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</row>
    <row r="25" spans="1:122" s="2" customFormat="1" x14ac:dyDescent="0.15">
      <c r="A25" s="2" t="s">
        <v>15</v>
      </c>
      <c r="B25" s="44">
        <f>B23-B24</f>
        <v>-18.789999999999992</v>
      </c>
      <c r="C25" s="44">
        <f>C23-C24</f>
        <v>-35.566000000000017</v>
      </c>
      <c r="D25" s="44">
        <f>D23-D24</f>
        <v>-31.322999999999926</v>
      </c>
      <c r="E25" s="44">
        <f t="shared" ref="E25" si="34">E23-E24</f>
        <v>-69.684000000000296</v>
      </c>
      <c r="F25" s="44">
        <f t="shared" ref="F25:H25" si="35">F23-F24</f>
        <v>-110.70900000000006</v>
      </c>
      <c r="G25" s="44">
        <f t="shared" si="35"/>
        <v>41.930737534314538</v>
      </c>
      <c r="H25" s="44">
        <f t="shared" si="35"/>
        <v>152.33558859745344</v>
      </c>
      <c r="I25" s="44">
        <f t="shared" ref="I25:L25" si="36">I23-I24</f>
        <v>350.09873979087655</v>
      </c>
      <c r="J25" s="44">
        <f t="shared" si="36"/>
        <v>684.71728759402311</v>
      </c>
      <c r="K25" s="44">
        <f t="shared" si="36"/>
        <v>1230.5680262160731</v>
      </c>
      <c r="L25" s="44">
        <f t="shared" si="36"/>
        <v>1483.5941173522565</v>
      </c>
      <c r="M25" s="44">
        <f t="shared" ref="M25:Q25" si="37">M23-M24</f>
        <v>1768.9025836250414</v>
      </c>
      <c r="N25" s="44">
        <f t="shared" si="37"/>
        <v>2090.1497659203596</v>
      </c>
      <c r="O25" s="44">
        <f t="shared" si="37"/>
        <v>2451.3810117240491</v>
      </c>
      <c r="P25" s="44">
        <f t="shared" si="37"/>
        <v>2857.0708470463223</v>
      </c>
      <c r="Q25" s="44">
        <f t="shared" si="37"/>
        <v>3312.1672327285573</v>
      </c>
      <c r="R25" s="44">
        <f t="shared" ref="R25:U25" si="38">R23-R24</f>
        <v>3822.1403170847771</v>
      </c>
      <c r="S25" s="44">
        <f t="shared" si="38"/>
        <v>4393.0361382071405</v>
      </c>
      <c r="T25" s="44">
        <f t="shared" si="38"/>
        <v>5031.5357747886974</v>
      </c>
      <c r="U25" s="44">
        <f t="shared" si="38"/>
        <v>5745.0204944028355</v>
      </c>
      <c r="V25" s="44">
        <f t="shared" ref="V25:CD25" si="39">U25*($F$2+1)</f>
        <v>5716.2953919308211</v>
      </c>
      <c r="W25" s="44">
        <f t="shared" si="39"/>
        <v>5687.7139149711666</v>
      </c>
      <c r="X25" s="44">
        <f t="shared" si="39"/>
        <v>5659.2753453963105</v>
      </c>
      <c r="Y25" s="44">
        <f t="shared" si="39"/>
        <v>5630.9789686693293</v>
      </c>
      <c r="Z25" s="44">
        <f t="shared" si="39"/>
        <v>5602.8240738259829</v>
      </c>
      <c r="AA25" s="44">
        <f t="shared" si="39"/>
        <v>5574.8099534568528</v>
      </c>
      <c r="AB25" s="44">
        <f t="shared" si="39"/>
        <v>5546.9359036895685</v>
      </c>
      <c r="AC25" s="44">
        <f t="shared" si="39"/>
        <v>5519.2012241711209</v>
      </c>
      <c r="AD25" s="44">
        <f t="shared" si="39"/>
        <v>5491.6052180502656</v>
      </c>
      <c r="AE25" s="44">
        <f t="shared" si="39"/>
        <v>5464.1471919600144</v>
      </c>
      <c r="AF25" s="44">
        <f t="shared" si="39"/>
        <v>5436.8264560002144</v>
      </c>
      <c r="AG25" s="44">
        <f t="shared" si="39"/>
        <v>5409.6423237202134</v>
      </c>
      <c r="AH25" s="44">
        <f t="shared" si="39"/>
        <v>5382.5941121016122</v>
      </c>
      <c r="AI25" s="44">
        <f t="shared" si="39"/>
        <v>5355.6811415411039</v>
      </c>
      <c r="AJ25" s="44">
        <f t="shared" si="39"/>
        <v>5328.9027358333988</v>
      </c>
      <c r="AK25" s="44">
        <f t="shared" si="39"/>
        <v>5302.2582221542316</v>
      </c>
      <c r="AL25" s="44">
        <f t="shared" si="39"/>
        <v>5275.7469310434608</v>
      </c>
      <c r="AM25" s="44">
        <f t="shared" si="39"/>
        <v>5249.3681963882436</v>
      </c>
      <c r="AN25" s="44">
        <f t="shared" si="39"/>
        <v>5223.1213554063024</v>
      </c>
      <c r="AO25" s="44">
        <f t="shared" si="39"/>
        <v>5197.0057486292708</v>
      </c>
      <c r="AP25" s="44">
        <f t="shared" si="39"/>
        <v>5171.0207198861244</v>
      </c>
      <c r="AQ25" s="44">
        <f t="shared" si="39"/>
        <v>5145.1656162866939</v>
      </c>
      <c r="AR25" s="44">
        <f t="shared" si="39"/>
        <v>5119.4397882052608</v>
      </c>
      <c r="AS25" s="44">
        <f t="shared" si="39"/>
        <v>5093.8425892642344</v>
      </c>
      <c r="AT25" s="44">
        <f t="shared" si="39"/>
        <v>5068.3733763179134</v>
      </c>
      <c r="AU25" s="44">
        <f t="shared" si="39"/>
        <v>5043.0315094363241</v>
      </c>
      <c r="AV25" s="44">
        <f t="shared" si="39"/>
        <v>5017.8163518891424</v>
      </c>
      <c r="AW25" s="44">
        <f t="shared" si="39"/>
        <v>4992.727270129697</v>
      </c>
      <c r="AX25" s="44">
        <f t="shared" si="39"/>
        <v>4967.7636337790482</v>
      </c>
      <c r="AY25" s="44">
        <f t="shared" si="39"/>
        <v>4942.924815610153</v>
      </c>
      <c r="AZ25" s="44">
        <f t="shared" si="39"/>
        <v>4918.2101915321018</v>
      </c>
      <c r="BA25" s="44">
        <f t="shared" si="39"/>
        <v>4893.6191405744412</v>
      </c>
      <c r="BB25" s="44">
        <f t="shared" si="39"/>
        <v>4869.151044871569</v>
      </c>
      <c r="BC25" s="44">
        <f t="shared" si="39"/>
        <v>4844.8052896472109</v>
      </c>
      <c r="BD25" s="44">
        <f t="shared" si="39"/>
        <v>4820.5812631989747</v>
      </c>
      <c r="BE25" s="44">
        <f t="shared" si="39"/>
        <v>4796.4783568829798</v>
      </c>
      <c r="BF25" s="44">
        <f t="shared" si="39"/>
        <v>4772.4959650985647</v>
      </c>
      <c r="BG25" s="44">
        <f t="shared" si="39"/>
        <v>4748.6334852730715</v>
      </c>
      <c r="BH25" s="44">
        <f t="shared" si="39"/>
        <v>4724.8903178467062</v>
      </c>
      <c r="BI25" s="44">
        <f t="shared" si="39"/>
        <v>4701.2658662574731</v>
      </c>
      <c r="BJ25" s="44">
        <f t="shared" si="39"/>
        <v>4677.7595369261853</v>
      </c>
      <c r="BK25" s="44">
        <f t="shared" si="39"/>
        <v>4654.3707392415545</v>
      </c>
      <c r="BL25" s="44">
        <f t="shared" si="39"/>
        <v>4631.098885545347</v>
      </c>
      <c r="BM25" s="44">
        <f t="shared" si="39"/>
        <v>4607.9433911176202</v>
      </c>
      <c r="BN25" s="44">
        <f t="shared" si="39"/>
        <v>4584.9036741620321</v>
      </c>
      <c r="BO25" s="44">
        <f t="shared" si="39"/>
        <v>4561.9791557912222</v>
      </c>
      <c r="BP25" s="44">
        <f t="shared" si="39"/>
        <v>4539.169260012266</v>
      </c>
      <c r="BQ25" s="44">
        <f t="shared" si="39"/>
        <v>4516.473413712205</v>
      </c>
      <c r="BR25" s="44">
        <f t="shared" si="39"/>
        <v>4493.8910466436437</v>
      </c>
      <c r="BS25" s="44">
        <f t="shared" si="39"/>
        <v>4471.4215914104252</v>
      </c>
      <c r="BT25" s="44">
        <f t="shared" si="39"/>
        <v>4449.0644834533732</v>
      </c>
      <c r="BU25" s="44">
        <f t="shared" si="39"/>
        <v>4426.8191610361064</v>
      </c>
      <c r="BV25" s="44">
        <f t="shared" si="39"/>
        <v>4404.6850652309258</v>
      </c>
      <c r="BW25" s="44">
        <f t="shared" si="39"/>
        <v>4382.6616399047716</v>
      </c>
      <c r="BX25" s="44">
        <f t="shared" si="39"/>
        <v>4360.7483317052474</v>
      </c>
      <c r="BY25" s="44">
        <f t="shared" si="39"/>
        <v>4338.9445900467208</v>
      </c>
      <c r="BZ25" s="44">
        <f t="shared" si="39"/>
        <v>4317.2498670964869</v>
      </c>
      <c r="CA25" s="44">
        <f t="shared" si="39"/>
        <v>4295.6636177610044</v>
      </c>
      <c r="CB25" s="44">
        <f t="shared" si="39"/>
        <v>4274.1852996721991</v>
      </c>
      <c r="CC25" s="44">
        <f t="shared" si="39"/>
        <v>4252.8143731738382</v>
      </c>
      <c r="CD25" s="44">
        <f t="shared" si="39"/>
        <v>4231.5503013079688</v>
      </c>
      <c r="CE25" s="44">
        <f t="shared" ref="CE25:DR25" si="40">CD25*($F$2+1)</f>
        <v>4210.3925498014287</v>
      </c>
      <c r="CF25" s="44">
        <f t="shared" si="40"/>
        <v>4189.3405870524211</v>
      </c>
      <c r="CG25" s="44">
        <f t="shared" si="40"/>
        <v>4168.3938841171594</v>
      </c>
      <c r="CH25" s="44">
        <f t="shared" si="40"/>
        <v>4147.5519146965735</v>
      </c>
      <c r="CI25" s="44">
        <f t="shared" si="40"/>
        <v>4126.814155123091</v>
      </c>
      <c r="CJ25" s="44">
        <f t="shared" si="40"/>
        <v>4106.1800843474757</v>
      </c>
      <c r="CK25" s="44">
        <f t="shared" si="40"/>
        <v>4085.6491839257383</v>
      </c>
      <c r="CL25" s="44">
        <f t="shared" si="40"/>
        <v>4065.2209380061095</v>
      </c>
      <c r="CM25" s="44">
        <f t="shared" si="40"/>
        <v>4044.8948333160788</v>
      </c>
      <c r="CN25" s="44">
        <f t="shared" si="40"/>
        <v>4024.6703591494984</v>
      </c>
      <c r="CO25" s="44">
        <f t="shared" si="40"/>
        <v>4004.5470073537508</v>
      </c>
      <c r="CP25" s="44">
        <f t="shared" si="40"/>
        <v>3984.5242723169822</v>
      </c>
      <c r="CQ25" s="44">
        <f t="shared" si="40"/>
        <v>3964.6016509553974</v>
      </c>
      <c r="CR25" s="44">
        <f t="shared" si="40"/>
        <v>3944.7786427006204</v>
      </c>
      <c r="CS25" s="44">
        <f t="shared" si="40"/>
        <v>3925.0547494871171</v>
      </c>
      <c r="CT25" s="44">
        <f t="shared" si="40"/>
        <v>3905.4294757396815</v>
      </c>
      <c r="CU25" s="44">
        <f t="shared" si="40"/>
        <v>3885.9023283609831</v>
      </c>
      <c r="CV25" s="44">
        <f t="shared" si="40"/>
        <v>3866.4728167191784</v>
      </c>
      <c r="CW25" s="44">
        <f t="shared" si="40"/>
        <v>3847.1404526355823</v>
      </c>
      <c r="CX25" s="44">
        <f t="shared" si="40"/>
        <v>3827.9047503724041</v>
      </c>
      <c r="CY25" s="44">
        <f t="shared" si="40"/>
        <v>3808.7652266205423</v>
      </c>
      <c r="CZ25" s="44">
        <f t="shared" si="40"/>
        <v>3789.7214004874395</v>
      </c>
      <c r="DA25" s="44">
        <f t="shared" si="40"/>
        <v>3770.7727934850022</v>
      </c>
      <c r="DB25" s="44">
        <f t="shared" si="40"/>
        <v>3751.918929517577</v>
      </c>
      <c r="DC25" s="44">
        <f t="shared" si="40"/>
        <v>3733.1593348699889</v>
      </c>
      <c r="DD25" s="44">
        <f t="shared" si="40"/>
        <v>3714.4935381956388</v>
      </c>
      <c r="DE25" s="44">
        <f t="shared" si="40"/>
        <v>3695.9210705046607</v>
      </c>
      <c r="DF25" s="44">
        <f t="shared" si="40"/>
        <v>3677.4414651521374</v>
      </c>
      <c r="DG25" s="44">
        <f t="shared" si="40"/>
        <v>3659.0542578263767</v>
      </c>
      <c r="DH25" s="44">
        <f t="shared" si="40"/>
        <v>3640.7589865372447</v>
      </c>
      <c r="DI25" s="44">
        <f t="shared" si="40"/>
        <v>3622.5551916045583</v>
      </c>
      <c r="DJ25" s="44">
        <f t="shared" si="40"/>
        <v>3604.4424156465357</v>
      </c>
      <c r="DK25" s="44">
        <f t="shared" si="40"/>
        <v>3586.4202035683029</v>
      </c>
      <c r="DL25" s="44">
        <f t="shared" si="40"/>
        <v>3568.4881025504615</v>
      </c>
      <c r="DM25" s="44">
        <f t="shared" si="40"/>
        <v>3550.6456620377089</v>
      </c>
      <c r="DN25" s="44">
        <f t="shared" si="40"/>
        <v>3532.8924337275203</v>
      </c>
      <c r="DO25" s="44">
        <f t="shared" si="40"/>
        <v>3515.2279715588825</v>
      </c>
      <c r="DP25" s="44">
        <f t="shared" si="40"/>
        <v>3497.6518317010882</v>
      </c>
      <c r="DQ25" s="44">
        <f t="shared" si="40"/>
        <v>3480.1635725425826</v>
      </c>
      <c r="DR25" s="44">
        <f t="shared" si="40"/>
        <v>3462.7627546798699</v>
      </c>
    </row>
    <row r="26" spans="1:122" x14ac:dyDescent="0.15">
      <c r="A26" s="1" t="s">
        <v>16</v>
      </c>
      <c r="B26" s="49">
        <f>B25/B27</f>
        <v>-0.24090979024565354</v>
      </c>
      <c r="C26" s="49">
        <f>C25/C27</f>
        <v>-0.39900378069712933</v>
      </c>
      <c r="D26" s="49">
        <f>D25/D27</f>
        <v>-0.31464024589974404</v>
      </c>
      <c r="E26" s="49">
        <f>E25/E27</f>
        <v>-0.64681230846954885</v>
      </c>
      <c r="F26" s="49">
        <f>F25/F27</f>
        <v>-0.97961963506241967</v>
      </c>
      <c r="G26" s="31">
        <f t="shared" ref="G26:H26" si="41">G25/G27</f>
        <v>0.37102831568583666</v>
      </c>
      <c r="H26" s="31">
        <f t="shared" si="41"/>
        <v>1.3479566585269143</v>
      </c>
      <c r="I26" s="31">
        <f t="shared" ref="I26:L26" si="42">I25/I27</f>
        <v>3.0978836382746779</v>
      </c>
      <c r="J26" s="31">
        <f t="shared" si="42"/>
        <v>6.0587892528501426</v>
      </c>
      <c r="K26" s="31">
        <f t="shared" si="42"/>
        <v>10.888803988485769</v>
      </c>
      <c r="L26" s="31">
        <f t="shared" si="42"/>
        <v>13.127730607460725</v>
      </c>
      <c r="M26" s="31">
        <f t="shared" ref="M26:Q26" si="43">M25/M27</f>
        <v>15.65231104455585</v>
      </c>
      <c r="N26" s="31">
        <f t="shared" si="43"/>
        <v>18.494898796996662</v>
      </c>
      <c r="O26" s="31">
        <f t="shared" si="43"/>
        <v>21.691289525730131</v>
      </c>
      <c r="P26" s="31">
        <f t="shared" si="43"/>
        <v>25.281076520707398</v>
      </c>
      <c r="Q26" s="31">
        <f t="shared" si="43"/>
        <v>29.30804230723114</v>
      </c>
      <c r="R26" s="31">
        <f t="shared" ref="R26:U26" si="44">R25/R27</f>
        <v>33.820590038569115</v>
      </c>
      <c r="S26" s="31">
        <f t="shared" si="44"/>
        <v>38.872218686163713</v>
      </c>
      <c r="T26" s="31">
        <f t="shared" si="44"/>
        <v>44.522046441590206</v>
      </c>
      <c r="U26" s="31">
        <f t="shared" si="44"/>
        <v>50.835387187609179</v>
      </c>
      <c r="V26" s="31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</row>
    <row r="27" spans="1:122" x14ac:dyDescent="0.15">
      <c r="A27" s="1" t="s">
        <v>17</v>
      </c>
      <c r="B27" s="30">
        <f>Reports!E19</f>
        <v>77.995999999999995</v>
      </c>
      <c r="C27" s="30">
        <f>Reports!I19</f>
        <v>89.137</v>
      </c>
      <c r="D27" s="30">
        <f>Reports!M19</f>
        <v>99.551790999999994</v>
      </c>
      <c r="E27" s="30">
        <f>Reports!Q19</f>
        <v>107.734499</v>
      </c>
      <c r="F27" s="30">
        <f>AVERAGE(Reports!R19:U19)</f>
        <v>113.0122305</v>
      </c>
      <c r="G27" s="30">
        <f t="shared" ref="G27" si="45">F27</f>
        <v>113.0122305</v>
      </c>
      <c r="H27" s="30">
        <f t="shared" ref="H27" si="46">G27</f>
        <v>113.0122305</v>
      </c>
      <c r="I27" s="30">
        <f t="shared" ref="I27" si="47">H27</f>
        <v>113.0122305</v>
      </c>
      <c r="J27" s="30">
        <f t="shared" ref="J27" si="48">I27</f>
        <v>113.0122305</v>
      </c>
      <c r="K27" s="30">
        <f t="shared" ref="K27" si="49">J27</f>
        <v>113.0122305</v>
      </c>
      <c r="L27" s="30">
        <f t="shared" ref="L27" si="50">K27</f>
        <v>113.0122305</v>
      </c>
      <c r="M27" s="30">
        <f t="shared" ref="M27" si="51">L27</f>
        <v>113.0122305</v>
      </c>
      <c r="N27" s="30">
        <f t="shared" ref="N27" si="52">M27</f>
        <v>113.0122305</v>
      </c>
      <c r="O27" s="30">
        <f t="shared" ref="O27" si="53">N27</f>
        <v>113.0122305</v>
      </c>
      <c r="P27" s="30">
        <f t="shared" ref="P27" si="54">O27</f>
        <v>113.0122305</v>
      </c>
      <c r="Q27" s="30">
        <f t="shared" ref="Q27:U27" si="55">P27</f>
        <v>113.0122305</v>
      </c>
      <c r="R27" s="30">
        <f t="shared" si="55"/>
        <v>113.0122305</v>
      </c>
      <c r="S27" s="30">
        <f t="shared" si="55"/>
        <v>113.0122305</v>
      </c>
      <c r="T27" s="30">
        <f t="shared" si="55"/>
        <v>113.0122305</v>
      </c>
      <c r="U27" s="30">
        <f t="shared" si="55"/>
        <v>113.0122305</v>
      </c>
      <c r="V27" s="30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</row>
    <row r="28" spans="1:122" x14ac:dyDescent="0.15"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</row>
    <row r="29" spans="1:122" x14ac:dyDescent="0.15">
      <c r="A29" s="1" t="s">
        <v>19</v>
      </c>
      <c r="B29" s="36">
        <f t="shared" ref="B29:Q29" si="56">IFERROR(B16/B14,0)</f>
        <v>0.54585763498072915</v>
      </c>
      <c r="C29" s="36">
        <f t="shared" si="56"/>
        <v>0.53809107954691393</v>
      </c>
      <c r="D29" s="36">
        <f t="shared" si="56"/>
        <v>0.56475678148354991</v>
      </c>
      <c r="E29" s="36">
        <f t="shared" si="56"/>
        <v>0.55558226622649964</v>
      </c>
      <c r="F29" s="36">
        <f t="shared" si="56"/>
        <v>0.54881272006902837</v>
      </c>
      <c r="G29" s="36">
        <f t="shared" si="56"/>
        <v>0.54881272006902837</v>
      </c>
      <c r="H29" s="36">
        <f t="shared" si="56"/>
        <v>0.54881272006902837</v>
      </c>
      <c r="I29" s="36">
        <f t="shared" si="56"/>
        <v>0.54881272006902837</v>
      </c>
      <c r="J29" s="36">
        <f t="shared" si="56"/>
        <v>0.54881272006902837</v>
      </c>
      <c r="K29" s="36">
        <f t="shared" si="56"/>
        <v>0.54881272006902837</v>
      </c>
      <c r="L29" s="36">
        <f t="shared" si="56"/>
        <v>0.54881272006902837</v>
      </c>
      <c r="M29" s="36">
        <f t="shared" si="56"/>
        <v>0.54881272006902837</v>
      </c>
      <c r="N29" s="36">
        <f t="shared" si="56"/>
        <v>0.54881272006902837</v>
      </c>
      <c r="O29" s="36">
        <f t="shared" si="56"/>
        <v>0.54881272006902837</v>
      </c>
      <c r="P29" s="36">
        <f t="shared" si="56"/>
        <v>0.54881272006902837</v>
      </c>
      <c r="Q29" s="36">
        <f t="shared" si="56"/>
        <v>0.54881272006902837</v>
      </c>
      <c r="R29" s="36">
        <f t="shared" ref="R29:U29" si="57">IFERROR(R16/R14,0)</f>
        <v>0.54881272006902837</v>
      </c>
      <c r="S29" s="36">
        <f t="shared" si="57"/>
        <v>0.54881272006902837</v>
      </c>
      <c r="T29" s="36">
        <f t="shared" si="57"/>
        <v>0.54881272006902837</v>
      </c>
      <c r="U29" s="36">
        <f t="shared" si="57"/>
        <v>0.54881272006902837</v>
      </c>
      <c r="V29" s="36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</row>
    <row r="30" spans="1:122" x14ac:dyDescent="0.15">
      <c r="A30" s="1" t="s">
        <v>20</v>
      </c>
      <c r="B30" s="40">
        <f t="shared" ref="B30:Q30" si="58">IFERROR(B21/B14,0)</f>
        <v>-8.6516300984734576E-2</v>
      </c>
      <c r="C30" s="40">
        <f t="shared" si="58"/>
        <v>-9.5458865230010584E-2</v>
      </c>
      <c r="D30" s="40">
        <f t="shared" si="58"/>
        <v>-7.3008626118365436E-2</v>
      </c>
      <c r="E30" s="40">
        <f t="shared" si="58"/>
        <v>-8.564807697145746E-2</v>
      </c>
      <c r="F30" s="40">
        <f t="shared" si="58"/>
        <v>-8.914197311087492E-2</v>
      </c>
      <c r="G30" s="40">
        <f t="shared" si="58"/>
        <v>-3.1618285915183009E-2</v>
      </c>
      <c r="H30" s="40">
        <f t="shared" si="58"/>
        <v>2.0890608555804442E-2</v>
      </c>
      <c r="I30" s="40">
        <f t="shared" si="58"/>
        <v>6.8818444906453946E-2</v>
      </c>
      <c r="J30" s="40">
        <f t="shared" si="58"/>
        <v>0.11255888698455645</v>
      </c>
      <c r="K30" s="40">
        <f t="shared" si="58"/>
        <v>0.15246987535963616</v>
      </c>
      <c r="L30" s="40">
        <f t="shared" si="58"/>
        <v>0.16468805196364136</v>
      </c>
      <c r="M30" s="40">
        <f t="shared" si="58"/>
        <v>0.17600266660992245</v>
      </c>
      <c r="N30" s="40">
        <f t="shared" si="58"/>
        <v>0.18649277469225672</v>
      </c>
      <c r="O30" s="40">
        <f t="shared" si="58"/>
        <v>0.19622969442517332</v>
      </c>
      <c r="P30" s="40">
        <f t="shared" si="58"/>
        <v>0.20527781057962022</v>
      </c>
      <c r="Q30" s="40">
        <f t="shared" si="58"/>
        <v>0.2136952923711152</v>
      </c>
      <c r="R30" s="40">
        <f t="shared" ref="R30:U30" si="59">IFERROR(R21/R14,0)</f>
        <v>0.22153473478225749</v>
      </c>
      <c r="S30" s="40">
        <f t="shared" si="59"/>
        <v>0.22884373159269758</v>
      </c>
      <c r="T30" s="40">
        <f t="shared" si="59"/>
        <v>0.2356653874907533</v>
      </c>
      <c r="U30" s="40">
        <f t="shared" si="59"/>
        <v>0.24203877583985697</v>
      </c>
      <c r="V30" s="40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</row>
    <row r="31" spans="1:122" x14ac:dyDescent="0.15">
      <c r="A31" s="1" t="s">
        <v>21</v>
      </c>
      <c r="B31" s="40">
        <f t="shared" ref="B31:Q31" si="60">IFERROR(B24/B23,0)</f>
        <v>0</v>
      </c>
      <c r="C31" s="40">
        <f t="shared" si="60"/>
        <v>-5.9680384669777934E-3</v>
      </c>
      <c r="D31" s="40">
        <f t="shared" si="60"/>
        <v>0</v>
      </c>
      <c r="E31" s="40">
        <f t="shared" si="60"/>
        <v>0</v>
      </c>
      <c r="F31" s="40">
        <f t="shared" si="60"/>
        <v>-0.35491806288168964</v>
      </c>
      <c r="G31" s="40">
        <f t="shared" si="60"/>
        <v>0.20000000000000004</v>
      </c>
      <c r="H31" s="40">
        <f t="shared" si="60"/>
        <v>0.19999999999999998</v>
      </c>
      <c r="I31" s="40">
        <f t="shared" si="60"/>
        <v>0.20000000000000004</v>
      </c>
      <c r="J31" s="40">
        <f t="shared" si="60"/>
        <v>0.20000000000000004</v>
      </c>
      <c r="K31" s="40">
        <f t="shared" si="60"/>
        <v>0.2</v>
      </c>
      <c r="L31" s="40">
        <f t="shared" si="60"/>
        <v>0.2</v>
      </c>
      <c r="M31" s="40">
        <f t="shared" si="60"/>
        <v>0.2</v>
      </c>
      <c r="N31" s="40">
        <f t="shared" si="60"/>
        <v>0.2</v>
      </c>
      <c r="O31" s="40">
        <f t="shared" si="60"/>
        <v>0.2</v>
      </c>
      <c r="P31" s="40">
        <f t="shared" si="60"/>
        <v>0.2</v>
      </c>
      <c r="Q31" s="40">
        <f t="shared" si="60"/>
        <v>0.2</v>
      </c>
      <c r="R31" s="40">
        <f t="shared" ref="R31:U31" si="61">IFERROR(R24/R23,0)</f>
        <v>0.2</v>
      </c>
      <c r="S31" s="40">
        <f t="shared" si="61"/>
        <v>0.2</v>
      </c>
      <c r="T31" s="40">
        <f t="shared" si="61"/>
        <v>0.2</v>
      </c>
      <c r="U31" s="40">
        <f t="shared" si="61"/>
        <v>0.2</v>
      </c>
      <c r="V31" s="40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</row>
    <row r="32" spans="1:122" x14ac:dyDescent="0.15"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</row>
    <row r="33" spans="1:122" x14ac:dyDescent="0.15">
      <c r="A33" s="2" t="s">
        <v>18</v>
      </c>
      <c r="B33" s="64"/>
      <c r="C33" s="65">
        <f t="shared" ref="C33:U33" si="62">C14/B14-1</f>
        <v>0.89701461265975757</v>
      </c>
      <c r="D33" s="65">
        <f t="shared" si="62"/>
        <v>0.72939151876300334</v>
      </c>
      <c r="E33" s="65">
        <f t="shared" si="62"/>
        <v>0.59397389589249383</v>
      </c>
      <c r="F33" s="65">
        <f t="shared" si="62"/>
        <v>0.47077837069255501</v>
      </c>
      <c r="G33" s="65">
        <f t="shared" si="62"/>
        <v>0.40929944085520131</v>
      </c>
      <c r="H33" s="65">
        <f t="shared" si="62"/>
        <v>0.41101200834072893</v>
      </c>
      <c r="I33" s="65">
        <f t="shared" si="62"/>
        <v>0.41269784493052586</v>
      </c>
      <c r="J33" s="65">
        <f t="shared" si="62"/>
        <v>0.41435337568858044</v>
      </c>
      <c r="K33" s="65">
        <f t="shared" si="62"/>
        <v>0.41597530458257159</v>
      </c>
      <c r="L33" s="65">
        <f t="shared" si="62"/>
        <v>0.10000000000000009</v>
      </c>
      <c r="M33" s="65">
        <f t="shared" si="62"/>
        <v>0.10000000000000009</v>
      </c>
      <c r="N33" s="65">
        <f t="shared" si="62"/>
        <v>0.10000000000000009</v>
      </c>
      <c r="O33" s="65">
        <f t="shared" si="62"/>
        <v>0.10000000000000009</v>
      </c>
      <c r="P33" s="65">
        <f t="shared" si="62"/>
        <v>0.10000000000000009</v>
      </c>
      <c r="Q33" s="65">
        <f t="shared" si="62"/>
        <v>0.10000000000000009</v>
      </c>
      <c r="R33" s="65">
        <f t="shared" si="62"/>
        <v>9.9999999999999867E-2</v>
      </c>
      <c r="S33" s="65">
        <f t="shared" si="62"/>
        <v>0.10000000000000009</v>
      </c>
      <c r="T33" s="65">
        <f t="shared" si="62"/>
        <v>0.10000000000000009</v>
      </c>
      <c r="U33" s="65">
        <f t="shared" si="62"/>
        <v>0.10000000000000009</v>
      </c>
      <c r="V33" s="65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</row>
    <row r="34" spans="1:122" x14ac:dyDescent="0.15">
      <c r="A34" s="1" t="s">
        <v>34</v>
      </c>
      <c r="B34" s="64"/>
      <c r="C34" s="40">
        <f t="shared" ref="C34:U34" si="63">C17/B17-1</f>
        <v>0.87140627360153133</v>
      </c>
      <c r="D34" s="40">
        <f t="shared" si="63"/>
        <v>0.82949042186827371</v>
      </c>
      <c r="E34" s="40">
        <f t="shared" si="63"/>
        <v>0.69616976845077461</v>
      </c>
      <c r="F34" s="40">
        <f t="shared" si="63"/>
        <v>0.53896841429896725</v>
      </c>
      <c r="G34" s="40">
        <f t="shared" si="63"/>
        <v>0.30000000000000004</v>
      </c>
      <c r="H34" s="40">
        <f t="shared" si="63"/>
        <v>0.30000000000000004</v>
      </c>
      <c r="I34" s="40">
        <f t="shared" si="63"/>
        <v>0.30000000000000004</v>
      </c>
      <c r="J34" s="40">
        <f t="shared" si="63"/>
        <v>0.30000000000000004</v>
      </c>
      <c r="K34" s="40">
        <f t="shared" si="63"/>
        <v>0.30000000000000004</v>
      </c>
      <c r="L34" s="40">
        <f t="shared" si="63"/>
        <v>5.0000000000000044E-2</v>
      </c>
      <c r="M34" s="40">
        <f t="shared" si="63"/>
        <v>5.0000000000000044E-2</v>
      </c>
      <c r="N34" s="40">
        <f t="shared" si="63"/>
        <v>5.0000000000000044E-2</v>
      </c>
      <c r="O34" s="40">
        <f t="shared" si="63"/>
        <v>5.0000000000000044E-2</v>
      </c>
      <c r="P34" s="40">
        <f t="shared" si="63"/>
        <v>5.0000000000000044E-2</v>
      </c>
      <c r="Q34" s="40">
        <f t="shared" si="63"/>
        <v>5.0000000000000044E-2</v>
      </c>
      <c r="R34" s="40">
        <f t="shared" si="63"/>
        <v>5.0000000000000044E-2</v>
      </c>
      <c r="S34" s="40">
        <f t="shared" si="63"/>
        <v>5.0000000000000044E-2</v>
      </c>
      <c r="T34" s="40">
        <f t="shared" si="63"/>
        <v>5.0000000000000044E-2</v>
      </c>
      <c r="U34" s="40">
        <f t="shared" si="63"/>
        <v>5.0000000000000044E-2</v>
      </c>
      <c r="V34" s="40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</row>
    <row r="35" spans="1:122" x14ac:dyDescent="0.15">
      <c r="A35" s="1" t="s">
        <v>35</v>
      </c>
      <c r="B35" s="64"/>
      <c r="C35" s="40">
        <f t="shared" ref="C35:U35" si="64">C18/B18-1</f>
        <v>0.83610424304430619</v>
      </c>
      <c r="D35" s="40">
        <f t="shared" si="64"/>
        <v>0.74666831767455544</v>
      </c>
      <c r="E35" s="40">
        <f t="shared" si="64"/>
        <v>0.55107800827669329</v>
      </c>
      <c r="F35" s="40">
        <f t="shared" si="64"/>
        <v>0.35116219945210791</v>
      </c>
      <c r="G35" s="40">
        <f t="shared" si="64"/>
        <v>0.30000000000000004</v>
      </c>
      <c r="H35" s="40">
        <f t="shared" si="64"/>
        <v>0.30000000000000004</v>
      </c>
      <c r="I35" s="40">
        <f t="shared" si="64"/>
        <v>0.30000000000000004</v>
      </c>
      <c r="J35" s="40">
        <f t="shared" si="64"/>
        <v>0.30000000000000004</v>
      </c>
      <c r="K35" s="40">
        <f t="shared" si="64"/>
        <v>0.30000000000000004</v>
      </c>
      <c r="L35" s="40">
        <f t="shared" si="64"/>
        <v>0.10000000000000009</v>
      </c>
      <c r="M35" s="40">
        <f t="shared" si="64"/>
        <v>0.10000000000000009</v>
      </c>
      <c r="N35" s="40">
        <f t="shared" si="64"/>
        <v>0.10000000000000009</v>
      </c>
      <c r="O35" s="40">
        <f t="shared" si="64"/>
        <v>0.10000000000000009</v>
      </c>
      <c r="P35" s="40">
        <f t="shared" si="64"/>
        <v>0.10000000000000009</v>
      </c>
      <c r="Q35" s="40">
        <f t="shared" si="64"/>
        <v>0.10000000000000009</v>
      </c>
      <c r="R35" s="40">
        <f t="shared" si="64"/>
        <v>0.10000000000000009</v>
      </c>
      <c r="S35" s="40">
        <f t="shared" si="64"/>
        <v>0.10000000000000009</v>
      </c>
      <c r="T35" s="40">
        <f t="shared" si="64"/>
        <v>0.10000000000000009</v>
      </c>
      <c r="U35" s="40">
        <f t="shared" si="64"/>
        <v>0.10000000000000009</v>
      </c>
      <c r="V35" s="40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</row>
    <row r="36" spans="1:122" x14ac:dyDescent="0.15">
      <c r="A36" s="1" t="s">
        <v>36</v>
      </c>
      <c r="B36" s="64"/>
      <c r="C36" s="40">
        <f t="shared" ref="C36:U36" si="65">C19/B19-1</f>
        <v>1.1896586753352296</v>
      </c>
      <c r="D36" s="40">
        <f t="shared" si="65"/>
        <v>0.57084203201113448</v>
      </c>
      <c r="E36" s="40">
        <f t="shared" si="65"/>
        <v>0.58661527783930656</v>
      </c>
      <c r="F36" s="40">
        <f t="shared" si="65"/>
        <v>0.66598414057555533</v>
      </c>
      <c r="G36" s="40">
        <f t="shared" si="65"/>
        <v>0.19999999999999996</v>
      </c>
      <c r="H36" s="40">
        <f t="shared" si="65"/>
        <v>0.19999999999999996</v>
      </c>
      <c r="I36" s="40">
        <f t="shared" si="65"/>
        <v>0.19999999999999996</v>
      </c>
      <c r="J36" s="40">
        <f t="shared" si="65"/>
        <v>0.19999999999999996</v>
      </c>
      <c r="K36" s="40">
        <f t="shared" si="65"/>
        <v>0.19999999999999996</v>
      </c>
      <c r="L36" s="40">
        <f t="shared" si="65"/>
        <v>-2.0000000000000018E-2</v>
      </c>
      <c r="M36" s="40">
        <f t="shared" si="65"/>
        <v>-2.0000000000000018E-2</v>
      </c>
      <c r="N36" s="40">
        <f t="shared" si="65"/>
        <v>-2.0000000000000129E-2</v>
      </c>
      <c r="O36" s="40">
        <f t="shared" si="65"/>
        <v>-2.0000000000000018E-2</v>
      </c>
      <c r="P36" s="40">
        <f t="shared" si="65"/>
        <v>-2.0000000000000129E-2</v>
      </c>
      <c r="Q36" s="40">
        <f t="shared" si="65"/>
        <v>-1.9999999999999907E-2</v>
      </c>
      <c r="R36" s="40">
        <f t="shared" si="65"/>
        <v>-2.0000000000000018E-2</v>
      </c>
      <c r="S36" s="40">
        <f t="shared" si="65"/>
        <v>-2.0000000000000129E-2</v>
      </c>
      <c r="T36" s="40">
        <f t="shared" si="65"/>
        <v>-2.0000000000000018E-2</v>
      </c>
      <c r="U36" s="40">
        <f t="shared" si="65"/>
        <v>-1.9999999999999907E-2</v>
      </c>
      <c r="V36" s="40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</row>
    <row r="37" spans="1:122" s="15" customFormat="1" x14ac:dyDescent="0.15">
      <c r="A37" s="15" t="s">
        <v>111</v>
      </c>
      <c r="B37" s="94"/>
      <c r="C37" s="95">
        <f>C20/B20-1</f>
        <v>0.90054243974603998</v>
      </c>
      <c r="D37" s="95">
        <f t="shared" ref="D37:U37" si="66">D20/C20-1</f>
        <v>0.74089840265953133</v>
      </c>
      <c r="E37" s="95">
        <f t="shared" si="66"/>
        <v>0.60263384644046503</v>
      </c>
      <c r="F37" s="95">
        <f t="shared" si="66"/>
        <v>0.46326507184820387</v>
      </c>
      <c r="G37" s="95">
        <f t="shared" si="66"/>
        <v>0.28222442899702083</v>
      </c>
      <c r="H37" s="95">
        <f t="shared" si="66"/>
        <v>0.28336431226765812</v>
      </c>
      <c r="I37" s="95">
        <f t="shared" si="66"/>
        <v>0.28444492722137715</v>
      </c>
      <c r="J37" s="95">
        <f t="shared" si="66"/>
        <v>0.28546758452717236</v>
      </c>
      <c r="K37" s="95">
        <f t="shared" si="66"/>
        <v>0.286433809162284</v>
      </c>
      <c r="L37" s="95">
        <f t="shared" si="66"/>
        <v>6.6089978805445204E-2</v>
      </c>
      <c r="M37" s="95">
        <f t="shared" si="66"/>
        <v>6.7598862701797158E-2</v>
      </c>
      <c r="N37" s="95">
        <f t="shared" si="66"/>
        <v>6.904826255756169E-2</v>
      </c>
      <c r="O37" s="95">
        <f t="shared" si="66"/>
        <v>7.0438801830049913E-2</v>
      </c>
      <c r="P37" s="95">
        <f t="shared" si="66"/>
        <v>7.1771392704693016E-2</v>
      </c>
      <c r="Q37" s="95">
        <f t="shared" si="66"/>
        <v>7.3047193415055611E-2</v>
      </c>
      <c r="R37" s="95">
        <f t="shared" si="66"/>
        <v>7.4267567307690241E-2</v>
      </c>
      <c r="S37" s="95">
        <f t="shared" si="66"/>
        <v>7.5434044289782065E-2</v>
      </c>
      <c r="T37" s="95">
        <f t="shared" si="66"/>
        <v>7.6548285121023962E-2</v>
      </c>
      <c r="U37" s="95">
        <f t="shared" si="66"/>
        <v>7.7612048851600557E-2</v>
      </c>
      <c r="V37" s="95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/>
    </row>
    <row r="38" spans="1:122" x14ac:dyDescent="0.15"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</row>
    <row r="39" spans="1:122" x14ac:dyDescent="0.15">
      <c r="A39" s="2" t="s">
        <v>26</v>
      </c>
      <c r="B39" s="44">
        <f>B40-B41</f>
        <v>190.173</v>
      </c>
      <c r="C39" s="44">
        <f t="shared" ref="C39:F39" si="67">C40-C41</f>
        <v>392.41399999999999</v>
      </c>
      <c r="D39" s="44">
        <f t="shared" si="67"/>
        <v>938.03899999999999</v>
      </c>
      <c r="E39" s="44">
        <f t="shared" si="67"/>
        <v>1969.67</v>
      </c>
      <c r="F39" s="44">
        <f t="shared" si="67"/>
        <v>2455</v>
      </c>
      <c r="G39" s="29">
        <f t="shared" ref="G39:U39" si="68">F39+G25</f>
        <v>2496.9307375343146</v>
      </c>
      <c r="H39" s="29">
        <f t="shared" si="68"/>
        <v>2649.266326131768</v>
      </c>
      <c r="I39" s="29">
        <f t="shared" si="68"/>
        <v>2999.3650659226446</v>
      </c>
      <c r="J39" s="29">
        <f t="shared" si="68"/>
        <v>3684.0823535166678</v>
      </c>
      <c r="K39" s="29">
        <f t="shared" si="68"/>
        <v>4914.6503797327405</v>
      </c>
      <c r="L39" s="29">
        <f t="shared" si="68"/>
        <v>6398.2444970849974</v>
      </c>
      <c r="M39" s="29">
        <f t="shared" si="68"/>
        <v>8167.1470807100386</v>
      </c>
      <c r="N39" s="29">
        <f t="shared" si="68"/>
        <v>10257.296846630397</v>
      </c>
      <c r="O39" s="29">
        <f t="shared" si="68"/>
        <v>12708.677858354447</v>
      </c>
      <c r="P39" s="29">
        <f t="shared" si="68"/>
        <v>15565.748705400769</v>
      </c>
      <c r="Q39" s="29">
        <f t="shared" si="68"/>
        <v>18877.915938129325</v>
      </c>
      <c r="R39" s="29">
        <f t="shared" si="68"/>
        <v>22700.056255214102</v>
      </c>
      <c r="S39" s="29">
        <f t="shared" si="68"/>
        <v>27093.092393421241</v>
      </c>
      <c r="T39" s="29">
        <f t="shared" si="68"/>
        <v>32124.628168209936</v>
      </c>
      <c r="U39" s="29">
        <f t="shared" si="68"/>
        <v>37869.648662612773</v>
      </c>
      <c r="V39" s="29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</row>
    <row r="40" spans="1:122" x14ac:dyDescent="0.15">
      <c r="A40" s="1" t="s">
        <v>27</v>
      </c>
      <c r="B40" s="23">
        <f>Reports!E31</f>
        <v>190.173</v>
      </c>
      <c r="C40" s="23">
        <f>Reports!I31</f>
        <v>392.41399999999999</v>
      </c>
      <c r="D40" s="23">
        <f>Reports!M31</f>
        <v>938.03899999999999</v>
      </c>
      <c r="E40" s="23">
        <f>Reports!Q31</f>
        <v>1969.67</v>
      </c>
      <c r="F40" s="23">
        <f>Reports!U31</f>
        <v>2455</v>
      </c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</row>
    <row r="41" spans="1:122" x14ac:dyDescent="0.15">
      <c r="A41" s="1" t="s">
        <v>28</v>
      </c>
      <c r="B41" s="23">
        <f>Reports!E32</f>
        <v>0</v>
      </c>
      <c r="C41" s="23">
        <f>Reports!I32</f>
        <v>0</v>
      </c>
      <c r="D41" s="23">
        <f>Reports!M32</f>
        <v>0</v>
      </c>
      <c r="E41" s="23">
        <f>Reports!Q32</f>
        <v>0</v>
      </c>
      <c r="F41" s="23">
        <f>Reports!U32</f>
        <v>0</v>
      </c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</row>
    <row r="42" spans="1:122" x14ac:dyDescent="0.15"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</row>
    <row r="43" spans="1:122" x14ac:dyDescent="0.15">
      <c r="A43" s="1" t="s">
        <v>68</v>
      </c>
      <c r="B43" s="23">
        <f>Reports!E34</f>
        <v>8.1989999999999998</v>
      </c>
      <c r="C43" s="23">
        <f>Reports!I34</f>
        <v>21.940999999999999</v>
      </c>
      <c r="D43" s="23">
        <f>Reports!M34</f>
        <v>37.527000000000001</v>
      </c>
      <c r="E43" s="23">
        <f>Reports!Q34</f>
        <v>64.090999999999994</v>
      </c>
      <c r="F43" s="23">
        <f>Reports!U34</f>
        <v>479</v>
      </c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</row>
    <row r="44" spans="1:122" x14ac:dyDescent="0.15">
      <c r="A44" s="1" t="s">
        <v>69</v>
      </c>
      <c r="B44" s="23">
        <f>Reports!E35</f>
        <v>243.71199999999999</v>
      </c>
      <c r="C44" s="23">
        <f>Reports!I35</f>
        <v>490.55799999999999</v>
      </c>
      <c r="D44" s="23">
        <f>Reports!M35</f>
        <v>1113.5640000000001</v>
      </c>
      <c r="E44" s="23">
        <f>Reports!Q35</f>
        <v>2254.7849999999999</v>
      </c>
      <c r="F44" s="23">
        <f>Reports!U35</f>
        <v>3489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</row>
    <row r="45" spans="1:122" x14ac:dyDescent="0.15">
      <c r="A45" s="1" t="s">
        <v>70</v>
      </c>
      <c r="B45" s="23">
        <f>Reports!E36</f>
        <v>48.395000000000003</v>
      </c>
      <c r="C45" s="23">
        <f>Reports!I36</f>
        <v>80.081999999999994</v>
      </c>
      <c r="D45" s="23">
        <f>Reports!M36</f>
        <v>112.464</v>
      </c>
      <c r="E45" s="23">
        <f>Reports!Q36</f>
        <v>164.017</v>
      </c>
      <c r="F45" s="23">
        <f>Reports!U36</f>
        <v>473</v>
      </c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</row>
    <row r="46" spans="1:122" x14ac:dyDescent="0.15"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</row>
    <row r="47" spans="1:122" x14ac:dyDescent="0.15">
      <c r="A47" s="1" t="s">
        <v>71</v>
      </c>
      <c r="B47" s="47">
        <f>B44-B43-B40</f>
        <v>45.339999999999975</v>
      </c>
      <c r="C47" s="47">
        <f t="shared" ref="C47:D47" si="69">C44-C43-C40</f>
        <v>76.203000000000031</v>
      </c>
      <c r="D47" s="47">
        <f t="shared" si="69"/>
        <v>137.99800000000005</v>
      </c>
      <c r="E47" s="47">
        <f t="shared" ref="E47:F47" si="70">E44-E43-E40</f>
        <v>221.02399999999989</v>
      </c>
      <c r="F47" s="47">
        <f t="shared" si="70"/>
        <v>555</v>
      </c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</row>
    <row r="48" spans="1:122" x14ac:dyDescent="0.15">
      <c r="A48" s="1" t="s">
        <v>72</v>
      </c>
      <c r="B48" s="47">
        <f>B44-B45</f>
        <v>195.31699999999998</v>
      </c>
      <c r="C48" s="47">
        <f t="shared" ref="C48:D48" si="71">C44-C45</f>
        <v>410.476</v>
      </c>
      <c r="D48" s="47">
        <f t="shared" si="71"/>
        <v>1001.1000000000001</v>
      </c>
      <c r="E48" s="47">
        <f t="shared" ref="E48:F48" si="72">E44-E45</f>
        <v>2090.768</v>
      </c>
      <c r="F48" s="47">
        <f t="shared" si="72"/>
        <v>3016</v>
      </c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</row>
    <row r="49" spans="1:122" x14ac:dyDescent="0.15"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</row>
    <row r="50" spans="1:122" x14ac:dyDescent="0.15">
      <c r="A50" s="43" t="s">
        <v>73</v>
      </c>
      <c r="B50" s="22"/>
      <c r="C50" s="22"/>
      <c r="D50" s="22"/>
      <c r="E50" s="38">
        <f>E25/E48</f>
        <v>-3.3329379443343451E-2</v>
      </c>
      <c r="F50" s="38">
        <f>F25/F48</f>
        <v>-3.6707228116710892E-2</v>
      </c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</row>
    <row r="51" spans="1:122" x14ac:dyDescent="0.15">
      <c r="A51" s="43" t="s">
        <v>74</v>
      </c>
      <c r="B51" s="22"/>
      <c r="C51" s="22"/>
      <c r="D51" s="22"/>
      <c r="E51" s="38">
        <f>E25/E44</f>
        <v>-3.0904942156347634E-2</v>
      </c>
      <c r="F51" s="38">
        <f>F25/F44</f>
        <v>-3.1730868443680157E-2</v>
      </c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</row>
    <row r="52" spans="1:122" x14ac:dyDescent="0.15">
      <c r="A52" s="43" t="s">
        <v>75</v>
      </c>
      <c r="B52" s="22"/>
      <c r="C52" s="22"/>
      <c r="D52" s="22"/>
      <c r="E52" s="38">
        <f>E25/(E48-E43)</f>
        <v>-3.4383377321596034E-2</v>
      </c>
      <c r="F52" s="38">
        <f>F25/(F48-F43)</f>
        <v>-4.3637761135199078E-2</v>
      </c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</row>
    <row r="53" spans="1:122" x14ac:dyDescent="0.15">
      <c r="A53" s="43" t="s">
        <v>76</v>
      </c>
      <c r="B53" s="22"/>
      <c r="C53" s="22"/>
      <c r="D53" s="22"/>
      <c r="E53" s="38">
        <f>E25/E47</f>
        <v>-0.31527797886202552</v>
      </c>
      <c r="F53" s="38">
        <f>F25/F47</f>
        <v>-0.19947567567567578</v>
      </c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</row>
    <row r="54" spans="1:122" x14ac:dyDescent="0.15"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</row>
    <row r="55" spans="1:122" x14ac:dyDescent="0.15">
      <c r="A55" s="1" t="s">
        <v>78</v>
      </c>
      <c r="B55" s="22"/>
      <c r="C55" s="38">
        <f t="shared" ref="C55:I56" si="73">C11/B11-1</f>
        <v>0.68429794872252847</v>
      </c>
      <c r="D55" s="38">
        <f t="shared" si="73"/>
        <v>0.64380242410103605</v>
      </c>
      <c r="E55" s="38">
        <f t="shared" si="73"/>
        <v>0.49983711306288714</v>
      </c>
      <c r="F55" s="38">
        <f t="shared" si="73"/>
        <v>0.38162693872635467</v>
      </c>
      <c r="G55" s="38">
        <f t="shared" si="73"/>
        <v>0.35000000000000009</v>
      </c>
      <c r="H55" s="38">
        <f t="shared" si="73"/>
        <v>0.35000000000000009</v>
      </c>
      <c r="I55" s="38">
        <f t="shared" si="73"/>
        <v>0.35000000000000009</v>
      </c>
      <c r="J55" s="38">
        <f>J11/I11-1</f>
        <v>0.35000000000000009</v>
      </c>
      <c r="K55" s="38">
        <f>K11/J11-1</f>
        <v>0.35000000000000009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</row>
    <row r="56" spans="1:122" x14ac:dyDescent="0.15">
      <c r="A56" s="1" t="s">
        <v>79</v>
      </c>
      <c r="B56" s="22"/>
      <c r="C56" s="38">
        <f t="shared" si="73"/>
        <v>1.152443862997834</v>
      </c>
      <c r="D56" s="38">
        <f t="shared" si="73"/>
        <v>0.80981347521970481</v>
      </c>
      <c r="E56" s="38">
        <f t="shared" si="73"/>
        <v>0.67431380807271646</v>
      </c>
      <c r="F56" s="38">
        <f t="shared" si="73"/>
        <v>0.53893491474484301</v>
      </c>
      <c r="G56" s="38">
        <f t="shared" si="73"/>
        <v>0.44999999999999996</v>
      </c>
      <c r="H56" s="38">
        <f t="shared" si="73"/>
        <v>0.44999999999999996</v>
      </c>
      <c r="I56" s="38">
        <f t="shared" si="73"/>
        <v>0.44999999999999996</v>
      </c>
      <c r="J56" s="38">
        <f t="shared" ref="J56:K56" si="74">J12/I12-1</f>
        <v>0.44999999999999996</v>
      </c>
      <c r="K56" s="38">
        <f t="shared" si="74"/>
        <v>0.44999999999999996</v>
      </c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</row>
  </sheetData>
  <phoneticPr fontId="4" type="noConversion"/>
  <hyperlinks>
    <hyperlink ref="A1" r:id="rId1" xr:uid="{00000000-0004-0000-0000-000000000000}"/>
    <hyperlink ref="A4" r:id="rId2" xr:uid="{00000000-0004-0000-0000-000001000000}"/>
    <hyperlink ref="A7" r:id="rId3" xr:uid="{00000000-0004-0000-0000-000002000000}"/>
  </hyperlinks>
  <pageMargins left="0.7" right="0.7" top="0.75" bottom="0.75" header="0.3" footer="0.3"/>
  <pageSetup paperSize="9" orientation="portrait" horizontalDpi="0" verticalDpi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8"/>
  <sheetViews>
    <sheetView workbookViewId="0">
      <pane xSplit="1" ySplit="2" topLeftCell="P3" activePane="bottomRight" state="frozen"/>
      <selection pane="topRight" activeCell="B1" sqref="B1"/>
      <selection pane="bottomLeft" activeCell="A3" sqref="A3"/>
      <selection pane="bottomRight" activeCell="X30" sqref="X30"/>
    </sheetView>
  </sheetViews>
  <sheetFormatPr baseColWidth="10" defaultRowHeight="13" x14ac:dyDescent="0.15"/>
  <cols>
    <col min="1" max="1" width="19.5" style="24" customWidth="1"/>
    <col min="2" max="5" width="10.83203125" style="22" customWidth="1"/>
    <col min="6" max="6" width="10.83203125" style="26" customWidth="1"/>
    <col min="7" max="8" width="10.83203125" style="22" customWidth="1"/>
    <col min="9" max="9" width="10.83203125" style="22"/>
    <col min="10" max="10" width="10.83203125" style="26"/>
    <col min="11" max="11" width="10.83203125" style="22" customWidth="1"/>
    <col min="12" max="13" width="10.83203125" style="22"/>
    <col min="14" max="14" width="10.83203125" style="26"/>
    <col min="15" max="16" width="10.83203125" style="22"/>
    <col min="17" max="17" width="10.83203125" style="54"/>
    <col min="18" max="18" width="10.83203125" style="26"/>
    <col min="19" max="21" width="10.83203125" style="1"/>
    <col min="22" max="22" width="10.83203125" style="93"/>
    <col min="23" max="16384" width="10.83203125" style="1"/>
  </cols>
  <sheetData>
    <row r="1" spans="1:25" s="22" customFormat="1" x14ac:dyDescent="0.15">
      <c r="A1" s="21" t="s">
        <v>65</v>
      </c>
      <c r="B1" s="22" t="s">
        <v>47</v>
      </c>
      <c r="C1" s="22" t="s">
        <v>48</v>
      </c>
      <c r="D1" s="22" t="s">
        <v>49</v>
      </c>
      <c r="E1" s="22" t="s">
        <v>50</v>
      </c>
      <c r="F1" s="26" t="s">
        <v>22</v>
      </c>
      <c r="G1" s="22" t="s">
        <v>23</v>
      </c>
      <c r="H1" s="22" t="s">
        <v>24</v>
      </c>
      <c r="I1" s="22" t="s">
        <v>25</v>
      </c>
      <c r="J1" s="25" t="s">
        <v>0</v>
      </c>
      <c r="K1" s="23" t="s">
        <v>1</v>
      </c>
      <c r="L1" s="23" t="s">
        <v>2</v>
      </c>
      <c r="M1" s="23" t="s">
        <v>3</v>
      </c>
      <c r="N1" s="26" t="s">
        <v>80</v>
      </c>
      <c r="O1" s="22" t="s">
        <v>81</v>
      </c>
      <c r="P1" s="22" t="s">
        <v>58</v>
      </c>
      <c r="Q1" s="54" t="s">
        <v>82</v>
      </c>
      <c r="R1" s="26" t="s">
        <v>88</v>
      </c>
      <c r="S1" s="22" t="s">
        <v>89</v>
      </c>
      <c r="T1" s="22" t="s">
        <v>90</v>
      </c>
      <c r="U1" s="22" t="s">
        <v>91</v>
      </c>
      <c r="V1" s="26" t="s">
        <v>92</v>
      </c>
      <c r="W1" s="22" t="s">
        <v>93</v>
      </c>
      <c r="X1" s="22" t="s">
        <v>94</v>
      </c>
      <c r="Y1" s="22" t="s">
        <v>95</v>
      </c>
    </row>
    <row r="2" spans="1:25" s="22" customFormat="1" x14ac:dyDescent="0.15">
      <c r="A2" s="21"/>
      <c r="B2" s="22" t="s">
        <v>52</v>
      </c>
      <c r="C2" s="22" t="s">
        <v>51</v>
      </c>
      <c r="D2" s="22" t="s">
        <v>46</v>
      </c>
      <c r="E2" s="22" t="s">
        <v>45</v>
      </c>
      <c r="F2" s="26" t="s">
        <v>44</v>
      </c>
      <c r="G2" s="22" t="s">
        <v>43</v>
      </c>
      <c r="H2" s="22" t="s">
        <v>40</v>
      </c>
      <c r="I2" s="22" t="s">
        <v>38</v>
      </c>
      <c r="J2" s="26" t="s">
        <v>42</v>
      </c>
      <c r="K2" s="22" t="s">
        <v>39</v>
      </c>
      <c r="L2" s="22" t="s">
        <v>41</v>
      </c>
      <c r="M2" s="22" t="s">
        <v>37</v>
      </c>
      <c r="N2" s="26" t="s">
        <v>83</v>
      </c>
      <c r="O2" s="22" t="s">
        <v>84</v>
      </c>
      <c r="P2" s="22" t="s">
        <v>85</v>
      </c>
      <c r="Q2" s="54" t="s">
        <v>86</v>
      </c>
      <c r="R2" s="84" t="s">
        <v>101</v>
      </c>
      <c r="S2" s="83" t="s">
        <v>103</v>
      </c>
      <c r="V2" s="26"/>
    </row>
    <row r="3" spans="1:25" s="7" customFormat="1" x14ac:dyDescent="0.15">
      <c r="A3" s="82" t="s">
        <v>66</v>
      </c>
      <c r="B3" s="23">
        <v>22.352</v>
      </c>
      <c r="C3" s="23">
        <v>25.459</v>
      </c>
      <c r="D3" s="23">
        <v>29.56</v>
      </c>
      <c r="E3" s="23">
        <v>34.607999999999997</v>
      </c>
      <c r="F3" s="25">
        <v>38.706000000000003</v>
      </c>
      <c r="G3" s="23">
        <v>43.673999999999999</v>
      </c>
      <c r="H3" s="23">
        <v>49.838999999999999</v>
      </c>
      <c r="I3" s="23">
        <v>56.387</v>
      </c>
      <c r="J3" s="25">
        <v>62.08</v>
      </c>
      <c r="K3" s="23">
        <v>71.597999999999999</v>
      </c>
      <c r="L3" s="23">
        <v>82.435000000000002</v>
      </c>
      <c r="M3" s="23">
        <v>93.918000000000006</v>
      </c>
      <c r="N3" s="25">
        <v>100.19799999999999</v>
      </c>
      <c r="O3" s="30">
        <v>110.721</v>
      </c>
      <c r="P3" s="30">
        <v>120.517</v>
      </c>
      <c r="Q3" s="56">
        <v>133.56</v>
      </c>
      <c r="R3" s="25">
        <v>140.45099999999999</v>
      </c>
      <c r="S3" s="7">
        <v>153</v>
      </c>
      <c r="T3" s="7">
        <v>166</v>
      </c>
      <c r="U3" s="7">
        <v>183</v>
      </c>
      <c r="V3" s="91">
        <v>188</v>
      </c>
    </row>
    <row r="4" spans="1:25" s="7" customFormat="1" x14ac:dyDescent="0.15">
      <c r="A4" s="69" t="s">
        <v>67</v>
      </c>
      <c r="B4" s="23">
        <v>14.996</v>
      </c>
      <c r="C4" s="23">
        <v>19.466999999999999</v>
      </c>
      <c r="D4" s="23">
        <v>23.225999999999999</v>
      </c>
      <c r="E4" s="23">
        <v>35.564999999999998</v>
      </c>
      <c r="F4" s="25">
        <v>34.015999999999998</v>
      </c>
      <c r="G4" s="23">
        <v>42.972999999999999</v>
      </c>
      <c r="H4" s="23">
        <v>49.738999999999997</v>
      </c>
      <c r="I4" s="23">
        <v>73.995999999999995</v>
      </c>
      <c r="J4" s="25">
        <v>65.299000000000007</v>
      </c>
      <c r="K4" s="23">
        <v>80.057000000000002</v>
      </c>
      <c r="L4" s="23">
        <v>89.021000000000001</v>
      </c>
      <c r="M4" s="23">
        <v>128.89599999999999</v>
      </c>
      <c r="N4" s="25">
        <v>114.142</v>
      </c>
      <c r="O4" s="30">
        <v>134.24199999999999</v>
      </c>
      <c r="P4" s="30">
        <v>149.547</v>
      </c>
      <c r="Q4" s="56">
        <v>210.30199999999999</v>
      </c>
      <c r="R4" s="25">
        <v>180.03100000000001</v>
      </c>
      <c r="S4" s="7">
        <v>209</v>
      </c>
      <c r="T4" s="7">
        <v>225</v>
      </c>
      <c r="U4" s="7">
        <v>322</v>
      </c>
      <c r="V4" s="91">
        <v>282</v>
      </c>
    </row>
    <row r="5" spans="1:25" s="66" customFormat="1" x14ac:dyDescent="0.15">
      <c r="F5" s="67"/>
      <c r="I5" s="70"/>
      <c r="J5" s="67"/>
      <c r="K5" s="71"/>
      <c r="L5" s="71"/>
      <c r="M5" s="71"/>
      <c r="N5" s="67"/>
      <c r="O5" s="71"/>
      <c r="P5" s="71"/>
      <c r="Q5" s="63"/>
      <c r="R5" s="67" t="s">
        <v>87</v>
      </c>
      <c r="S5" s="66" t="s">
        <v>99</v>
      </c>
      <c r="T5" s="66" t="s">
        <v>102</v>
      </c>
      <c r="U5" s="66" t="s">
        <v>104</v>
      </c>
      <c r="V5" s="67" t="s">
        <v>109</v>
      </c>
    </row>
    <row r="6" spans="1:25" s="73" customFormat="1" x14ac:dyDescent="0.15">
      <c r="A6" s="72" t="s">
        <v>4</v>
      </c>
      <c r="B6" s="44">
        <f t="shared" ref="B6:V6" si="0">SUM(B3:B4)</f>
        <v>37.347999999999999</v>
      </c>
      <c r="C6" s="44">
        <f t="shared" si="0"/>
        <v>44.926000000000002</v>
      </c>
      <c r="D6" s="44">
        <f t="shared" si="0"/>
        <v>52.786000000000001</v>
      </c>
      <c r="E6" s="44">
        <f t="shared" si="0"/>
        <v>70.173000000000002</v>
      </c>
      <c r="F6" s="48">
        <f t="shared" si="0"/>
        <v>72.722000000000008</v>
      </c>
      <c r="G6" s="44">
        <f t="shared" si="0"/>
        <v>86.646999999999991</v>
      </c>
      <c r="H6" s="44">
        <f t="shared" si="0"/>
        <v>99.578000000000003</v>
      </c>
      <c r="I6" s="44">
        <f t="shared" si="0"/>
        <v>130.38299999999998</v>
      </c>
      <c r="J6" s="48">
        <f t="shared" si="0"/>
        <v>127.379</v>
      </c>
      <c r="K6" s="44">
        <f t="shared" si="0"/>
        <v>151.655</v>
      </c>
      <c r="L6" s="44">
        <f t="shared" si="0"/>
        <v>171.45600000000002</v>
      </c>
      <c r="M6" s="44">
        <f t="shared" si="0"/>
        <v>222.81399999999999</v>
      </c>
      <c r="N6" s="48">
        <f t="shared" si="0"/>
        <v>214.33999999999997</v>
      </c>
      <c r="O6" s="44">
        <f t="shared" si="0"/>
        <v>244.96299999999999</v>
      </c>
      <c r="P6" s="44">
        <f t="shared" si="0"/>
        <v>270.06399999999996</v>
      </c>
      <c r="Q6" s="44">
        <f t="shared" si="0"/>
        <v>343.86199999999997</v>
      </c>
      <c r="R6" s="48">
        <f t="shared" si="0"/>
        <v>320.48199999999997</v>
      </c>
      <c r="S6" s="44">
        <f t="shared" si="0"/>
        <v>362</v>
      </c>
      <c r="T6" s="44">
        <f t="shared" si="0"/>
        <v>391</v>
      </c>
      <c r="U6" s="44">
        <f t="shared" si="0"/>
        <v>505</v>
      </c>
      <c r="V6" s="48">
        <f t="shared" si="0"/>
        <v>470</v>
      </c>
    </row>
    <row r="7" spans="1:25" s="7" customFormat="1" x14ac:dyDescent="0.15">
      <c r="A7" s="69" t="s">
        <v>5</v>
      </c>
      <c r="B7" s="30">
        <f>5.033+10.749</f>
        <v>15.782</v>
      </c>
      <c r="C7" s="30">
        <f>5.422+14.252</f>
        <v>19.673999999999999</v>
      </c>
      <c r="D7" s="30">
        <f>6.414+17.629</f>
        <v>24.042999999999999</v>
      </c>
      <c r="E7" s="30">
        <f>7.662+26.044</f>
        <v>33.706000000000003</v>
      </c>
      <c r="F7" s="25">
        <f>8.232+24.405</f>
        <v>32.637</v>
      </c>
      <c r="G7" s="23">
        <f>9.098+30.026</f>
        <v>39.124000000000002</v>
      </c>
      <c r="H7" s="23">
        <f>10.555+35.271</f>
        <v>45.826000000000001</v>
      </c>
      <c r="I7" s="23">
        <f>11.593+50.655</f>
        <v>62.248000000000005</v>
      </c>
      <c r="J7" s="25">
        <f>12.254+42.884</f>
        <v>55.137999999999998</v>
      </c>
      <c r="K7" s="30">
        <f>13.688+51.127</f>
        <v>64.814999999999998</v>
      </c>
      <c r="L7" s="30">
        <f>15.458+55.971</f>
        <v>71.429000000000002</v>
      </c>
      <c r="M7" s="30">
        <v>101.669</v>
      </c>
      <c r="N7" s="25">
        <f>23.16+67.338</f>
        <v>90.49799999999999</v>
      </c>
      <c r="O7" s="30">
        <f>24.524+83.484</f>
        <v>108.008</v>
      </c>
      <c r="P7" s="30">
        <f>26.6+93.737</f>
        <v>120.33699999999999</v>
      </c>
      <c r="Q7" s="56">
        <v>158.119</v>
      </c>
      <c r="R7" s="25">
        <v>140.191</v>
      </c>
      <c r="S7" s="7">
        <v>157</v>
      </c>
      <c r="T7" s="7">
        <v>174</v>
      </c>
      <c r="U7" s="7">
        <v>241</v>
      </c>
      <c r="V7" s="91">
        <v>213</v>
      </c>
    </row>
    <row r="8" spans="1:25" s="7" customFormat="1" x14ac:dyDescent="0.15">
      <c r="A8" s="69" t="s">
        <v>6</v>
      </c>
      <c r="B8" s="45">
        <f>B6-B7</f>
        <v>21.565999999999999</v>
      </c>
      <c r="C8" s="45">
        <f>C6-C7</f>
        <v>25.252000000000002</v>
      </c>
      <c r="D8" s="45">
        <f>D6-D7</f>
        <v>28.743000000000002</v>
      </c>
      <c r="E8" s="45">
        <f>E6-E7</f>
        <v>36.466999999999999</v>
      </c>
      <c r="F8" s="46">
        <f>F6-F7</f>
        <v>40.085000000000008</v>
      </c>
      <c r="G8" s="47">
        <f t="shared" ref="G8:L8" si="1">G6-G7</f>
        <v>47.522999999999989</v>
      </c>
      <c r="H8" s="47">
        <f t="shared" si="1"/>
        <v>53.752000000000002</v>
      </c>
      <c r="I8" s="47">
        <f t="shared" si="1"/>
        <v>68.134999999999977</v>
      </c>
      <c r="J8" s="46">
        <f t="shared" si="1"/>
        <v>72.241000000000014</v>
      </c>
      <c r="K8" s="45">
        <f t="shared" si="1"/>
        <v>86.84</v>
      </c>
      <c r="L8" s="45">
        <f t="shared" si="1"/>
        <v>100.02700000000002</v>
      </c>
      <c r="M8" s="45">
        <f t="shared" ref="M8:N8" si="2">M6-M7</f>
        <v>121.145</v>
      </c>
      <c r="N8" s="46">
        <f t="shared" si="2"/>
        <v>123.84199999999998</v>
      </c>
      <c r="O8" s="45">
        <f t="shared" ref="O8:V8" si="3">O6-O7</f>
        <v>136.95499999999998</v>
      </c>
      <c r="P8" s="45">
        <f t="shared" si="3"/>
        <v>149.72699999999998</v>
      </c>
      <c r="Q8" s="45">
        <f t="shared" si="3"/>
        <v>185.74299999999997</v>
      </c>
      <c r="R8" s="46">
        <f t="shared" si="3"/>
        <v>180.29099999999997</v>
      </c>
      <c r="S8" s="45">
        <f t="shared" si="3"/>
        <v>205</v>
      </c>
      <c r="T8" s="45">
        <f t="shared" si="3"/>
        <v>217</v>
      </c>
      <c r="U8" s="45">
        <f t="shared" si="3"/>
        <v>264</v>
      </c>
      <c r="V8" s="46">
        <f t="shared" si="3"/>
        <v>257</v>
      </c>
    </row>
    <row r="9" spans="1:25" s="7" customFormat="1" x14ac:dyDescent="0.15">
      <c r="A9" s="69" t="s">
        <v>7</v>
      </c>
      <c r="B9" s="30">
        <v>7.3129999999999997</v>
      </c>
      <c r="C9" s="30">
        <v>8.8000000000000007</v>
      </c>
      <c r="D9" s="30">
        <v>10.068</v>
      </c>
      <c r="E9" s="30">
        <v>13.541</v>
      </c>
      <c r="F9" s="25">
        <v>13.67</v>
      </c>
      <c r="G9" s="23">
        <v>16.731999999999999</v>
      </c>
      <c r="H9" s="23">
        <v>19.462</v>
      </c>
      <c r="I9" s="23">
        <v>24.472000000000001</v>
      </c>
      <c r="J9" s="25">
        <v>26.594000000000001</v>
      </c>
      <c r="K9" s="30">
        <v>32.713999999999999</v>
      </c>
      <c r="L9" s="30">
        <v>36.35</v>
      </c>
      <c r="M9" s="30">
        <v>40.338999999999999</v>
      </c>
      <c r="N9" s="25">
        <v>47.716000000000001</v>
      </c>
      <c r="O9" s="30">
        <v>54.305</v>
      </c>
      <c r="P9" s="30">
        <v>61.628999999999998</v>
      </c>
      <c r="Q9" s="56">
        <v>67.024000000000001</v>
      </c>
      <c r="R9" s="25">
        <v>76</v>
      </c>
      <c r="S9" s="7">
        <v>86</v>
      </c>
      <c r="T9" s="7">
        <v>90</v>
      </c>
      <c r="U9" s="7">
        <v>103</v>
      </c>
      <c r="V9" s="91">
        <v>116</v>
      </c>
    </row>
    <row r="10" spans="1:25" s="7" customFormat="1" x14ac:dyDescent="0.15">
      <c r="A10" s="69" t="s">
        <v>8</v>
      </c>
      <c r="B10" s="30">
        <v>13.54</v>
      </c>
      <c r="C10" s="30">
        <v>16.091000000000001</v>
      </c>
      <c r="D10" s="30">
        <v>18.216000000000001</v>
      </c>
      <c r="E10" s="30">
        <v>22.527000000000001</v>
      </c>
      <c r="F10" s="25">
        <v>28.007999999999999</v>
      </c>
      <c r="G10" s="23">
        <v>29.413</v>
      </c>
      <c r="H10" s="23">
        <v>32.777000000000001</v>
      </c>
      <c r="I10" s="23">
        <v>39.015999999999998</v>
      </c>
      <c r="J10" s="25">
        <v>45.334000000000003</v>
      </c>
      <c r="K10" s="30">
        <v>54.872</v>
      </c>
      <c r="L10" s="30">
        <v>58.314</v>
      </c>
      <c r="M10" s="30">
        <v>67.174000000000007</v>
      </c>
      <c r="N10" s="25">
        <v>75.784000000000006</v>
      </c>
      <c r="O10" s="30">
        <v>87.486999999999995</v>
      </c>
      <c r="P10" s="30">
        <v>91.635000000000005</v>
      </c>
      <c r="Q10" s="56">
        <v>95.162999999999997</v>
      </c>
      <c r="R10" s="25">
        <v>105</v>
      </c>
      <c r="S10" s="7">
        <v>119</v>
      </c>
      <c r="T10" s="7">
        <v>117</v>
      </c>
      <c r="U10" s="7">
        <v>132</v>
      </c>
      <c r="V10" s="91">
        <v>155</v>
      </c>
    </row>
    <row r="11" spans="1:25" s="7" customFormat="1" x14ac:dyDescent="0.15">
      <c r="A11" s="69" t="s">
        <v>9</v>
      </c>
      <c r="B11" s="30">
        <v>4.1890000000000001</v>
      </c>
      <c r="C11" s="30">
        <v>3.8220000000000001</v>
      </c>
      <c r="D11" s="30">
        <v>4.7590000000000003</v>
      </c>
      <c r="E11" s="30">
        <v>6.9180000000000001</v>
      </c>
      <c r="F11" s="25">
        <v>8.1189999999999998</v>
      </c>
      <c r="G11" s="23">
        <v>10.037000000000001</v>
      </c>
      <c r="H11" s="23">
        <v>11.002000000000001</v>
      </c>
      <c r="I11" s="23">
        <v>13.952</v>
      </c>
      <c r="J11" s="25">
        <v>14.773999999999999</v>
      </c>
      <c r="K11" s="30">
        <v>15.161</v>
      </c>
      <c r="L11" s="30">
        <v>18.039000000000001</v>
      </c>
      <c r="M11" s="30">
        <v>19.745000000000001</v>
      </c>
      <c r="N11" s="25">
        <v>20.675000000000001</v>
      </c>
      <c r="O11" s="30">
        <v>25.923999999999999</v>
      </c>
      <c r="P11" s="30">
        <v>27.831</v>
      </c>
      <c r="Q11" s="56">
        <v>33.014000000000003</v>
      </c>
      <c r="R11" s="25">
        <v>35</v>
      </c>
      <c r="S11" s="7">
        <v>40</v>
      </c>
      <c r="T11" s="7">
        <v>45</v>
      </c>
      <c r="U11" s="7">
        <v>59</v>
      </c>
      <c r="V11" s="91">
        <f>45+14</f>
        <v>59</v>
      </c>
    </row>
    <row r="12" spans="1:25" s="7" customFormat="1" x14ac:dyDescent="0.15">
      <c r="A12" s="69" t="s">
        <v>10</v>
      </c>
      <c r="B12" s="45">
        <f>SUM(B9:B11)</f>
        <v>25.041999999999998</v>
      </c>
      <c r="C12" s="45">
        <f>SUM(C9:C11)</f>
        <v>28.713000000000001</v>
      </c>
      <c r="D12" s="45">
        <f>SUM(D9:D11)</f>
        <v>33.042999999999999</v>
      </c>
      <c r="E12" s="45">
        <f>SUM(E9:E11)</f>
        <v>42.985999999999997</v>
      </c>
      <c r="F12" s="46">
        <f>SUM(F9:F11)</f>
        <v>49.796999999999997</v>
      </c>
      <c r="G12" s="47">
        <f t="shared" ref="G12:L12" si="4">SUM(G9:G11)</f>
        <v>56.181999999999995</v>
      </c>
      <c r="H12" s="47">
        <f t="shared" si="4"/>
        <v>63.241000000000007</v>
      </c>
      <c r="I12" s="47">
        <f t="shared" si="4"/>
        <v>77.44</v>
      </c>
      <c r="J12" s="46">
        <f t="shared" si="4"/>
        <v>86.701999999999998</v>
      </c>
      <c r="K12" s="45">
        <f t="shared" si="4"/>
        <v>102.747</v>
      </c>
      <c r="L12" s="45">
        <f t="shared" si="4"/>
        <v>112.703</v>
      </c>
      <c r="M12" s="45">
        <f t="shared" ref="M12:N12" si="5">SUM(M9:M11)</f>
        <v>127.25800000000001</v>
      </c>
      <c r="N12" s="46">
        <f t="shared" si="5"/>
        <v>144.17500000000001</v>
      </c>
      <c r="O12" s="45">
        <f t="shared" ref="O12:P12" si="6">SUM(O9:O11)</f>
        <v>167.71600000000001</v>
      </c>
      <c r="P12" s="45">
        <f t="shared" si="6"/>
        <v>181.095</v>
      </c>
      <c r="Q12" s="45">
        <f>SUM(Q9:Q11)</f>
        <v>195.20100000000002</v>
      </c>
      <c r="R12" s="46">
        <f>SUM(R9:R11)</f>
        <v>216</v>
      </c>
      <c r="S12" s="45">
        <f>SUM(S9:S11)</f>
        <v>245</v>
      </c>
      <c r="T12" s="45">
        <f>SUM(T9:T11)</f>
        <v>252</v>
      </c>
      <c r="U12" s="45">
        <f>SUM(U9:U11)</f>
        <v>294</v>
      </c>
      <c r="V12" s="46">
        <f>SUM(V9:V11)</f>
        <v>330</v>
      </c>
    </row>
    <row r="13" spans="1:25" s="7" customFormat="1" x14ac:dyDescent="0.15">
      <c r="A13" s="69" t="s">
        <v>11</v>
      </c>
      <c r="B13" s="45">
        <f>B8-B12</f>
        <v>-3.4759999999999991</v>
      </c>
      <c r="C13" s="45">
        <f>C8-C12</f>
        <v>-3.4609999999999985</v>
      </c>
      <c r="D13" s="45">
        <f>D8-D12</f>
        <v>-4.2999999999999972</v>
      </c>
      <c r="E13" s="45">
        <f>E8-E12</f>
        <v>-6.5189999999999984</v>
      </c>
      <c r="F13" s="46">
        <f>F8-F12</f>
        <v>-9.7119999999999891</v>
      </c>
      <c r="G13" s="47">
        <f t="shared" ref="G13" si="7">G8-G12</f>
        <v>-8.659000000000006</v>
      </c>
      <c r="H13" s="47">
        <f t="shared" ref="H13:N13" si="8">H8-H12</f>
        <v>-9.4890000000000043</v>
      </c>
      <c r="I13" s="47">
        <f t="shared" si="8"/>
        <v>-9.305000000000021</v>
      </c>
      <c r="J13" s="46">
        <f>J8-J12</f>
        <v>-14.460999999999984</v>
      </c>
      <c r="K13" s="45">
        <f t="shared" si="8"/>
        <v>-15.906999999999996</v>
      </c>
      <c r="L13" s="45">
        <f t="shared" si="8"/>
        <v>-12.675999999999988</v>
      </c>
      <c r="M13" s="45">
        <f t="shared" si="8"/>
        <v>-6.1130000000000138</v>
      </c>
      <c r="N13" s="46">
        <f t="shared" si="8"/>
        <v>-20.333000000000027</v>
      </c>
      <c r="O13" s="45">
        <f t="shared" ref="O13:P13" si="9">O8-O12</f>
        <v>-30.761000000000024</v>
      </c>
      <c r="P13" s="45">
        <f t="shared" si="9"/>
        <v>-31.368000000000023</v>
      </c>
      <c r="Q13" s="45">
        <f t="shared" ref="Q13:R13" si="10">Q8-Q12</f>
        <v>-9.4580000000000553</v>
      </c>
      <c r="R13" s="46">
        <f t="shared" si="10"/>
        <v>-35.709000000000032</v>
      </c>
      <c r="S13" s="45">
        <f t="shared" ref="S13:T13" si="11">S8-S12</f>
        <v>-40</v>
      </c>
      <c r="T13" s="45">
        <f t="shared" si="11"/>
        <v>-35</v>
      </c>
      <c r="U13" s="45">
        <f t="shared" ref="U13:V13" si="12">U8-U12</f>
        <v>-30</v>
      </c>
      <c r="V13" s="46">
        <f t="shared" si="12"/>
        <v>-73</v>
      </c>
    </row>
    <row r="14" spans="1:25" s="7" customFormat="1" x14ac:dyDescent="0.15">
      <c r="A14" s="69" t="s">
        <v>12</v>
      </c>
      <c r="B14" s="30">
        <f>0.011-1.065</f>
        <v>-1.054</v>
      </c>
      <c r="C14" s="30">
        <f>0.03+0.135</f>
        <v>0.16500000000000001</v>
      </c>
      <c r="D14" s="30">
        <f>0.057-0.414</f>
        <v>-0.35699999999999998</v>
      </c>
      <c r="E14" s="30">
        <v>0.21199999999999999</v>
      </c>
      <c r="F14" s="25">
        <f>0.203+0.58</f>
        <v>0.78299999999999992</v>
      </c>
      <c r="G14" s="23">
        <f>0.231-0.011</f>
        <v>0.22</v>
      </c>
      <c r="H14" s="23">
        <f>0.404-0.035</f>
        <v>0.36899999999999999</v>
      </c>
      <c r="I14" s="23">
        <v>0.438</v>
      </c>
      <c r="J14" s="25">
        <f>0.715+0.148+1.437</f>
        <v>2.2999999999999998</v>
      </c>
      <c r="K14" s="30">
        <f>1.877+4.631</f>
        <v>6.508</v>
      </c>
      <c r="L14" s="30">
        <f>2.734+0.562+2.604</f>
        <v>5.9</v>
      </c>
      <c r="M14" s="30">
        <v>3.1259999999999999</v>
      </c>
      <c r="N14" s="25">
        <f>4.649-0.218-6.834</f>
        <v>-2.4029999999999996</v>
      </c>
      <c r="O14" s="30">
        <f>6.808-4.398</f>
        <v>2.41</v>
      </c>
      <c r="P14" s="30">
        <f>8.078+0.106+6.101</f>
        <v>14.285</v>
      </c>
      <c r="Q14" s="56">
        <v>7.944</v>
      </c>
      <c r="R14" s="25">
        <f>12+9</f>
        <v>21</v>
      </c>
      <c r="S14" s="7">
        <f>11+7</f>
        <v>18</v>
      </c>
      <c r="T14" s="7">
        <f>11+-6</f>
        <v>5</v>
      </c>
      <c r="U14" s="7">
        <f>12+3</f>
        <v>15</v>
      </c>
      <c r="V14" s="91">
        <f>13-17</f>
        <v>-4</v>
      </c>
    </row>
    <row r="15" spans="1:25" s="7" customFormat="1" x14ac:dyDescent="0.15">
      <c r="A15" s="69" t="s">
        <v>13</v>
      </c>
      <c r="B15" s="45">
        <f>B13+B14</f>
        <v>-4.5299999999999994</v>
      </c>
      <c r="C15" s="45">
        <f>C13+C14</f>
        <v>-3.2959999999999985</v>
      </c>
      <c r="D15" s="45">
        <f>D13+D14</f>
        <v>-4.6569999999999974</v>
      </c>
      <c r="E15" s="45">
        <f>E13+E14</f>
        <v>-6.3069999999999986</v>
      </c>
      <c r="F15" s="46">
        <f>F13+F14</f>
        <v>-8.9289999999999896</v>
      </c>
      <c r="G15" s="47">
        <f t="shared" ref="G15:I15" si="13">G13+G14</f>
        <v>-8.4390000000000054</v>
      </c>
      <c r="H15" s="47">
        <f t="shared" si="13"/>
        <v>-9.1200000000000045</v>
      </c>
      <c r="I15" s="47">
        <f t="shared" si="13"/>
        <v>-8.8670000000000204</v>
      </c>
      <c r="J15" s="46">
        <f t="shared" ref="J15:K15" si="14">J13+J14</f>
        <v>-12.160999999999984</v>
      </c>
      <c r="K15" s="45">
        <f t="shared" si="14"/>
        <v>-9.3989999999999974</v>
      </c>
      <c r="L15" s="45">
        <f t="shared" ref="L15" si="15">L13+L14</f>
        <v>-6.7759999999999874</v>
      </c>
      <c r="M15" s="45">
        <f>M13+M14</f>
        <v>-2.9870000000000139</v>
      </c>
      <c r="N15" s="46">
        <f t="shared" ref="N15" si="16">N13+N14</f>
        <v>-22.736000000000026</v>
      </c>
      <c r="O15" s="45">
        <f t="shared" ref="O15:V15" si="17">O13+O14</f>
        <v>-28.351000000000024</v>
      </c>
      <c r="P15" s="45">
        <f t="shared" si="17"/>
        <v>-17.083000000000023</v>
      </c>
      <c r="Q15" s="45">
        <f t="shared" si="17"/>
        <v>-1.5140000000000553</v>
      </c>
      <c r="R15" s="46">
        <f t="shared" si="17"/>
        <v>-14.709000000000032</v>
      </c>
      <c r="S15" s="45">
        <f t="shared" si="17"/>
        <v>-22</v>
      </c>
      <c r="T15" s="45">
        <f t="shared" si="17"/>
        <v>-30</v>
      </c>
      <c r="U15" s="45">
        <f t="shared" si="17"/>
        <v>-15</v>
      </c>
      <c r="V15" s="46">
        <f t="shared" si="17"/>
        <v>-77</v>
      </c>
    </row>
    <row r="16" spans="1:25" s="7" customFormat="1" x14ac:dyDescent="0.15">
      <c r="A16" s="69" t="s">
        <v>14</v>
      </c>
      <c r="B16" s="30">
        <v>0</v>
      </c>
      <c r="C16" s="30">
        <v>0</v>
      </c>
      <c r="D16" s="30">
        <v>0</v>
      </c>
      <c r="E16" s="30">
        <v>0</v>
      </c>
      <c r="F16" s="25">
        <v>0</v>
      </c>
      <c r="G16" s="23">
        <v>0.21099999999999999</v>
      </c>
      <c r="H16" s="23">
        <v>0</v>
      </c>
      <c r="I16" s="23">
        <v>0</v>
      </c>
      <c r="J16" s="25">
        <v>0</v>
      </c>
      <c r="K16" s="30">
        <v>0</v>
      </c>
      <c r="L16" s="30">
        <v>0</v>
      </c>
      <c r="M16" s="30">
        <f>AVERAGE(I16:L16)</f>
        <v>0</v>
      </c>
      <c r="N16" s="25">
        <v>0</v>
      </c>
      <c r="O16" s="30">
        <v>0</v>
      </c>
      <c r="P16" s="30">
        <v>0</v>
      </c>
      <c r="Q16" s="56">
        <f>Q15*P23</f>
        <v>0</v>
      </c>
      <c r="R16" s="25">
        <v>0</v>
      </c>
      <c r="S16" s="7">
        <v>0</v>
      </c>
      <c r="T16" s="7">
        <v>48</v>
      </c>
      <c r="U16" s="7">
        <v>-19</v>
      </c>
      <c r="V16" s="91">
        <v>-29</v>
      </c>
    </row>
    <row r="17" spans="1:22" s="73" customFormat="1" x14ac:dyDescent="0.15">
      <c r="A17" s="72" t="s">
        <v>15</v>
      </c>
      <c r="B17" s="44">
        <f t="shared" ref="B17:G17" si="18">B15-B16</f>
        <v>-4.5299999999999994</v>
      </c>
      <c r="C17" s="44">
        <f t="shared" si="18"/>
        <v>-3.2959999999999985</v>
      </c>
      <c r="D17" s="44">
        <f t="shared" si="18"/>
        <v>-4.6569999999999974</v>
      </c>
      <c r="E17" s="44">
        <f>E15-E16</f>
        <v>-6.3069999999999986</v>
      </c>
      <c r="F17" s="48">
        <f t="shared" si="18"/>
        <v>-8.9289999999999896</v>
      </c>
      <c r="G17" s="50">
        <f t="shared" si="18"/>
        <v>-8.6500000000000057</v>
      </c>
      <c r="H17" s="50">
        <f t="shared" ref="H17" si="19">H15-H16</f>
        <v>-9.1200000000000045</v>
      </c>
      <c r="I17" s="50">
        <f t="shared" ref="I17:Q17" si="20">I15-I16</f>
        <v>-8.8670000000000204</v>
      </c>
      <c r="J17" s="48">
        <f t="shared" si="20"/>
        <v>-12.160999999999984</v>
      </c>
      <c r="K17" s="44">
        <f t="shared" si="20"/>
        <v>-9.3989999999999974</v>
      </c>
      <c r="L17" s="44">
        <f t="shared" si="20"/>
        <v>-6.7759999999999874</v>
      </c>
      <c r="M17" s="44">
        <f t="shared" si="20"/>
        <v>-2.9870000000000139</v>
      </c>
      <c r="N17" s="48">
        <f t="shared" si="20"/>
        <v>-22.736000000000026</v>
      </c>
      <c r="O17" s="44">
        <f t="shared" si="20"/>
        <v>-28.351000000000024</v>
      </c>
      <c r="P17" s="44">
        <f t="shared" si="20"/>
        <v>-17.083000000000023</v>
      </c>
      <c r="Q17" s="44">
        <f t="shared" si="20"/>
        <v>-1.5140000000000553</v>
      </c>
      <c r="R17" s="48">
        <f t="shared" ref="R17:V17" si="21">R15-R16</f>
        <v>-14.709000000000032</v>
      </c>
      <c r="S17" s="44">
        <f t="shared" si="21"/>
        <v>-22</v>
      </c>
      <c r="T17" s="44">
        <f t="shared" si="21"/>
        <v>-78</v>
      </c>
      <c r="U17" s="44">
        <f t="shared" si="21"/>
        <v>4</v>
      </c>
      <c r="V17" s="48">
        <f t="shared" si="21"/>
        <v>-48</v>
      </c>
    </row>
    <row r="18" spans="1:22" s="78" customFormat="1" x14ac:dyDescent="0.15">
      <c r="A18" s="74" t="s">
        <v>16</v>
      </c>
      <c r="B18" s="75">
        <f t="shared" ref="B18:H18" si="22">IFERROR(B17/B19,0)</f>
        <v>-0.11513826758845057</v>
      </c>
      <c r="C18" s="75">
        <f t="shared" si="22"/>
        <v>-6.2141779788838586E-2</v>
      </c>
      <c r="D18" s="75">
        <f t="shared" si="22"/>
        <v>-6.1356240365739549E-2</v>
      </c>
      <c r="E18" s="75">
        <f t="shared" si="22"/>
        <v>-8.0863121185701811E-2</v>
      </c>
      <c r="F18" s="76">
        <f t="shared" si="22"/>
        <v>-0.11093579167080794</v>
      </c>
      <c r="G18" s="77">
        <f t="shared" si="22"/>
        <v>-0.1063319770372101</v>
      </c>
      <c r="H18" s="77">
        <f t="shared" si="22"/>
        <v>-0.10740531373657439</v>
      </c>
      <c r="I18" s="77">
        <f t="shared" ref="I18:L18" si="23">IFERROR(I17/I19,0)</f>
        <v>-9.9476087371125579E-2</v>
      </c>
      <c r="J18" s="76">
        <f t="shared" si="23"/>
        <v>-0.13475854036543514</v>
      </c>
      <c r="K18" s="75">
        <f>IFERROR(K17/K19,0)</f>
        <v>-9.968126388249049E-2</v>
      </c>
      <c r="L18" s="75">
        <f t="shared" si="23"/>
        <v>-6.8598288231764087E-2</v>
      </c>
      <c r="M18" s="75">
        <f t="shared" ref="M18" si="24">IFERROR(M17/M19,0)</f>
        <v>-3.0004482792278585E-2</v>
      </c>
      <c r="N18" s="76">
        <f>IFERROR(N17/N19,0)</f>
        <v>-0.22234252084392703</v>
      </c>
      <c r="O18" s="75">
        <f>IFERROR(O17/O19,0)</f>
        <v>-0.2675175948655647</v>
      </c>
      <c r="P18" s="75">
        <f t="shared" ref="P18:Q18" si="25">IFERROR(P17/P19,0)</f>
        <v>-0.16018232523675136</v>
      </c>
      <c r="Q18" s="75">
        <f t="shared" si="25"/>
        <v>-1.4053065768654619E-2</v>
      </c>
      <c r="R18" s="76">
        <f t="shared" ref="R18:V18" si="26">IFERROR(R17/R19,0)</f>
        <v>-0.13260756214164027</v>
      </c>
      <c r="S18" s="75">
        <f t="shared" si="26"/>
        <v>-0.19640505718382342</v>
      </c>
      <c r="T18" s="75">
        <f t="shared" si="26"/>
        <v>-0.68973447053333636</v>
      </c>
      <c r="U18" s="75">
        <f t="shared" si="26"/>
        <v>3.4474663018787655E-2</v>
      </c>
      <c r="V18" s="76">
        <f t="shared" si="26"/>
        <v>-0.41093586285132006</v>
      </c>
    </row>
    <row r="19" spans="1:22" s="7" customFormat="1" x14ac:dyDescent="0.15">
      <c r="A19" s="69" t="s">
        <v>17</v>
      </c>
      <c r="B19" s="30">
        <v>39.344000000000001</v>
      </c>
      <c r="C19" s="30">
        <v>53.04</v>
      </c>
      <c r="D19" s="30">
        <v>75.900999999999996</v>
      </c>
      <c r="E19" s="30">
        <v>77.995999999999995</v>
      </c>
      <c r="F19" s="25">
        <v>80.488</v>
      </c>
      <c r="G19" s="30">
        <v>81.349000000000004</v>
      </c>
      <c r="H19" s="30">
        <v>84.912000000000006</v>
      </c>
      <c r="I19" s="30">
        <v>89.137</v>
      </c>
      <c r="J19" s="25">
        <v>90.242889000000005</v>
      </c>
      <c r="K19" s="30">
        <v>94.290537999999998</v>
      </c>
      <c r="L19" s="30">
        <v>98.777974999999998</v>
      </c>
      <c r="M19" s="30">
        <v>99.551790999999994</v>
      </c>
      <c r="N19" s="25">
        <v>102.25664399999999</v>
      </c>
      <c r="O19" s="30">
        <v>105.978076</v>
      </c>
      <c r="P19" s="30">
        <v>106.647222</v>
      </c>
      <c r="Q19" s="56">
        <v>107.734499</v>
      </c>
      <c r="R19" s="25">
        <v>110.92127600000001</v>
      </c>
      <c r="S19" s="7">
        <v>112.013409</v>
      </c>
      <c r="T19" s="7">
        <v>113.086997</v>
      </c>
      <c r="U19" s="7">
        <v>116.02724000000001</v>
      </c>
      <c r="V19" s="92">
        <v>116.806549</v>
      </c>
    </row>
    <row r="20" spans="1:22" x14ac:dyDescent="0.15">
      <c r="B20" s="27"/>
      <c r="C20" s="27"/>
      <c r="D20" s="27"/>
      <c r="E20" s="27"/>
      <c r="K20" s="27"/>
      <c r="L20" s="27"/>
      <c r="M20" s="27"/>
      <c r="O20" s="27"/>
      <c r="P20" s="27"/>
      <c r="Q20" s="59"/>
    </row>
    <row r="21" spans="1:22" x14ac:dyDescent="0.15">
      <c r="A21" s="24" t="s">
        <v>19</v>
      </c>
      <c r="B21" s="36">
        <f t="shared" ref="B21:P21" si="27">IFERROR(B8/B6,0)</f>
        <v>0.57743386526721641</v>
      </c>
      <c r="C21" s="36">
        <f t="shared" si="27"/>
        <v>0.56207986466634019</v>
      </c>
      <c r="D21" s="36">
        <f t="shared" si="27"/>
        <v>0.54451938013867318</v>
      </c>
      <c r="E21" s="36">
        <f t="shared" si="27"/>
        <v>0.5196728086300999</v>
      </c>
      <c r="F21" s="37">
        <f t="shared" si="27"/>
        <v>0.55120871263166582</v>
      </c>
      <c r="G21" s="38">
        <f t="shared" si="27"/>
        <v>0.54846676745876943</v>
      </c>
      <c r="H21" s="38">
        <f t="shared" si="27"/>
        <v>0.53979794733776543</v>
      </c>
      <c r="I21" s="38">
        <f t="shared" si="27"/>
        <v>0.52257579592431513</v>
      </c>
      <c r="J21" s="37">
        <f t="shared" si="27"/>
        <v>0.56713430000235532</v>
      </c>
      <c r="K21" s="36">
        <f t="shared" si="27"/>
        <v>0.57261547591572981</v>
      </c>
      <c r="L21" s="36">
        <f t="shared" si="27"/>
        <v>0.58339748973497574</v>
      </c>
      <c r="M21" s="36">
        <f t="shared" si="27"/>
        <v>0.54370461461129016</v>
      </c>
      <c r="N21" s="37">
        <f t="shared" si="27"/>
        <v>0.57778296164971543</v>
      </c>
      <c r="O21" s="36">
        <f t="shared" si="27"/>
        <v>0.55908443315929335</v>
      </c>
      <c r="P21" s="36">
        <f t="shared" si="27"/>
        <v>0.55441302802298709</v>
      </c>
      <c r="Q21" s="57">
        <f>IFERROR(Q8/Q6,0)</f>
        <v>0.54016727640739592</v>
      </c>
      <c r="R21" s="85">
        <f>IFERROR(R8/R6,0)</f>
        <v>0.56256201596345501</v>
      </c>
      <c r="S21" s="57">
        <f>IFERROR(S8/S6,0)</f>
        <v>0.56629834254143652</v>
      </c>
      <c r="T21" s="57">
        <f>IFERROR(T8/T6,0)</f>
        <v>0.55498721227621484</v>
      </c>
      <c r="U21" s="57">
        <f>IFERROR(U8/U6,0)</f>
        <v>0.52277227722772279</v>
      </c>
      <c r="V21" s="85">
        <f>IFERROR(V8/V6,0)</f>
        <v>0.54680851063829783</v>
      </c>
    </row>
    <row r="22" spans="1:22" x14ac:dyDescent="0.15">
      <c r="A22" s="24" t="s">
        <v>20</v>
      </c>
      <c r="B22" s="40">
        <f t="shared" ref="B22:P22" si="28">IFERROR(B13/B6,0)</f>
        <v>-9.3070579415229712E-2</v>
      </c>
      <c r="C22" s="40">
        <f t="shared" si="28"/>
        <v>-7.7037795485910124E-2</v>
      </c>
      <c r="D22" s="40">
        <f t="shared" si="28"/>
        <v>-8.1460993445231639E-2</v>
      </c>
      <c r="E22" s="40">
        <f t="shared" si="28"/>
        <v>-9.2898978239493793E-2</v>
      </c>
      <c r="F22" s="41">
        <f t="shared" si="28"/>
        <v>-0.13354968235197034</v>
      </c>
      <c r="G22" s="42">
        <f t="shared" si="28"/>
        <v>-9.9934215841287144E-2</v>
      </c>
      <c r="H22" s="42">
        <f t="shared" si="28"/>
        <v>-9.5292132800417803E-2</v>
      </c>
      <c r="I22" s="42">
        <f t="shared" si="28"/>
        <v>-7.1366665899695689E-2</v>
      </c>
      <c r="J22" s="41">
        <f t="shared" si="28"/>
        <v>-0.11352734752196189</v>
      </c>
      <c r="K22" s="40">
        <f t="shared" si="28"/>
        <v>-0.10488938709571063</v>
      </c>
      <c r="L22" s="40">
        <f t="shared" si="28"/>
        <v>-7.393150429264643E-2</v>
      </c>
      <c r="M22" s="40">
        <f t="shared" si="28"/>
        <v>-2.7435439424811789E-2</v>
      </c>
      <c r="N22" s="41">
        <f t="shared" si="28"/>
        <v>-9.486330129700489E-2</v>
      </c>
      <c r="O22" s="40">
        <f t="shared" si="28"/>
        <v>-0.1255740662875619</v>
      </c>
      <c r="P22" s="40">
        <f t="shared" si="28"/>
        <v>-0.11615024586764629</v>
      </c>
      <c r="Q22" s="58">
        <f>IFERROR(Q13/Q6,0)</f>
        <v>-2.7505220117372831E-2</v>
      </c>
      <c r="R22" s="86">
        <f>IFERROR(R13/R6,0)</f>
        <v>-0.11142279441591114</v>
      </c>
      <c r="S22" s="58">
        <f>IFERROR(S13/S6,0)</f>
        <v>-0.11049723756906077</v>
      </c>
      <c r="T22" s="58">
        <f>IFERROR(T13/T6,0)</f>
        <v>-8.9514066496163683E-2</v>
      </c>
      <c r="U22" s="58">
        <f>IFERROR(U13/U6,0)</f>
        <v>-5.9405940594059403E-2</v>
      </c>
      <c r="V22" s="86">
        <f>IFERROR(V13/V6,0)</f>
        <v>-0.15531914893617021</v>
      </c>
    </row>
    <row r="23" spans="1:22" x14ac:dyDescent="0.15">
      <c r="A23" s="24" t="s">
        <v>21</v>
      </c>
      <c r="B23" s="40">
        <f t="shared" ref="B23:P23" si="29">IFERROR(B16/B15,0)</f>
        <v>0</v>
      </c>
      <c r="C23" s="40">
        <f t="shared" si="29"/>
        <v>0</v>
      </c>
      <c r="D23" s="40">
        <f t="shared" si="29"/>
        <v>0</v>
      </c>
      <c r="E23" s="40">
        <f t="shared" si="29"/>
        <v>0</v>
      </c>
      <c r="F23" s="41">
        <f t="shared" si="29"/>
        <v>0</v>
      </c>
      <c r="G23" s="42">
        <f t="shared" si="29"/>
        <v>-2.5002962436307601E-2</v>
      </c>
      <c r="H23" s="42">
        <f t="shared" si="29"/>
        <v>0</v>
      </c>
      <c r="I23" s="42">
        <f t="shared" si="29"/>
        <v>0</v>
      </c>
      <c r="J23" s="41">
        <f t="shared" si="29"/>
        <v>0</v>
      </c>
      <c r="K23" s="40">
        <f t="shared" si="29"/>
        <v>0</v>
      </c>
      <c r="L23" s="40">
        <f t="shared" si="29"/>
        <v>0</v>
      </c>
      <c r="M23" s="40">
        <f t="shared" si="29"/>
        <v>0</v>
      </c>
      <c r="N23" s="41">
        <f t="shared" si="29"/>
        <v>0</v>
      </c>
      <c r="O23" s="40">
        <f t="shared" si="29"/>
        <v>0</v>
      </c>
      <c r="P23" s="40">
        <f t="shared" si="29"/>
        <v>0</v>
      </c>
      <c r="Q23" s="58">
        <f>IFERROR(Q16/Q15,0)</f>
        <v>0</v>
      </c>
      <c r="R23" s="86">
        <f>IFERROR(R16/R15,0)</f>
        <v>0</v>
      </c>
      <c r="S23" s="58">
        <f>IFERROR(S16/S15,0)</f>
        <v>0</v>
      </c>
      <c r="T23" s="58">
        <f>IFERROR(T16/T15,0)</f>
        <v>-1.6</v>
      </c>
      <c r="U23" s="58">
        <f>IFERROR(U16/U15,0)</f>
        <v>1.2666666666666666</v>
      </c>
      <c r="V23" s="86">
        <f>IFERROR(V16/V15,0)</f>
        <v>0.37662337662337664</v>
      </c>
    </row>
    <row r="24" spans="1:22" x14ac:dyDescent="0.15">
      <c r="B24" s="27"/>
      <c r="C24" s="27"/>
      <c r="D24" s="27"/>
      <c r="E24" s="27"/>
      <c r="K24" s="27"/>
      <c r="L24" s="27"/>
      <c r="M24" s="27"/>
      <c r="O24" s="27"/>
      <c r="P24" s="27"/>
      <c r="Q24" s="59"/>
      <c r="S24" s="27"/>
      <c r="T24" s="27"/>
      <c r="U24" s="27"/>
      <c r="V24" s="26"/>
    </row>
    <row r="25" spans="1:22" s="2" customFormat="1" x14ac:dyDescent="0.15">
      <c r="A25" s="28" t="s">
        <v>18</v>
      </c>
      <c r="B25" s="32"/>
      <c r="C25" s="32"/>
      <c r="D25" s="32"/>
      <c r="E25" s="32"/>
      <c r="F25" s="33">
        <f t="shared" ref="F25:P25" si="30">IFERROR((F6/B6)-1,0)</f>
        <v>0.94714576416407859</v>
      </c>
      <c r="G25" s="32">
        <f t="shared" si="30"/>
        <v>0.92866046387392576</v>
      </c>
      <c r="H25" s="32">
        <f t="shared" si="30"/>
        <v>0.88644716402076318</v>
      </c>
      <c r="I25" s="32">
        <f t="shared" si="30"/>
        <v>0.8580223162754903</v>
      </c>
      <c r="J25" s="33">
        <f t="shared" si="30"/>
        <v>0.75158824014741055</v>
      </c>
      <c r="K25" s="32">
        <f t="shared" si="30"/>
        <v>0.7502625595808281</v>
      </c>
      <c r="L25" s="32">
        <f t="shared" si="30"/>
        <v>0.72182610616802911</v>
      </c>
      <c r="M25" s="32">
        <f t="shared" si="30"/>
        <v>0.70891910755236509</v>
      </c>
      <c r="N25" s="33">
        <f t="shared" si="30"/>
        <v>0.68269494971698608</v>
      </c>
      <c r="O25" s="32">
        <f t="shared" si="30"/>
        <v>0.61526491048761978</v>
      </c>
      <c r="P25" s="32">
        <f t="shared" si="30"/>
        <v>0.57512131392310528</v>
      </c>
      <c r="Q25" s="60">
        <f>IFERROR((Q6/M6)-1,0)</f>
        <v>0.54326927392354141</v>
      </c>
      <c r="R25" s="87">
        <f>IFERROR((R6/N6)-1,0)</f>
        <v>0.49520388168330687</v>
      </c>
      <c r="S25" s="60">
        <f>IFERROR((S6/O6)-1,0)</f>
        <v>0.47777419447018543</v>
      </c>
      <c r="T25" s="60">
        <f>IFERROR((T6/P6)-1,0)</f>
        <v>0.4478049647490967</v>
      </c>
      <c r="U25" s="60">
        <f>IFERROR((U6/Q6)-1,0)</f>
        <v>0.46861240846618712</v>
      </c>
      <c r="V25" s="87">
        <f>IFERROR((V6/R6)-1,0)</f>
        <v>0.46654102258473196</v>
      </c>
    </row>
    <row r="26" spans="1:22" s="2" customFormat="1" x14ac:dyDescent="0.15">
      <c r="A26" s="24" t="s">
        <v>34</v>
      </c>
      <c r="B26" s="34"/>
      <c r="C26" s="34"/>
      <c r="D26" s="34"/>
      <c r="E26" s="34"/>
      <c r="F26" s="35">
        <f t="shared" ref="F26:V28" si="31">IFERROR((F9/B9)-1,0)</f>
        <v>0.86927389580199654</v>
      </c>
      <c r="G26" s="34">
        <f t="shared" si="31"/>
        <v>0.90136363636363614</v>
      </c>
      <c r="H26" s="34">
        <f t="shared" si="31"/>
        <v>0.93305522447357969</v>
      </c>
      <c r="I26" s="34">
        <f t="shared" si="31"/>
        <v>0.8072520493316595</v>
      </c>
      <c r="J26" s="35">
        <f t="shared" si="31"/>
        <v>0.94542794440380407</v>
      </c>
      <c r="K26" s="34">
        <f t="shared" si="31"/>
        <v>0.95517571121204869</v>
      </c>
      <c r="L26" s="34">
        <f t="shared" si="31"/>
        <v>0.86774226698181089</v>
      </c>
      <c r="M26" s="34">
        <f t="shared" si="31"/>
        <v>0.6483736515201044</v>
      </c>
      <c r="N26" s="35">
        <f t="shared" si="31"/>
        <v>0.79423930209821769</v>
      </c>
      <c r="O26" s="34">
        <f t="shared" si="31"/>
        <v>0.65999266369138598</v>
      </c>
      <c r="P26" s="34">
        <f t="shared" si="31"/>
        <v>0.69543328748280597</v>
      </c>
      <c r="Q26" s="61">
        <f t="shared" si="31"/>
        <v>0.66151862961402119</v>
      </c>
      <c r="R26" s="88">
        <f>IFERROR((R10/N9)-1,0)</f>
        <v>1.2005197418056834</v>
      </c>
      <c r="S26" s="61">
        <f>IFERROR((S10/O9)-1,0)</f>
        <v>1.191326765491207</v>
      </c>
      <c r="T26" s="61">
        <f>IFERROR((T10/P9)-1,0)</f>
        <v>0.89845689529280048</v>
      </c>
      <c r="U26" s="61">
        <f>IFERROR((U10/Q9)-1,0)</f>
        <v>0.96944378133206022</v>
      </c>
      <c r="V26" s="88">
        <f>IFERROR((V10/R9)-1,0)</f>
        <v>1.0394736842105261</v>
      </c>
    </row>
    <row r="27" spans="1:22" s="2" customFormat="1" x14ac:dyDescent="0.15">
      <c r="A27" s="24" t="s">
        <v>35</v>
      </c>
      <c r="B27" s="34"/>
      <c r="C27" s="34"/>
      <c r="D27" s="34"/>
      <c r="E27" s="34"/>
      <c r="F27" s="35">
        <f t="shared" si="31"/>
        <v>1.0685376661742985</v>
      </c>
      <c r="G27" s="34">
        <f t="shared" si="31"/>
        <v>0.82791622646199725</v>
      </c>
      <c r="H27" s="34">
        <f t="shared" si="31"/>
        <v>0.79935221783047861</v>
      </c>
      <c r="I27" s="34">
        <f t="shared" si="31"/>
        <v>0.73196608514227357</v>
      </c>
      <c r="J27" s="35">
        <f t="shared" si="31"/>
        <v>0.61860896886603833</v>
      </c>
      <c r="K27" s="34">
        <f t="shared" si="31"/>
        <v>0.86556964607486475</v>
      </c>
      <c r="L27" s="34">
        <f t="shared" si="31"/>
        <v>0.77911340269091123</v>
      </c>
      <c r="M27" s="34">
        <f t="shared" si="31"/>
        <v>0.72170391634201381</v>
      </c>
      <c r="N27" s="35">
        <f t="shared" si="31"/>
        <v>0.67168129880442939</v>
      </c>
      <c r="O27" s="34">
        <f t="shared" si="31"/>
        <v>0.59438329202507645</v>
      </c>
      <c r="P27" s="34">
        <f t="shared" si="31"/>
        <v>0.57140652330486685</v>
      </c>
      <c r="Q27" s="61">
        <f t="shared" si="31"/>
        <v>0.41666418554797979</v>
      </c>
      <c r="R27" s="88">
        <f>IFERROR((R9/N10)-1,0)</f>
        <v>2.8502058482000603E-3</v>
      </c>
      <c r="S27" s="61">
        <f>IFERROR((S9/O10)-1,0)</f>
        <v>-1.6996810954770347E-2</v>
      </c>
      <c r="T27" s="61">
        <f>IFERROR((T9/P10)-1,0)</f>
        <v>-1.7842527418562848E-2</v>
      </c>
      <c r="U27" s="61">
        <f>IFERROR((U9/Q10)-1,0)</f>
        <v>8.2353435684036969E-2</v>
      </c>
      <c r="V27" s="88">
        <f>IFERROR((V9/R10)-1,0)</f>
        <v>0.10476190476190483</v>
      </c>
    </row>
    <row r="28" spans="1:22" s="2" customFormat="1" x14ac:dyDescent="0.15">
      <c r="A28" s="24" t="s">
        <v>36</v>
      </c>
      <c r="B28" s="34"/>
      <c r="C28" s="34"/>
      <c r="D28" s="34"/>
      <c r="E28" s="34"/>
      <c r="F28" s="35">
        <f t="shared" si="31"/>
        <v>0.93817140128909049</v>
      </c>
      <c r="G28" s="34">
        <f t="shared" si="31"/>
        <v>1.6261119832548405</v>
      </c>
      <c r="H28" s="34">
        <f t="shared" si="31"/>
        <v>1.3118302164320235</v>
      </c>
      <c r="I28" s="34">
        <f t="shared" si="31"/>
        <v>1.0167678519803411</v>
      </c>
      <c r="J28" s="35">
        <f t="shared" si="31"/>
        <v>0.81968222687523085</v>
      </c>
      <c r="K28" s="34">
        <f t="shared" si="31"/>
        <v>0.51051110889708062</v>
      </c>
      <c r="L28" s="34">
        <f t="shared" si="31"/>
        <v>0.63961097982185056</v>
      </c>
      <c r="M28" s="34">
        <f t="shared" si="31"/>
        <v>0.41520928899082565</v>
      </c>
      <c r="N28" s="35">
        <f t="shared" si="31"/>
        <v>0.39941789630431845</v>
      </c>
      <c r="O28" s="34">
        <f t="shared" si="31"/>
        <v>0.70991359409009958</v>
      </c>
      <c r="P28" s="34">
        <f t="shared" si="31"/>
        <v>0.54282388158988848</v>
      </c>
      <c r="Q28" s="61">
        <f t="shared" si="31"/>
        <v>0.67201823246391501</v>
      </c>
      <c r="R28" s="88">
        <f t="shared" si="31"/>
        <v>0.69286577992744847</v>
      </c>
      <c r="S28" s="61">
        <f t="shared" si="31"/>
        <v>0.54297176361672594</v>
      </c>
      <c r="T28" s="61">
        <f t="shared" si="31"/>
        <v>0.61690201573784642</v>
      </c>
      <c r="U28" s="61">
        <f t="shared" si="31"/>
        <v>0.78712061549645584</v>
      </c>
      <c r="V28" s="88">
        <f t="shared" si="31"/>
        <v>0.68571428571428572</v>
      </c>
    </row>
    <row r="29" spans="1:22" x14ac:dyDescent="0.15">
      <c r="B29" s="27"/>
      <c r="C29" s="27"/>
      <c r="D29" s="27"/>
      <c r="E29" s="27"/>
      <c r="K29" s="27"/>
      <c r="L29" s="27"/>
      <c r="M29" s="27"/>
      <c r="O29" s="27"/>
      <c r="P29" s="27"/>
      <c r="Q29" s="59"/>
    </row>
    <row r="30" spans="1:22" s="73" customFormat="1" x14ac:dyDescent="0.15">
      <c r="A30" s="72" t="s">
        <v>26</v>
      </c>
      <c r="B30" s="29"/>
      <c r="C30" s="29"/>
      <c r="D30" s="29"/>
      <c r="E30" s="44">
        <f>E31-E32</f>
        <v>190.173</v>
      </c>
      <c r="F30" s="48">
        <f>F31-F32</f>
        <v>189.464</v>
      </c>
      <c r="G30" s="50">
        <f t="shared" ref="G30:L30" si="32">G31-G32</f>
        <v>179.64600000000002</v>
      </c>
      <c r="H30" s="50">
        <f t="shared" si="32"/>
        <v>400.28700000000003</v>
      </c>
      <c r="I30" s="50">
        <f t="shared" si="32"/>
        <v>392.41399999999999</v>
      </c>
      <c r="J30" s="48">
        <f t="shared" si="32"/>
        <v>395.69000000000005</v>
      </c>
      <c r="K30" s="44">
        <f t="shared" si="32"/>
        <v>932.41699999999992</v>
      </c>
      <c r="L30" s="44">
        <f t="shared" si="32"/>
        <v>926.55900000000008</v>
      </c>
      <c r="M30" s="44">
        <f>L30+M17</f>
        <v>923.57200000000012</v>
      </c>
      <c r="N30" s="48">
        <f t="shared" ref="N30" si="33">N31-N32</f>
        <v>1580.0329999999999</v>
      </c>
      <c r="O30" s="44">
        <f t="shared" ref="O30:P30" si="34">O31-O32</f>
        <v>1574.1679999999999</v>
      </c>
      <c r="P30" s="44">
        <f t="shared" si="34"/>
        <v>1578.2250000000001</v>
      </c>
      <c r="Q30" s="44">
        <f t="shared" ref="Q30:V30" si="35">Q31-Q32</f>
        <v>1969.67</v>
      </c>
      <c r="R30" s="48">
        <f t="shared" si="35"/>
        <v>1997</v>
      </c>
      <c r="S30" s="44">
        <f t="shared" si="35"/>
        <v>2013</v>
      </c>
      <c r="T30" s="44">
        <f t="shared" si="35"/>
        <v>2668</v>
      </c>
      <c r="U30" s="44">
        <f t="shared" si="35"/>
        <v>2455</v>
      </c>
      <c r="V30" s="48">
        <f t="shared" si="35"/>
        <v>2360</v>
      </c>
    </row>
    <row r="31" spans="1:22" s="7" customFormat="1" x14ac:dyDescent="0.15">
      <c r="A31" s="69" t="s">
        <v>27</v>
      </c>
      <c r="B31" s="30"/>
      <c r="C31" s="30"/>
      <c r="D31" s="30"/>
      <c r="E31" s="30">
        <f>110.07+80.103</f>
        <v>190.173</v>
      </c>
      <c r="F31" s="25">
        <f>83.864+105.6</f>
        <v>189.464</v>
      </c>
      <c r="G31" s="30">
        <f>68.14+111.506</f>
        <v>179.64600000000002</v>
      </c>
      <c r="H31" s="30">
        <f>187.36+212.927</f>
        <v>400.28700000000003</v>
      </c>
      <c r="I31" s="30">
        <f>84.013+308.401</f>
        <v>392.41399999999999</v>
      </c>
      <c r="J31" s="25">
        <f>101.268+294.422</f>
        <v>395.69000000000005</v>
      </c>
      <c r="K31" s="30">
        <f>199.397+733.02</f>
        <v>932.41699999999992</v>
      </c>
      <c r="L31" s="30">
        <f>119.849+806.71</f>
        <v>926.55900000000008</v>
      </c>
      <c r="M31" s="30">
        <f>141.677+796.362</f>
        <v>938.03899999999999</v>
      </c>
      <c r="N31" s="25">
        <f>196.578+1383.455</f>
        <v>1580.0329999999999</v>
      </c>
      <c r="O31" s="30">
        <f>219.801+1354.367</f>
        <v>1574.1679999999999</v>
      </c>
      <c r="P31" s="30">
        <f>243.421+1334.804</f>
        <v>1578.2250000000001</v>
      </c>
      <c r="Q31" s="30">
        <f>410.683+1558.987</f>
        <v>1969.67</v>
      </c>
      <c r="R31" s="25">
        <f>410+1587</f>
        <v>1997</v>
      </c>
      <c r="S31" s="7">
        <f>669+1344</f>
        <v>2013</v>
      </c>
      <c r="T31" s="7">
        <f>1125+1543</f>
        <v>2668</v>
      </c>
      <c r="U31" s="7">
        <f>650+1805</f>
        <v>2455</v>
      </c>
      <c r="V31" s="91">
        <f>969+1391</f>
        <v>2360</v>
      </c>
    </row>
    <row r="32" spans="1:22" s="7" customFormat="1" x14ac:dyDescent="0.15">
      <c r="A32" s="69" t="s">
        <v>28</v>
      </c>
      <c r="B32" s="30"/>
      <c r="C32" s="30"/>
      <c r="D32" s="30"/>
      <c r="E32" s="30">
        <v>0</v>
      </c>
      <c r="F32" s="25">
        <v>0</v>
      </c>
      <c r="G32" s="30">
        <v>0</v>
      </c>
      <c r="H32" s="30">
        <v>0</v>
      </c>
      <c r="I32" s="30">
        <v>0</v>
      </c>
      <c r="J32" s="25">
        <v>0</v>
      </c>
      <c r="K32" s="30">
        <v>0</v>
      </c>
      <c r="L32" s="30">
        <v>0</v>
      </c>
      <c r="M32" s="30">
        <v>0</v>
      </c>
      <c r="N32" s="25">
        <v>0</v>
      </c>
      <c r="O32" s="30">
        <v>0</v>
      </c>
      <c r="P32" s="30">
        <v>0</v>
      </c>
      <c r="Q32" s="30">
        <v>0</v>
      </c>
      <c r="R32" s="25">
        <v>0</v>
      </c>
      <c r="S32" s="7">
        <v>0</v>
      </c>
      <c r="T32" s="7">
        <v>0</v>
      </c>
      <c r="U32" s="90">
        <v>0</v>
      </c>
      <c r="V32" s="91">
        <v>0</v>
      </c>
    </row>
    <row r="33" spans="1:22" s="7" customFormat="1" x14ac:dyDescent="0.15">
      <c r="A33" s="69"/>
      <c r="B33" s="23"/>
      <c r="C33" s="23"/>
      <c r="D33" s="23"/>
      <c r="E33" s="23"/>
      <c r="F33" s="25"/>
      <c r="G33" s="23"/>
      <c r="H33" s="23"/>
      <c r="I33" s="23"/>
      <c r="J33" s="25"/>
      <c r="K33" s="23"/>
      <c r="L33" s="23"/>
      <c r="M33" s="23"/>
      <c r="N33" s="25"/>
      <c r="O33" s="23"/>
      <c r="P33" s="23"/>
      <c r="Q33" s="23"/>
      <c r="R33" s="25"/>
      <c r="V33" s="91"/>
    </row>
    <row r="34" spans="1:22" s="7" customFormat="1" x14ac:dyDescent="0.15">
      <c r="A34" s="11" t="s">
        <v>68</v>
      </c>
      <c r="B34" s="23"/>
      <c r="C34" s="23"/>
      <c r="D34" s="23"/>
      <c r="E34" s="23">
        <f>5.826+2.373</f>
        <v>8.1989999999999998</v>
      </c>
      <c r="F34" s="25"/>
      <c r="G34" s="23"/>
      <c r="H34" s="23"/>
      <c r="I34" s="23">
        <f>6.437+15.504</f>
        <v>21.940999999999999</v>
      </c>
      <c r="J34" s="25"/>
      <c r="K34" s="23"/>
      <c r="L34" s="23"/>
      <c r="M34" s="23">
        <f>17.21+20.317</f>
        <v>37.527000000000001</v>
      </c>
      <c r="N34" s="25">
        <f>21.088+20.317</f>
        <v>41.405000000000001</v>
      </c>
      <c r="O34" s="23">
        <f>24.656+22.894</f>
        <v>47.55</v>
      </c>
      <c r="P34" s="23">
        <f>26.06+22.894</f>
        <v>48.953999999999994</v>
      </c>
      <c r="Q34" s="23">
        <f>26.072+38.019</f>
        <v>64.090999999999994</v>
      </c>
      <c r="R34" s="25">
        <f>24+44</f>
        <v>68</v>
      </c>
      <c r="S34" s="7">
        <f>25+48</f>
        <v>73</v>
      </c>
      <c r="T34" s="7">
        <f>25+48</f>
        <v>73</v>
      </c>
      <c r="U34" s="7">
        <f>167+312</f>
        <v>479</v>
      </c>
      <c r="V34" s="91">
        <f>159+312</f>
        <v>471</v>
      </c>
    </row>
    <row r="35" spans="1:22" s="7" customFormat="1" x14ac:dyDescent="0.15">
      <c r="A35" s="11" t="s">
        <v>69</v>
      </c>
      <c r="B35" s="23"/>
      <c r="C35" s="23"/>
      <c r="D35" s="23"/>
      <c r="E35" s="23">
        <v>243.71199999999999</v>
      </c>
      <c r="F35" s="25"/>
      <c r="G35" s="23"/>
      <c r="H35" s="23"/>
      <c r="I35" s="23">
        <v>490.55799999999999</v>
      </c>
      <c r="J35" s="25"/>
      <c r="K35" s="23"/>
      <c r="L35" s="23"/>
      <c r="M35" s="23">
        <v>1113.5640000000001</v>
      </c>
      <c r="N35" s="25">
        <v>1782.5360000000001</v>
      </c>
      <c r="O35" s="23">
        <v>1809.057</v>
      </c>
      <c r="P35" s="23">
        <v>1841.694</v>
      </c>
      <c r="Q35" s="23">
        <v>2254.7849999999999</v>
      </c>
      <c r="R35" s="25">
        <v>2403</v>
      </c>
      <c r="S35" s="7">
        <v>2467</v>
      </c>
      <c r="T35" s="7">
        <v>3189</v>
      </c>
      <c r="U35" s="7">
        <v>3489</v>
      </c>
      <c r="V35" s="91">
        <v>3471</v>
      </c>
    </row>
    <row r="36" spans="1:22" s="7" customFormat="1" x14ac:dyDescent="0.15">
      <c r="A36" s="11" t="s">
        <v>70</v>
      </c>
      <c r="B36" s="23"/>
      <c r="C36" s="23"/>
      <c r="D36" s="23"/>
      <c r="E36" s="23">
        <f>37.237+11.158</f>
        <v>48.395000000000003</v>
      </c>
      <c r="F36" s="25"/>
      <c r="G36" s="23"/>
      <c r="H36" s="23"/>
      <c r="I36" s="23">
        <f>66.532+13.55</f>
        <v>80.081999999999994</v>
      </c>
      <c r="J36" s="25"/>
      <c r="K36" s="23"/>
      <c r="L36" s="23"/>
      <c r="M36" s="23">
        <f>94.754+17.71</f>
        <v>112.464</v>
      </c>
      <c r="N36" s="25">
        <f>113.576+19.071</f>
        <v>132.64699999999999</v>
      </c>
      <c r="O36" s="23">
        <f>132.38+20.476</f>
        <v>152.85599999999999</v>
      </c>
      <c r="P36" s="23">
        <f>146.947+22.669</f>
        <v>169.61600000000001</v>
      </c>
      <c r="Q36" s="23">
        <f>138.688+25.329</f>
        <v>164.017</v>
      </c>
      <c r="R36" s="25">
        <f>173+102</f>
        <v>275</v>
      </c>
      <c r="S36" s="7">
        <f>193+113</f>
        <v>306</v>
      </c>
      <c r="T36" s="7">
        <f>260+109</f>
        <v>369</v>
      </c>
      <c r="U36" s="7">
        <f>316+157</f>
        <v>473</v>
      </c>
      <c r="V36" s="91">
        <f>289+142</f>
        <v>431</v>
      </c>
    </row>
    <row r="37" spans="1:22" s="7" customFormat="1" x14ac:dyDescent="0.15">
      <c r="A37" s="10"/>
      <c r="B37" s="23"/>
      <c r="C37" s="23"/>
      <c r="D37" s="23"/>
      <c r="E37" s="23"/>
      <c r="F37" s="25"/>
      <c r="G37" s="23"/>
      <c r="H37" s="23"/>
      <c r="I37" s="23"/>
      <c r="J37" s="25"/>
      <c r="K37" s="23"/>
      <c r="L37" s="23"/>
      <c r="M37" s="23"/>
      <c r="N37" s="25"/>
      <c r="O37" s="23"/>
      <c r="P37" s="23"/>
      <c r="Q37" s="23"/>
      <c r="R37" s="25"/>
      <c r="V37" s="91"/>
    </row>
    <row r="38" spans="1:22" s="7" customFormat="1" x14ac:dyDescent="0.15">
      <c r="A38" s="11" t="s">
        <v>71</v>
      </c>
      <c r="B38" s="23"/>
      <c r="C38" s="23"/>
      <c r="D38" s="23"/>
      <c r="E38" s="51">
        <f>E35-E34-E31</f>
        <v>45.339999999999975</v>
      </c>
      <c r="F38" s="25"/>
      <c r="G38" s="23"/>
      <c r="H38" s="23"/>
      <c r="I38" s="51">
        <f>I35-I34-I31</f>
        <v>76.203000000000031</v>
      </c>
      <c r="J38" s="25"/>
      <c r="K38" s="23"/>
      <c r="L38" s="23"/>
      <c r="M38" s="47">
        <f>M35-M34-M31</f>
        <v>137.99800000000005</v>
      </c>
      <c r="N38" s="46">
        <f>N35-N34-N31</f>
        <v>161.09800000000018</v>
      </c>
      <c r="O38" s="47">
        <f>O35-O34-O31</f>
        <v>187.33900000000017</v>
      </c>
      <c r="P38" s="47">
        <f>P35-P34-P31</f>
        <v>214.51499999999987</v>
      </c>
      <c r="Q38" s="47">
        <f>Q35-Q34-Q31</f>
        <v>221.02399999999989</v>
      </c>
      <c r="R38" s="46">
        <f>R35-R34-R31</f>
        <v>338</v>
      </c>
      <c r="S38" s="47">
        <f>S35-S34-S31</f>
        <v>381</v>
      </c>
      <c r="T38" s="47">
        <f>T35-T34-T31</f>
        <v>448</v>
      </c>
      <c r="U38" s="47">
        <f>U35-U34-U31</f>
        <v>555</v>
      </c>
      <c r="V38" s="46">
        <f>V35-V34-V31</f>
        <v>640</v>
      </c>
    </row>
    <row r="39" spans="1:22" s="7" customFormat="1" x14ac:dyDescent="0.15">
      <c r="A39" s="11" t="s">
        <v>72</v>
      </c>
      <c r="B39" s="23"/>
      <c r="C39" s="23"/>
      <c r="D39" s="23"/>
      <c r="E39" s="51">
        <f>E35-E36</f>
        <v>195.31699999999998</v>
      </c>
      <c r="F39" s="25"/>
      <c r="G39" s="23"/>
      <c r="H39" s="23"/>
      <c r="I39" s="51">
        <f>I35-I36</f>
        <v>410.476</v>
      </c>
      <c r="J39" s="25"/>
      <c r="K39" s="23"/>
      <c r="L39" s="23"/>
      <c r="M39" s="47">
        <f>M35-M36</f>
        <v>1001.1000000000001</v>
      </c>
      <c r="N39" s="46">
        <f>N35-N36</f>
        <v>1649.8890000000001</v>
      </c>
      <c r="O39" s="47">
        <f>O35-O36</f>
        <v>1656.201</v>
      </c>
      <c r="P39" s="47">
        <f>P35-P36</f>
        <v>1672.078</v>
      </c>
      <c r="Q39" s="47">
        <f>Q35-Q36</f>
        <v>2090.768</v>
      </c>
      <c r="R39" s="46">
        <f>R35-R36</f>
        <v>2128</v>
      </c>
      <c r="S39" s="47">
        <f>S35-S36</f>
        <v>2161</v>
      </c>
      <c r="T39" s="47">
        <f>T35-T36</f>
        <v>2820</v>
      </c>
      <c r="U39" s="47">
        <f>U35-U36</f>
        <v>3016</v>
      </c>
      <c r="V39" s="46">
        <f>V35-V36</f>
        <v>3040</v>
      </c>
    </row>
    <row r="40" spans="1:22" s="7" customFormat="1" x14ac:dyDescent="0.15">
      <c r="A40" s="10"/>
      <c r="B40" s="23"/>
      <c r="C40" s="23"/>
      <c r="D40" s="23"/>
      <c r="E40" s="23"/>
      <c r="F40" s="25"/>
      <c r="G40" s="23"/>
      <c r="H40" s="23"/>
      <c r="I40" s="23"/>
      <c r="J40" s="25"/>
      <c r="K40" s="23"/>
      <c r="L40" s="23"/>
      <c r="M40" s="23"/>
      <c r="N40" s="25"/>
      <c r="O40" s="23"/>
      <c r="P40" s="23"/>
      <c r="Q40" s="23"/>
      <c r="R40" s="25"/>
      <c r="S40" s="30"/>
      <c r="V40" s="91"/>
    </row>
    <row r="41" spans="1:22" s="73" customFormat="1" x14ac:dyDescent="0.15">
      <c r="A41" s="79" t="s">
        <v>77</v>
      </c>
      <c r="B41" s="80"/>
      <c r="C41" s="80"/>
      <c r="D41" s="80"/>
      <c r="E41" s="52">
        <f>SUM(B17:E17)</f>
        <v>-18.789999999999992</v>
      </c>
      <c r="F41" s="25"/>
      <c r="G41" s="23"/>
      <c r="H41" s="23"/>
      <c r="I41" s="52">
        <f>SUM(F17:I17)</f>
        <v>-35.566000000000017</v>
      </c>
      <c r="J41" s="25"/>
      <c r="K41" s="23"/>
      <c r="L41" s="23"/>
      <c r="M41" s="50">
        <f>SUM(J17:M17)</f>
        <v>-31.322999999999983</v>
      </c>
      <c r="N41" s="48">
        <f>SUM(K17:N17)</f>
        <v>-41.898000000000025</v>
      </c>
      <c r="O41" s="50">
        <f>SUM(L17:O17)</f>
        <v>-60.850000000000051</v>
      </c>
      <c r="P41" s="50">
        <f>SUM(M17:P17)</f>
        <v>-71.157000000000082</v>
      </c>
      <c r="Q41" s="50">
        <f>SUM(N17:Q17)</f>
        <v>-69.684000000000125</v>
      </c>
      <c r="R41" s="48">
        <f>SUM(O17:R17)</f>
        <v>-61.657000000000131</v>
      </c>
      <c r="S41" s="50">
        <f>SUM(P17:S17)</f>
        <v>-55.306000000000111</v>
      </c>
      <c r="T41" s="50">
        <f>SUM(Q17:T17)</f>
        <v>-116.22300000000008</v>
      </c>
      <c r="U41" s="50">
        <f>SUM(R17:U17)</f>
        <v>-110.70900000000003</v>
      </c>
      <c r="V41" s="48">
        <f>SUM(S17:V17)</f>
        <v>-144</v>
      </c>
    </row>
    <row r="42" spans="1:22" s="20" customFormat="1" x14ac:dyDescent="0.15">
      <c r="A42" s="53" t="s">
        <v>73</v>
      </c>
      <c r="B42" s="38"/>
      <c r="C42" s="38"/>
      <c r="D42" s="38"/>
      <c r="E42" s="20">
        <f>E41/E39</f>
        <v>-9.6202583492476304E-2</v>
      </c>
      <c r="F42" s="25"/>
      <c r="G42" s="23"/>
      <c r="H42" s="23"/>
      <c r="I42" s="20">
        <f>I41/I39</f>
        <v>-8.6645747863456121E-2</v>
      </c>
      <c r="J42" s="25"/>
      <c r="K42" s="23"/>
      <c r="L42" s="23"/>
      <c r="M42" s="38">
        <f>M41/M39</f>
        <v>-3.1288582559184874E-2</v>
      </c>
      <c r="N42" s="37">
        <f>N41/N39</f>
        <v>-2.5394435625669377E-2</v>
      </c>
      <c r="O42" s="38">
        <f>O41/O39</f>
        <v>-3.6740709611937226E-2</v>
      </c>
      <c r="P42" s="38">
        <f>P41/P39</f>
        <v>-4.2556029084767626E-2</v>
      </c>
      <c r="Q42" s="38">
        <f>Q41/Q39</f>
        <v>-3.3329379443343368E-2</v>
      </c>
      <c r="R42" s="37">
        <f>R41/R39</f>
        <v>-2.8974154135338409E-2</v>
      </c>
      <c r="S42" s="38">
        <f>S41/S39</f>
        <v>-2.5592781119851971E-2</v>
      </c>
      <c r="T42" s="38">
        <f>T41/T39</f>
        <v>-4.121382978723407E-2</v>
      </c>
      <c r="U42" s="38">
        <f>U41/U39</f>
        <v>-3.6707228116710885E-2</v>
      </c>
      <c r="V42" s="37">
        <f>V41/V39</f>
        <v>-4.736842105263158E-2</v>
      </c>
    </row>
    <row r="43" spans="1:22" s="20" customFormat="1" x14ac:dyDescent="0.15">
      <c r="A43" s="53" t="s">
        <v>74</v>
      </c>
      <c r="B43" s="38"/>
      <c r="C43" s="38"/>
      <c r="D43" s="38"/>
      <c r="E43" s="20">
        <f>E41/E35</f>
        <v>-7.7099199054621814E-2</v>
      </c>
      <c r="F43" s="25"/>
      <c r="G43" s="23"/>
      <c r="H43" s="23"/>
      <c r="I43" s="20">
        <f>I41/I35</f>
        <v>-7.2501110979741476E-2</v>
      </c>
      <c r="J43" s="25"/>
      <c r="K43" s="23"/>
      <c r="L43" s="23"/>
      <c r="M43" s="38">
        <f>M41/M35</f>
        <v>-2.8128603295365134E-2</v>
      </c>
      <c r="N43" s="37">
        <f>N41/N35</f>
        <v>-2.3504714631289367E-2</v>
      </c>
      <c r="O43" s="38">
        <f>O41/O35</f>
        <v>-3.363630886146763E-2</v>
      </c>
      <c r="P43" s="38">
        <f>P41/P35</f>
        <v>-3.8636711636135038E-2</v>
      </c>
      <c r="Q43" s="38">
        <f>Q41/Q35</f>
        <v>-3.0904942156347558E-2</v>
      </c>
      <c r="R43" s="37">
        <f>R41/R35</f>
        <v>-2.5658343736995479E-2</v>
      </c>
      <c r="S43" s="38">
        <f>S41/S35</f>
        <v>-2.2418321848398912E-2</v>
      </c>
      <c r="T43" s="38">
        <f>T41/T35</f>
        <v>-3.6444967074317991E-2</v>
      </c>
      <c r="U43" s="38">
        <f>U41/U35</f>
        <v>-3.1730868443680144E-2</v>
      </c>
      <c r="V43" s="37">
        <f>V41/V35</f>
        <v>-4.1486603284356091E-2</v>
      </c>
    </row>
    <row r="44" spans="1:22" s="20" customFormat="1" x14ac:dyDescent="0.15">
      <c r="A44" s="53" t="s">
        <v>75</v>
      </c>
      <c r="B44" s="38"/>
      <c r="C44" s="38"/>
      <c r="D44" s="38"/>
      <c r="E44" s="20">
        <f>E41/(E39-E34)</f>
        <v>-0.10041791810515287</v>
      </c>
      <c r="F44" s="25"/>
      <c r="G44" s="23"/>
      <c r="H44" s="23"/>
      <c r="I44" s="20">
        <f>I41/(I39-I34)</f>
        <v>-9.1538728814649944E-2</v>
      </c>
      <c r="J44" s="25"/>
      <c r="K44" s="23"/>
      <c r="L44" s="23"/>
      <c r="M44" s="38">
        <f>M41/(M39-M34)</f>
        <v>-3.2507137497626001E-2</v>
      </c>
      <c r="N44" s="37">
        <f>N41/(N39-N34)</f>
        <v>-2.6048129791779104E-2</v>
      </c>
      <c r="O44" s="38">
        <f>O41/(O39-O34)</f>
        <v>-3.7826725622897725E-2</v>
      </c>
      <c r="P44" s="38">
        <f>P41/(P39-P34)</f>
        <v>-4.3839534132943683E-2</v>
      </c>
      <c r="Q44" s="38">
        <f>Q41/(Q39-Q34)</f>
        <v>-3.4383377321595951E-2</v>
      </c>
      <c r="R44" s="37">
        <f>R41/(R39-R34)</f>
        <v>-2.9930582524271908E-2</v>
      </c>
      <c r="S44" s="38">
        <f>S41/(S39-S34)</f>
        <v>-2.648754789272036E-2</v>
      </c>
      <c r="T44" s="38">
        <f>T41/(T39-T34)</f>
        <v>-4.230906443392795E-2</v>
      </c>
      <c r="U44" s="38">
        <f>U41/(U39-U34)</f>
        <v>-4.3637761135199064E-2</v>
      </c>
      <c r="V44" s="37">
        <f>V41/(V39-V34)</f>
        <v>-5.6052938886726356E-2</v>
      </c>
    </row>
    <row r="45" spans="1:22" s="20" customFormat="1" x14ac:dyDescent="0.15">
      <c r="A45" s="53" t="s">
        <v>76</v>
      </c>
      <c r="B45" s="38"/>
      <c r="C45" s="38"/>
      <c r="D45" s="38"/>
      <c r="E45" s="20">
        <f>E41/E38</f>
        <v>-0.41442434936038824</v>
      </c>
      <c r="F45" s="25"/>
      <c r="G45" s="23"/>
      <c r="H45" s="23"/>
      <c r="I45" s="20">
        <f>I41/I38</f>
        <v>-0.46672703174415708</v>
      </c>
      <c r="J45" s="25"/>
      <c r="K45" s="23"/>
      <c r="L45" s="23"/>
      <c r="M45" s="38">
        <f>M41/M38</f>
        <v>-0.2269815504572528</v>
      </c>
      <c r="N45" s="37">
        <f>N41/N38</f>
        <v>-0.26007771666935642</v>
      </c>
      <c r="O45" s="38">
        <f>O41/O38</f>
        <v>-0.32481223877569537</v>
      </c>
      <c r="P45" s="38">
        <f>P41/P38</f>
        <v>-0.33171106915600368</v>
      </c>
      <c r="Q45" s="38">
        <f>Q41/Q38</f>
        <v>-0.31527797886202474</v>
      </c>
      <c r="R45" s="37">
        <f>R41/R38</f>
        <v>-0.18241715976331399</v>
      </c>
      <c r="S45" s="38">
        <f>S41/S38</f>
        <v>-0.14516010498687693</v>
      </c>
      <c r="T45" s="38">
        <f>T41/T38</f>
        <v>-0.25942633928571446</v>
      </c>
      <c r="U45" s="38">
        <f>U41/U38</f>
        <v>-0.19947567567567573</v>
      </c>
      <c r="V45" s="37">
        <f>V41/V38</f>
        <v>-0.22500000000000001</v>
      </c>
    </row>
    <row r="46" spans="1:22" x14ac:dyDescent="0.15">
      <c r="A46" s="3"/>
      <c r="R46" s="89"/>
      <c r="S46" s="54"/>
      <c r="T46" s="54"/>
      <c r="U46" s="54"/>
      <c r="V46" s="89"/>
    </row>
    <row r="47" spans="1:22" x14ac:dyDescent="0.15">
      <c r="A47" s="1" t="s">
        <v>78</v>
      </c>
      <c r="F47" s="39">
        <f t="shared" ref="F47:V48" si="36">F3/B3-1</f>
        <v>0.73165712240515401</v>
      </c>
      <c r="G47" s="20">
        <f t="shared" si="36"/>
        <v>0.71546407950037305</v>
      </c>
      <c r="H47" s="20">
        <f t="shared" si="36"/>
        <v>0.68602841677943172</v>
      </c>
      <c r="I47" s="20">
        <f t="shared" si="36"/>
        <v>0.62930536292186789</v>
      </c>
      <c r="J47" s="37">
        <f t="shared" si="36"/>
        <v>0.60388570247506834</v>
      </c>
      <c r="K47" s="38">
        <f t="shared" si="36"/>
        <v>0.63937354032147264</v>
      </c>
      <c r="L47" s="38">
        <f t="shared" si="36"/>
        <v>0.65402596360280119</v>
      </c>
      <c r="M47" s="38">
        <f t="shared" si="36"/>
        <v>0.6655966800858355</v>
      </c>
      <c r="N47" s="37">
        <f t="shared" si="36"/>
        <v>0.61401417525773194</v>
      </c>
      <c r="O47" s="38">
        <f t="shared" si="36"/>
        <v>0.54642587781781615</v>
      </c>
      <c r="P47" s="38">
        <f t="shared" si="36"/>
        <v>0.46196397161399871</v>
      </c>
      <c r="Q47" s="62">
        <f>Q3/M3-1</f>
        <v>0.4220916118315976</v>
      </c>
      <c r="R47" s="85">
        <f>R3/N3-1</f>
        <v>0.40173456556019094</v>
      </c>
      <c r="S47" s="62">
        <f>S3/O3-1</f>
        <v>0.38185168125287872</v>
      </c>
      <c r="T47" s="62">
        <f>T3/P3-1</f>
        <v>0.3773990391397064</v>
      </c>
      <c r="U47" s="62">
        <f>U3/Q3-1</f>
        <v>0.37017070979335132</v>
      </c>
      <c r="V47" s="85">
        <f>V3/R3-1</f>
        <v>0.338545115378317</v>
      </c>
    </row>
    <row r="48" spans="1:22" x14ac:dyDescent="0.15">
      <c r="A48" s="1" t="s">
        <v>79</v>
      </c>
      <c r="F48" s="39">
        <f t="shared" si="36"/>
        <v>1.2683382235262735</v>
      </c>
      <c r="G48" s="20">
        <f t="shared" si="36"/>
        <v>1.2074793239841783</v>
      </c>
      <c r="H48" s="20">
        <f t="shared" si="36"/>
        <v>1.141522431757513</v>
      </c>
      <c r="I48" s="20">
        <f t="shared" si="36"/>
        <v>1.0805848446506396</v>
      </c>
      <c r="J48" s="37">
        <f t="shared" si="36"/>
        <v>0.91965545625587986</v>
      </c>
      <c r="K48" s="38">
        <f t="shared" si="36"/>
        <v>0.86296046354687839</v>
      </c>
      <c r="L48" s="38">
        <f t="shared" si="36"/>
        <v>0.78976256056615535</v>
      </c>
      <c r="M48" s="38">
        <f t="shared" si="36"/>
        <v>0.74193199632412554</v>
      </c>
      <c r="N48" s="37">
        <f t="shared" si="36"/>
        <v>0.74799001516102837</v>
      </c>
      <c r="O48" s="38">
        <f t="shared" si="36"/>
        <v>0.67683025844086075</v>
      </c>
      <c r="P48" s="38">
        <f t="shared" si="36"/>
        <v>0.67990698823873008</v>
      </c>
      <c r="Q48" s="62">
        <f t="shared" si="36"/>
        <v>0.63156343098311818</v>
      </c>
      <c r="R48" s="85">
        <f t="shared" si="36"/>
        <v>0.5772546477195073</v>
      </c>
      <c r="S48" s="62">
        <f t="shared" si="36"/>
        <v>0.55688979603998767</v>
      </c>
      <c r="T48" s="62">
        <f t="shared" si="36"/>
        <v>0.50454372204056264</v>
      </c>
      <c r="U48" s="62">
        <f t="shared" si="36"/>
        <v>0.53113142052857332</v>
      </c>
      <c r="V48" s="85">
        <f t="shared" si="36"/>
        <v>0.56639689831195739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44CA3-C7D7-E648-9FC8-7B256295A831}">
  <dimension ref="B4:C12"/>
  <sheetViews>
    <sheetView workbookViewId="0">
      <selection activeCell="C7" sqref="C7"/>
    </sheetView>
  </sheetViews>
  <sheetFormatPr baseColWidth="10" defaultRowHeight="13" x14ac:dyDescent="0.15"/>
  <cols>
    <col min="2" max="2" width="16.83203125" customWidth="1"/>
    <col min="3" max="3" width="34.83203125" bestFit="1" customWidth="1"/>
  </cols>
  <sheetData>
    <row r="4" spans="2:3" x14ac:dyDescent="0.15">
      <c r="B4" s="81" t="s">
        <v>96</v>
      </c>
    </row>
    <row r="6" spans="2:3" x14ac:dyDescent="0.15">
      <c r="B6" t="s">
        <v>97</v>
      </c>
      <c r="C6" t="s">
        <v>98</v>
      </c>
    </row>
    <row r="7" spans="2:3" x14ac:dyDescent="0.15">
      <c r="B7" t="s">
        <v>108</v>
      </c>
    </row>
    <row r="10" spans="2:3" x14ac:dyDescent="0.15">
      <c r="B10" s="81" t="s">
        <v>105</v>
      </c>
    </row>
    <row r="12" spans="2:3" x14ac:dyDescent="0.15">
      <c r="B12" t="s">
        <v>106</v>
      </c>
      <c r="C12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2020-07-20T12:58:53Z</dcterms:modified>
</cp:coreProperties>
</file>