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michaelsjoeberg/Dropbox/- PROJECTS/- Investing/stocks/"/>
    </mc:Choice>
  </mc:AlternateContent>
  <xr:revisionPtr revIDLastSave="0" documentId="13_ncr:1_{DD807CC5-614A-AF44-80B8-B8DC46D6C978}" xr6:coauthVersionLast="45" xr6:coauthVersionMax="45" xr10:uidLastSave="{00000000-0000-0000-0000-000000000000}"/>
  <bookViews>
    <workbookView xWindow="0" yWindow="460" windowWidth="20900" windowHeight="18380" tabRatio="500" activeTab="1" xr2:uid="{00000000-000D-0000-FFFF-FFFF00000000}"/>
  </bookViews>
  <sheets>
    <sheet name="Main" sheetId="2" r:id="rId1"/>
    <sheet name="Reports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2" l="1"/>
  <c r="G10" i="2" s="1"/>
  <c r="H10" i="2" s="1"/>
  <c r="I10" i="2" s="1"/>
  <c r="I57" i="2" s="1"/>
  <c r="C35" i="2"/>
  <c r="E16" i="2"/>
  <c r="I58" i="2"/>
  <c r="F16" i="2"/>
  <c r="F11" i="2"/>
  <c r="G11" i="2" s="1"/>
  <c r="H11" i="2" s="1"/>
  <c r="I11" i="2" s="1"/>
  <c r="E11" i="2"/>
  <c r="D57" i="2"/>
  <c r="D41" i="2"/>
  <c r="D43" i="2"/>
  <c r="D42" i="2"/>
  <c r="D35" i="2"/>
  <c r="D28" i="2"/>
  <c r="D25" i="2"/>
  <c r="D22" i="2"/>
  <c r="D23" i="2" s="1"/>
  <c r="D18" i="2"/>
  <c r="D16" i="2"/>
  <c r="D29" i="2"/>
  <c r="D26" i="2"/>
  <c r="D24" i="2"/>
  <c r="D21" i="2"/>
  <c r="D20" i="2"/>
  <c r="D19" i="2"/>
  <c r="D17" i="2"/>
  <c r="D11" i="2"/>
  <c r="D10" i="2"/>
  <c r="M9" i="1"/>
  <c r="M4" i="1"/>
  <c r="M3" i="1"/>
  <c r="M52" i="1" s="1"/>
  <c r="M53" i="1"/>
  <c r="M44" i="1"/>
  <c r="M39" i="1"/>
  <c r="M36" i="1"/>
  <c r="M43" i="1" s="1"/>
  <c r="M35" i="1"/>
  <c r="M32" i="1"/>
  <c r="M31" i="1"/>
  <c r="M30" i="1"/>
  <c r="M15" i="1"/>
  <c r="M33" i="1" s="1"/>
  <c r="L39" i="1"/>
  <c r="L36" i="1"/>
  <c r="L53" i="1"/>
  <c r="L52" i="1"/>
  <c r="L44" i="1"/>
  <c r="L43" i="1"/>
  <c r="L35" i="1"/>
  <c r="L32" i="1"/>
  <c r="L31" i="1"/>
  <c r="L30" i="1"/>
  <c r="L15" i="1"/>
  <c r="L33" i="1" s="1"/>
  <c r="L9" i="1"/>
  <c r="L29" i="1" s="1"/>
  <c r="K39" i="1"/>
  <c r="K36" i="1"/>
  <c r="K53" i="1"/>
  <c r="K52" i="1"/>
  <c r="K44" i="1"/>
  <c r="K43" i="1"/>
  <c r="K35" i="1"/>
  <c r="K32" i="1"/>
  <c r="K31" i="1"/>
  <c r="K30" i="1"/>
  <c r="K29" i="1"/>
  <c r="K15" i="1"/>
  <c r="K11" i="1"/>
  <c r="K25" i="1" s="1"/>
  <c r="K9" i="1"/>
  <c r="I16" i="2" l="1"/>
  <c r="H16" i="2"/>
  <c r="G16" i="2"/>
  <c r="M29" i="1"/>
  <c r="L11" i="1"/>
  <c r="K16" i="1"/>
  <c r="K26" i="1"/>
  <c r="K18" i="1"/>
  <c r="K33" i="1"/>
  <c r="D36" i="2"/>
  <c r="C11" i="2"/>
  <c r="C10" i="2"/>
  <c r="C5" i="2"/>
  <c r="C3" i="2"/>
  <c r="C9" i="2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H39" i="1"/>
  <c r="H43" i="1" s="1"/>
  <c r="B15" i="1"/>
  <c r="B16" i="1" s="1"/>
  <c r="B9" i="1"/>
  <c r="C15" i="1"/>
  <c r="C9" i="1"/>
  <c r="D15" i="1"/>
  <c r="D9" i="1"/>
  <c r="F15" i="1"/>
  <c r="F32" i="1"/>
  <c r="F31" i="1"/>
  <c r="F30" i="1"/>
  <c r="F9" i="1"/>
  <c r="F29" i="1"/>
  <c r="G15" i="1"/>
  <c r="G33" i="1"/>
  <c r="G32" i="1"/>
  <c r="G31" i="1"/>
  <c r="G30" i="1"/>
  <c r="G9" i="1"/>
  <c r="G29" i="1" s="1"/>
  <c r="G11" i="1"/>
  <c r="G16" i="1" s="1"/>
  <c r="E9" i="1"/>
  <c r="E11" i="1"/>
  <c r="E25" i="1" s="1"/>
  <c r="E15" i="1"/>
  <c r="E16" i="1" s="1"/>
  <c r="F11" i="1"/>
  <c r="F25" i="1" s="1"/>
  <c r="F16" i="1"/>
  <c r="F26" i="1" s="1"/>
  <c r="F18" i="1"/>
  <c r="H9" i="1"/>
  <c r="H11" i="1" s="1"/>
  <c r="H15" i="1"/>
  <c r="H44" i="1"/>
  <c r="H35" i="1"/>
  <c r="H33" i="1"/>
  <c r="H32" i="1"/>
  <c r="H31" i="1"/>
  <c r="H30" i="1"/>
  <c r="H29" i="1"/>
  <c r="E39" i="1"/>
  <c r="I39" i="1"/>
  <c r="J39" i="1"/>
  <c r="J9" i="1"/>
  <c r="J29" i="1" s="1"/>
  <c r="J11" i="1"/>
  <c r="J25" i="1" s="1"/>
  <c r="J15" i="1"/>
  <c r="J16" i="1"/>
  <c r="J26" i="1" s="1"/>
  <c r="J18" i="1"/>
  <c r="J27" i="1" s="1"/>
  <c r="I9" i="1"/>
  <c r="I29" i="1" s="1"/>
  <c r="I11" i="1"/>
  <c r="I15" i="1"/>
  <c r="I33" i="1" s="1"/>
  <c r="J53" i="1"/>
  <c r="J52" i="1"/>
  <c r="J43" i="1"/>
  <c r="J44" i="1"/>
  <c r="J35" i="1"/>
  <c r="J33" i="1"/>
  <c r="J32" i="1"/>
  <c r="J31" i="1"/>
  <c r="J30" i="1"/>
  <c r="C19" i="2"/>
  <c r="C20" i="2"/>
  <c r="C21" i="2"/>
  <c r="C22" i="2" s="1"/>
  <c r="B19" i="2"/>
  <c r="B22" i="2" s="1"/>
  <c r="B20" i="2"/>
  <c r="C37" i="2" s="1"/>
  <c r="B21" i="2"/>
  <c r="C46" i="2"/>
  <c r="C50" i="2" s="1"/>
  <c r="C45" i="2"/>
  <c r="C42" i="2"/>
  <c r="C41" i="2" s="1"/>
  <c r="C17" i="2"/>
  <c r="C24" i="2"/>
  <c r="C26" i="2"/>
  <c r="B10" i="2"/>
  <c r="B11" i="2"/>
  <c r="B16" i="2"/>
  <c r="I43" i="1"/>
  <c r="I44" i="1"/>
  <c r="C43" i="2"/>
  <c r="C47" i="2"/>
  <c r="C29" i="2"/>
  <c r="E29" i="2" s="1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I35" i="1"/>
  <c r="B42" i="2"/>
  <c r="B41" i="2" s="1"/>
  <c r="B43" i="2"/>
  <c r="I53" i="1"/>
  <c r="H53" i="1"/>
  <c r="G53" i="1"/>
  <c r="F53" i="1"/>
  <c r="I52" i="1"/>
  <c r="H52" i="1"/>
  <c r="G52" i="1"/>
  <c r="F52" i="1"/>
  <c r="B24" i="2"/>
  <c r="B46" i="2"/>
  <c r="B50" i="2" s="1"/>
  <c r="B45" i="2"/>
  <c r="B49" i="2" s="1"/>
  <c r="B17" i="2"/>
  <c r="B18" i="2"/>
  <c r="B31" i="2" s="1"/>
  <c r="B23" i="2"/>
  <c r="B26" i="2"/>
  <c r="B47" i="2"/>
  <c r="B11" i="1"/>
  <c r="B25" i="1" s="1"/>
  <c r="C11" i="1"/>
  <c r="C25" i="1" s="1"/>
  <c r="C16" i="1"/>
  <c r="C26" i="1" s="1"/>
  <c r="C18" i="1"/>
  <c r="D11" i="1"/>
  <c r="D16" i="1" s="1"/>
  <c r="C4" i="2"/>
  <c r="E43" i="1"/>
  <c r="E44" i="1"/>
  <c r="I25" i="1"/>
  <c r="E35" i="1"/>
  <c r="I32" i="1"/>
  <c r="I31" i="1"/>
  <c r="I30" i="1"/>
  <c r="G25" i="1"/>
  <c r="B29" i="2"/>
  <c r="C38" i="2"/>
  <c r="C36" i="2"/>
  <c r="D25" i="1"/>
  <c r="M11" i="1" l="1"/>
  <c r="M25" i="1"/>
  <c r="M16" i="1"/>
  <c r="L25" i="1"/>
  <c r="L16" i="1"/>
  <c r="K27" i="1"/>
  <c r="K21" i="1"/>
  <c r="C6" i="2"/>
  <c r="C7" i="2" s="1"/>
  <c r="G26" i="1"/>
  <c r="G18" i="1"/>
  <c r="B26" i="1"/>
  <c r="B18" i="1"/>
  <c r="D58" i="2"/>
  <c r="E20" i="2"/>
  <c r="D37" i="2"/>
  <c r="D39" i="2"/>
  <c r="C21" i="1"/>
  <c r="C22" i="1" s="1"/>
  <c r="C27" i="1"/>
  <c r="F33" i="1"/>
  <c r="E26" i="1"/>
  <c r="E18" i="1"/>
  <c r="I16" i="1"/>
  <c r="E10" i="2"/>
  <c r="H25" i="1"/>
  <c r="H16" i="1"/>
  <c r="C39" i="2"/>
  <c r="F21" i="1"/>
  <c r="F27" i="1"/>
  <c r="D18" i="1"/>
  <c r="D26" i="1"/>
  <c r="B25" i="2"/>
  <c r="B32" i="2"/>
  <c r="C16" i="2"/>
  <c r="J21" i="1"/>
  <c r="J22" i="1" s="1"/>
  <c r="C49" i="2"/>
  <c r="C57" i="2"/>
  <c r="C58" i="2"/>
  <c r="E19" i="2"/>
  <c r="M26" i="1" l="1"/>
  <c r="M18" i="1"/>
  <c r="L18" i="1"/>
  <c r="L26" i="1"/>
  <c r="K46" i="1"/>
  <c r="K22" i="1"/>
  <c r="H26" i="1"/>
  <c r="H18" i="1"/>
  <c r="F20" i="2"/>
  <c r="E37" i="2"/>
  <c r="E58" i="2"/>
  <c r="E57" i="2"/>
  <c r="E21" i="2"/>
  <c r="D38" i="2"/>
  <c r="I18" i="1"/>
  <c r="I26" i="1"/>
  <c r="F22" i="1"/>
  <c r="B27" i="1"/>
  <c r="B21" i="1"/>
  <c r="B27" i="2"/>
  <c r="B33" i="2"/>
  <c r="E36" i="2"/>
  <c r="F19" i="2"/>
  <c r="G21" i="1"/>
  <c r="G27" i="1"/>
  <c r="C18" i="2"/>
  <c r="D27" i="1"/>
  <c r="D21" i="1"/>
  <c r="D22" i="1" s="1"/>
  <c r="E27" i="1"/>
  <c r="E21" i="1"/>
  <c r="M27" i="1" l="1"/>
  <c r="M21" i="1"/>
  <c r="L27" i="1"/>
  <c r="L21" i="1"/>
  <c r="K47" i="1"/>
  <c r="K50" i="1"/>
  <c r="K49" i="1"/>
  <c r="K48" i="1"/>
  <c r="G22" i="1"/>
  <c r="F57" i="2"/>
  <c r="E38" i="2"/>
  <c r="F21" i="2"/>
  <c r="E22" i="2"/>
  <c r="E39" i="2" s="1"/>
  <c r="F58" i="2"/>
  <c r="E35" i="2"/>
  <c r="F37" i="2"/>
  <c r="G20" i="2"/>
  <c r="C23" i="2"/>
  <c r="C31" i="2"/>
  <c r="B22" i="1"/>
  <c r="E46" i="1"/>
  <c r="E22" i="1"/>
  <c r="B55" i="2"/>
  <c r="B28" i="2"/>
  <c r="B54" i="2"/>
  <c r="B53" i="2"/>
  <c r="B52" i="2"/>
  <c r="H27" i="1"/>
  <c r="H21" i="1"/>
  <c r="J46" i="1" s="1"/>
  <c r="I27" i="1"/>
  <c r="I21" i="1"/>
  <c r="I22" i="1" s="1"/>
  <c r="F36" i="2"/>
  <c r="G19" i="2"/>
  <c r="M22" i="1" l="1"/>
  <c r="M46" i="1"/>
  <c r="L22" i="1"/>
  <c r="L46" i="1"/>
  <c r="J49" i="1"/>
  <c r="J50" i="1"/>
  <c r="J48" i="1"/>
  <c r="J47" i="1"/>
  <c r="G57" i="2"/>
  <c r="F35" i="2"/>
  <c r="H46" i="1"/>
  <c r="C32" i="2"/>
  <c r="C25" i="2"/>
  <c r="G58" i="2"/>
  <c r="H58" i="2"/>
  <c r="G22" i="2"/>
  <c r="G39" i="2" s="1"/>
  <c r="H19" i="2"/>
  <c r="G36" i="2"/>
  <c r="E48" i="1"/>
  <c r="E49" i="1"/>
  <c r="E50" i="1"/>
  <c r="E47" i="1"/>
  <c r="H22" i="1"/>
  <c r="I46" i="1"/>
  <c r="G21" i="2"/>
  <c r="F38" i="2"/>
  <c r="G37" i="2"/>
  <c r="H20" i="2"/>
  <c r="F22" i="2"/>
  <c r="F39" i="2" s="1"/>
  <c r="M49" i="1" l="1"/>
  <c r="M47" i="1"/>
  <c r="M50" i="1"/>
  <c r="M48" i="1"/>
  <c r="L49" i="1"/>
  <c r="L48" i="1"/>
  <c r="L50" i="1"/>
  <c r="L47" i="1"/>
  <c r="G35" i="2"/>
  <c r="H57" i="2"/>
  <c r="I19" i="2"/>
  <c r="H22" i="2"/>
  <c r="H39" i="2" s="1"/>
  <c r="H36" i="2"/>
  <c r="C27" i="2"/>
  <c r="C33" i="2"/>
  <c r="H50" i="1"/>
  <c r="H49" i="1"/>
  <c r="H48" i="1"/>
  <c r="H47" i="1"/>
  <c r="H37" i="2"/>
  <c r="I20" i="2"/>
  <c r="H21" i="2"/>
  <c r="G38" i="2"/>
  <c r="I50" i="1"/>
  <c r="I49" i="1"/>
  <c r="I48" i="1"/>
  <c r="I47" i="1"/>
  <c r="D31" i="2"/>
  <c r="E18" i="2" s="1"/>
  <c r="E17" i="2" s="1"/>
  <c r="D32" i="2" l="1"/>
  <c r="E31" i="2"/>
  <c r="F18" i="2" s="1"/>
  <c r="E23" i="2"/>
  <c r="J19" i="2"/>
  <c r="I36" i="2"/>
  <c r="H38" i="2"/>
  <c r="I21" i="2"/>
  <c r="I22" i="2" s="1"/>
  <c r="I39" i="2" s="1"/>
  <c r="H35" i="2"/>
  <c r="I37" i="2"/>
  <c r="J20" i="2"/>
  <c r="C54" i="2"/>
  <c r="C53" i="2"/>
  <c r="C55" i="2"/>
  <c r="C52" i="2"/>
  <c r="C28" i="2"/>
  <c r="K20" i="2" l="1"/>
  <c r="J37" i="2"/>
  <c r="J36" i="2"/>
  <c r="K19" i="2"/>
  <c r="J16" i="2"/>
  <c r="I35" i="2"/>
  <c r="E32" i="2"/>
  <c r="F23" i="2"/>
  <c r="F31" i="2"/>
  <c r="G18" i="2" s="1"/>
  <c r="F17" i="2"/>
  <c r="D33" i="2"/>
  <c r="D27" i="2"/>
  <c r="I38" i="2"/>
  <c r="J21" i="2"/>
  <c r="J22" i="2" s="1"/>
  <c r="J39" i="2" s="1"/>
  <c r="F32" i="2" l="1"/>
  <c r="G31" i="2"/>
  <c r="H18" i="2" s="1"/>
  <c r="G23" i="2"/>
  <c r="G17" i="2"/>
  <c r="K16" i="2"/>
  <c r="J35" i="2"/>
  <c r="L19" i="2"/>
  <c r="K36" i="2"/>
  <c r="L20" i="2"/>
  <c r="K37" i="2"/>
  <c r="J38" i="2"/>
  <c r="K21" i="2"/>
  <c r="K22" i="2" s="1"/>
  <c r="K39" i="2" s="1"/>
  <c r="K35" i="2" l="1"/>
  <c r="L16" i="2"/>
  <c r="E24" i="2"/>
  <c r="E25" i="2" s="1"/>
  <c r="G32" i="2"/>
  <c r="H23" i="2"/>
  <c r="H31" i="2"/>
  <c r="I18" i="2" s="1"/>
  <c r="H17" i="2"/>
  <c r="M20" i="2"/>
  <c r="L37" i="2"/>
  <c r="K38" i="2"/>
  <c r="L21" i="2"/>
  <c r="M19" i="2"/>
  <c r="L36" i="2"/>
  <c r="L35" i="2" l="1"/>
  <c r="M16" i="2"/>
  <c r="I31" i="2"/>
  <c r="J18" i="2" s="1"/>
  <c r="I23" i="2"/>
  <c r="I17" i="2"/>
  <c r="E27" i="2"/>
  <c r="E41" i="2" s="1"/>
  <c r="E33" i="2"/>
  <c r="N20" i="2"/>
  <c r="M37" i="2"/>
  <c r="N19" i="2"/>
  <c r="M36" i="2"/>
  <c r="L38" i="2"/>
  <c r="M21" i="2"/>
  <c r="H32" i="2"/>
  <c r="L22" i="2"/>
  <c r="L39" i="2" s="1"/>
  <c r="E28" i="2" l="1"/>
  <c r="I32" i="2"/>
  <c r="M35" i="2"/>
  <c r="N16" i="2"/>
  <c r="J23" i="2"/>
  <c r="J31" i="2"/>
  <c r="K18" i="2" s="1"/>
  <c r="J17" i="2"/>
  <c r="N21" i="2"/>
  <c r="M38" i="2"/>
  <c r="M22" i="2"/>
  <c r="M39" i="2" s="1"/>
  <c r="N36" i="2"/>
  <c r="O19" i="2"/>
  <c r="N22" i="2"/>
  <c r="N39" i="2" s="1"/>
  <c r="O20" i="2"/>
  <c r="O37" i="2" s="1"/>
  <c r="N37" i="2"/>
  <c r="K23" i="2" l="1"/>
  <c r="K31" i="2"/>
  <c r="L18" i="2" s="1"/>
  <c r="K17" i="2"/>
  <c r="J32" i="2"/>
  <c r="N35" i="2"/>
  <c r="O16" i="2"/>
  <c r="O36" i="2"/>
  <c r="F24" i="2"/>
  <c r="F25" i="2" s="1"/>
  <c r="N38" i="2"/>
  <c r="O21" i="2"/>
  <c r="O38" i="2" s="1"/>
  <c r="O35" i="2" l="1"/>
  <c r="L31" i="2"/>
  <c r="M18" i="2" s="1"/>
  <c r="L23" i="2"/>
  <c r="L17" i="2"/>
  <c r="K32" i="2"/>
  <c r="F27" i="2"/>
  <c r="F33" i="2"/>
  <c r="O22" i="2"/>
  <c r="O39" i="2" s="1"/>
  <c r="F28" i="2" l="1"/>
  <c r="F41" i="2"/>
  <c r="L32" i="2"/>
  <c r="M23" i="2"/>
  <c r="M31" i="2"/>
  <c r="N18" i="2" s="1"/>
  <c r="M17" i="2"/>
  <c r="M32" i="2" l="1"/>
  <c r="G24" i="2"/>
  <c r="G25" i="2" s="1"/>
  <c r="N31" i="2"/>
  <c r="O18" i="2" s="1"/>
  <c r="N23" i="2"/>
  <c r="N17" i="2"/>
  <c r="G27" i="2" l="1"/>
  <c r="G33" i="2"/>
  <c r="O31" i="2"/>
  <c r="O23" i="2"/>
  <c r="O17" i="2"/>
  <c r="N32" i="2"/>
  <c r="O32" i="2" l="1"/>
  <c r="G28" i="2"/>
  <c r="G41" i="2"/>
  <c r="H24" i="2" l="1"/>
  <c r="H25" i="2" s="1"/>
  <c r="H26" i="2" l="1"/>
  <c r="H33" i="2" s="1"/>
  <c r="H27" i="2" l="1"/>
  <c r="H41" i="2"/>
  <c r="H28" i="2" l="1"/>
  <c r="I24" i="2"/>
  <c r="I25" i="2" s="1"/>
  <c r="I26" i="2" l="1"/>
  <c r="I33" i="2" s="1"/>
  <c r="I27" i="2"/>
  <c r="I28" i="2" l="1"/>
  <c r="I41" i="2"/>
  <c r="J24" i="2" l="1"/>
  <c r="J25" i="2" s="1"/>
  <c r="J26" i="2" l="1"/>
  <c r="J33" i="2" s="1"/>
  <c r="J27" i="2" l="1"/>
  <c r="J28" i="2" l="1"/>
  <c r="J41" i="2"/>
  <c r="K24" i="2" l="1"/>
  <c r="K25" i="2" s="1"/>
  <c r="K26" i="2" l="1"/>
  <c r="K33" i="2" s="1"/>
  <c r="K27" i="2" l="1"/>
  <c r="K28" i="2"/>
  <c r="K41" i="2"/>
  <c r="L24" i="2" l="1"/>
  <c r="L25" i="2" s="1"/>
  <c r="L26" i="2" l="1"/>
  <c r="L33" i="2" s="1"/>
  <c r="L27" i="2"/>
  <c r="L28" i="2" l="1"/>
  <c r="L41" i="2"/>
  <c r="M24" i="2" l="1"/>
  <c r="M25" i="2" s="1"/>
  <c r="M26" i="2" l="1"/>
  <c r="M33" i="2" s="1"/>
  <c r="M27" i="2" l="1"/>
  <c r="M28" i="2" l="1"/>
  <c r="M41" i="2"/>
  <c r="N24" i="2" l="1"/>
  <c r="N25" i="2" s="1"/>
  <c r="N26" i="2" l="1"/>
  <c r="N33" i="2" s="1"/>
  <c r="N27" i="2"/>
  <c r="N28" i="2" l="1"/>
  <c r="N41" i="2"/>
  <c r="O24" i="2" l="1"/>
  <c r="O25" i="2" s="1"/>
  <c r="O26" i="2" l="1"/>
  <c r="O33" i="2" s="1"/>
  <c r="O27" i="2"/>
  <c r="O28" i="2" l="1"/>
  <c r="P27" i="2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AH27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BP27" i="2" s="1"/>
  <c r="BQ27" i="2" s="1"/>
  <c r="BR27" i="2" s="1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CC27" i="2" s="1"/>
  <c r="CD27" i="2" s="1"/>
  <c r="CE27" i="2" s="1"/>
  <c r="CF27" i="2" s="1"/>
  <c r="CG27" i="2" s="1"/>
  <c r="CH27" i="2" s="1"/>
  <c r="CI27" i="2" s="1"/>
  <c r="CJ27" i="2" s="1"/>
  <c r="CK27" i="2" s="1"/>
  <c r="CL27" i="2" s="1"/>
  <c r="CM27" i="2" s="1"/>
  <c r="CN27" i="2" s="1"/>
  <c r="CO27" i="2" s="1"/>
  <c r="CP27" i="2" s="1"/>
  <c r="CQ27" i="2" s="1"/>
  <c r="CR27" i="2" s="1"/>
  <c r="CS27" i="2" s="1"/>
  <c r="CT27" i="2" s="1"/>
  <c r="CU27" i="2" s="1"/>
  <c r="CV27" i="2" s="1"/>
  <c r="CW27" i="2" s="1"/>
  <c r="CX27" i="2" s="1"/>
  <c r="CY27" i="2" s="1"/>
  <c r="CZ27" i="2" s="1"/>
  <c r="DA27" i="2" s="1"/>
  <c r="DB27" i="2" s="1"/>
  <c r="DC27" i="2" s="1"/>
  <c r="DD27" i="2" s="1"/>
  <c r="DE27" i="2" s="1"/>
  <c r="DF27" i="2" s="1"/>
  <c r="DG27" i="2" s="1"/>
  <c r="DH27" i="2" s="1"/>
  <c r="DI27" i="2" s="1"/>
  <c r="DJ27" i="2" s="1"/>
  <c r="DK27" i="2" s="1"/>
  <c r="DL27" i="2" s="1"/>
  <c r="DM27" i="2" s="1"/>
  <c r="DN27" i="2" s="1"/>
  <c r="DO27" i="2" s="1"/>
  <c r="DP27" i="2" s="1"/>
  <c r="F5" i="2" s="1"/>
  <c r="O41" i="2"/>
  <c r="F6" i="2" l="1"/>
  <c r="F7" i="2" l="1"/>
  <c r="G7" i="2" s="1"/>
</calcChain>
</file>

<file path=xl/sharedStrings.xml><?xml version="1.0" encoding="utf-8"?>
<sst xmlns="http://schemas.openxmlformats.org/spreadsheetml/2006/main" count="137" uniqueCount="91">
  <si>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</si>
  <si>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</si>
  <si>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</si>
  <si>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</si>
  <si>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</si>
  <si>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</si>
  <si>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</si>
  <si>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</si>
  <si>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</si>
  <si>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</si>
  <si>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</si>
  <si>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</si>
  <si>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</si>
  <si>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</si>
  <si>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</si>
  <si>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</si>
  <si>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</si>
  <si>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</si>
  <si>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Net Cash</t>
  </si>
  <si>
    <t>Cash</t>
  </si>
  <si>
    <t>Debt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</si>
  <si>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</si>
  <si>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</si>
  <si>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</si>
  <si>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</si>
  <si>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</si>
  <si>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</si>
  <si>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</si>
  <si>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</si>
  <si>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</si>
  <si>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R&amp;D y/y</t>
  </si>
  <si>
    <t>S&amp;M y/y</t>
  </si>
  <si>
    <t>G&amp;A y/y</t>
  </si>
  <si>
    <t>EDGAR</t>
  </si>
  <si>
    <t>CEO</t>
  </si>
  <si>
    <t>Founder</t>
  </si>
  <si>
    <t>Price</t>
  </si>
  <si>
    <t>Market Cap</t>
  </si>
  <si>
    <t>EV</t>
  </si>
  <si>
    <t>per share</t>
  </si>
  <si>
    <t>Inflation + risk premium (opportunity cost)</t>
  </si>
  <si>
    <t>Q119</t>
  </si>
  <si>
    <t>Q219</t>
  </si>
  <si>
    <t>Q319</t>
  </si>
  <si>
    <t>Q419</t>
  </si>
  <si>
    <t>Intangibles</t>
  </si>
  <si>
    <t>Total assets</t>
  </si>
  <si>
    <t>Total liabilities</t>
  </si>
  <si>
    <t>TWC</t>
  </si>
  <si>
    <t>Equity</t>
  </si>
  <si>
    <t>NI 12M</t>
  </si>
  <si>
    <t>ROE</t>
  </si>
  <si>
    <t>ROA</t>
  </si>
  <si>
    <t>ROTB</t>
  </si>
  <si>
    <t>ROTWC</t>
  </si>
  <si>
    <t>Investor Relations</t>
  </si>
  <si>
    <t>Expected return on invested capital (innovation grade)</t>
  </si>
  <si>
    <t>DAU</t>
  </si>
  <si>
    <t>ARPU</t>
  </si>
  <si>
    <t>DAU y/y</t>
  </si>
  <si>
    <t>ARPU y/y</t>
  </si>
  <si>
    <t>Future net income (terminal value)</t>
  </si>
  <si>
    <t>Tax anomaly &amp; fines</t>
  </si>
  <si>
    <t>Smartsheet Inc (SMAR)</t>
  </si>
  <si>
    <t>Subscription</t>
  </si>
  <si>
    <t>Professional services</t>
  </si>
  <si>
    <t>Subscription y/y</t>
  </si>
  <si>
    <t>Professional services y/y</t>
  </si>
  <si>
    <t>Q120</t>
  </si>
  <si>
    <t>30/04/2019</t>
  </si>
  <si>
    <t>31/01/2019</t>
  </si>
  <si>
    <t>30/04/2018</t>
  </si>
  <si>
    <t>31/01/2018</t>
  </si>
  <si>
    <t>31/10/2018</t>
  </si>
  <si>
    <t>31/10/2017</t>
  </si>
  <si>
    <t>Operating Expenses y/y</t>
  </si>
  <si>
    <t>31/07/2018</t>
  </si>
  <si>
    <t>31/07/2017</t>
  </si>
  <si>
    <t>30/04/2017</t>
  </si>
  <si>
    <t>Q220</t>
  </si>
  <si>
    <t>31/07/2019</t>
  </si>
  <si>
    <t>31/10/2019</t>
  </si>
  <si>
    <t>31/01/2020</t>
  </si>
  <si>
    <t>Q320</t>
  </si>
  <si>
    <t>Q420</t>
  </si>
  <si>
    <t>77-78</t>
  </si>
  <si>
    <t>262-265</t>
  </si>
  <si>
    <t>OE y/y</t>
  </si>
  <si>
    <t>Mark Mader</t>
  </si>
  <si>
    <t>Brent Frei</t>
  </si>
  <si>
    <t>30/12/2019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</si>
</sst>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0.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4" fillId="0" borderId="0" xfId="4" applyFont="1" applyBorder="1"/>
    <xf numFmtId="0" fontId="5" fillId="0" borderId="0" xfId="0" applyFont="1"/>
    <xf numFmtId="0" fontId="6" fillId="0" borderId="0" xfId="0" applyFont="1"/>
    <xf numFmtId="4" fontId="6" fillId="0" borderId="0" xfId="0" applyNumberFormat="1" applyFont="1" applyBorder="1"/>
    <xf numFmtId="0" fontId="7" fillId="0" borderId="0" xfId="0" applyFont="1"/>
    <xf numFmtId="0" fontId="6" fillId="0" borderId="0" xfId="0" applyFont="1" applyBorder="1"/>
    <xf numFmtId="10" fontId="6" fillId="0" borderId="0" xfId="0" applyNumberFormat="1" applyFont="1"/>
    <xf numFmtId="3" fontId="6" fillId="0" borderId="0" xfId="0" applyNumberFormat="1" applyFont="1" applyBorder="1"/>
    <xf numFmtId="0" fontId="4" fillId="0" borderId="0" xfId="4" applyFont="1"/>
    <xf numFmtId="3" fontId="6" fillId="2" borderId="0" xfId="0" applyNumberFormat="1" applyFont="1" applyFill="1" applyBorder="1"/>
    <xf numFmtId="164" fontId="6" fillId="2" borderId="0" xfId="0" applyNumberFormat="1" applyFont="1" applyFill="1"/>
    <xf numFmtId="0" fontId="5" fillId="0" borderId="0" xfId="0" applyFont="1" applyBorder="1"/>
    <xf numFmtId="164" fontId="5" fillId="2" borderId="0" xfId="0" applyNumberFormat="1" applyFont="1" applyFill="1"/>
    <xf numFmtId="0" fontId="7" fillId="0" borderId="0" xfId="0" applyFont="1" applyBorder="1"/>
    <xf numFmtId="164" fontId="6" fillId="0" borderId="0" xfId="0" applyNumberFormat="1" applyFont="1"/>
    <xf numFmtId="3" fontId="6" fillId="0" borderId="0" xfId="0" applyNumberFormat="1" applyFont="1"/>
    <xf numFmtId="3" fontId="5" fillId="2" borderId="0" xfId="0" applyNumberFormat="1" applyFont="1" applyFill="1" applyBorder="1"/>
    <xf numFmtId="3" fontId="5" fillId="0" borderId="0" xfId="0" applyNumberFormat="1" applyFont="1" applyBorder="1"/>
    <xf numFmtId="2" fontId="6" fillId="2" borderId="0" xfId="0" applyNumberFormat="1" applyFont="1" applyFill="1" applyBorder="1"/>
    <xf numFmtId="2" fontId="6" fillId="0" borderId="0" xfId="0" applyNumberFormat="1" applyFont="1" applyBorder="1"/>
    <xf numFmtId="9" fontId="5" fillId="0" borderId="0" xfId="1" applyFont="1" applyBorder="1"/>
    <xf numFmtId="9" fontId="6" fillId="0" borderId="0" xfId="1" applyFont="1" applyBorder="1"/>
    <xf numFmtId="9" fontId="6" fillId="0" borderId="0" xfId="0" applyNumberFormat="1" applyFont="1" applyBorder="1"/>
    <xf numFmtId="165" fontId="6" fillId="0" borderId="0" xfId="0" applyNumberFormat="1" applyFont="1" applyFill="1"/>
    <xf numFmtId="165" fontId="6" fillId="0" borderId="0" xfId="0" applyNumberFormat="1" applyFont="1"/>
    <xf numFmtId="0" fontId="6" fillId="0" borderId="0" xfId="0" applyFont="1" applyFill="1" applyBorder="1"/>
    <xf numFmtId="9" fontId="6" fillId="0" borderId="0" xfId="0" applyNumberFormat="1" applyFont="1"/>
    <xf numFmtId="0" fontId="6" fillId="0" borderId="0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0" fontId="5" fillId="0" borderId="0" xfId="0" applyFont="1" applyFill="1" applyBorder="1"/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2" fontId="6" fillId="2" borderId="1" xfId="0" applyNumberFormat="1" applyFont="1" applyFill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3" fontId="5" fillId="0" borderId="0" xfId="0" applyNumberFormat="1" applyFont="1" applyFill="1" applyBorder="1"/>
    <xf numFmtId="3" fontId="6" fillId="0" borderId="0" xfId="0" applyNumberFormat="1" applyFont="1" applyFill="1"/>
    <xf numFmtId="3" fontId="6" fillId="0" borderId="0" xfId="0" applyNumberFormat="1" applyFont="1" applyFill="1" applyBorder="1"/>
    <xf numFmtId="3" fontId="6" fillId="2" borderId="0" xfId="0" applyNumberFormat="1" applyFont="1" applyFill="1"/>
    <xf numFmtId="3" fontId="7" fillId="0" borderId="0" xfId="0" applyNumberFormat="1" applyFon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4" fontId="6" fillId="2" borderId="0" xfId="0" applyNumberFormat="1" applyFont="1" applyFill="1"/>
    <xf numFmtId="4" fontId="6" fillId="0" borderId="0" xfId="0" applyNumberFormat="1" applyFont="1"/>
    <xf numFmtId="4" fontId="6" fillId="0" borderId="0" xfId="0" applyNumberFormat="1" applyFont="1" applyBorder="1" applyAlignment="1">
      <alignment horizontal="right"/>
    </xf>
    <xf numFmtId="4" fontId="6" fillId="0" borderId="1" xfId="0" applyNumberFormat="1" applyFont="1" applyBorder="1" applyAlignment="1">
      <alignment horizontal="right"/>
    </xf>
    <xf numFmtId="4" fontId="6" fillId="2" borderId="0" xfId="0" applyNumberFormat="1" applyFont="1" applyFill="1" applyBorder="1"/>
    <xf numFmtId="9" fontId="7" fillId="0" borderId="0" xfId="0" applyNumberFormat="1" applyFont="1" applyBorder="1" applyAlignment="1">
      <alignment horizontal="right"/>
    </xf>
    <xf numFmtId="9" fontId="7" fillId="0" borderId="1" xfId="0" applyNumberFormat="1" applyFont="1" applyBorder="1" applyAlignment="1">
      <alignment horizontal="right"/>
    </xf>
    <xf numFmtId="9" fontId="7" fillId="0" borderId="0" xfId="0" applyNumberFormat="1" applyFont="1" applyBorder="1"/>
    <xf numFmtId="3" fontId="7" fillId="0" borderId="0" xfId="0" applyNumberFormat="1" applyFont="1" applyAlignment="1">
      <alignment horizontal="right"/>
    </xf>
    <xf numFmtId="0" fontId="8" fillId="0" borderId="0" xfId="4" applyFont="1"/>
  </cellXfs>
  <cellStyles count="5">
    <cellStyle name="Followed Hyperlink" xfId="3" builtinId="9" hidden="1"/>
    <cellStyle name="Hyperlink" xfId="2" builtinId="8" hidden="1"/>
    <cellStyle name="Hyperlink" xfId="4" builtinId="8"/>
    <cellStyle name="Normal" xfId="0" builtinId="0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7</xdr:row>
      <xdr:rowOff>152400</xdr:rowOff>
    </xdr:from>
    <xdr:to>
      <xdr:col>4</xdr:col>
      <xdr:colOff>215900</xdr:colOff>
      <xdr:row>62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178300" y="1308100"/>
          <a:ext cx="0" cy="8940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215900</xdr:colOff>
      <xdr:row>0</xdr:row>
      <xdr:rowOff>152400</xdr:rowOff>
    </xdr:from>
    <xdr:to>
      <xdr:col>12</xdr:col>
      <xdr:colOff>215900</xdr:colOff>
      <xdr:row>57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>
          <a:off x="10782300" y="152400"/>
          <a:ext cx="0" cy="9258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investors.smartsheet.com/home/default.asp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IK=SM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61"/>
  <sheetViews>
    <sheetView workbookViewId="0">
      <pane xSplit="1" ySplit="9" topLeftCell="B10" activePane="bottomRight" state="frozen"/>
      <selection pane="topRight" activeCell="B1" sqref="B1"/>
      <selection pane="bottomLeft" activeCell="A11" sqref="A11"/>
      <selection pane="bottomRight" activeCell="F7" sqref="F7"/>
    </sheetView>
  </sheetViews>
  <sheetFormatPr baseColWidth="10" defaultRowHeight="13" x14ac:dyDescent="0.15"/>
  <cols>
    <col min="1" max="1" width="19.5" style="3" bestFit="1" customWidth="1"/>
    <col min="2" max="16384" width="10.83203125" style="3"/>
  </cols>
  <sheetData>
    <row r="1" spans="1:120" x14ac:dyDescent="0.15">
      <c r="A1" s="1" t="s">
        <v>55</v>
      </c>
      <c r="B1" s="2" t="s">
        <v>63</v>
      </c>
    </row>
    <row r="2" spans="1:120" x14ac:dyDescent="0.15">
      <c r="B2" s="3" t="s">
        <v>36</v>
      </c>
      <c r="C2" s="4">
        <v>43.74</v>
      </c>
      <c r="D2" s="3" t="s">
        <v>90</v>
      </c>
      <c r="E2" s="6" t="s">
        <v>21</v>
      </c>
      <c r="F2" s="7">
        <v>5.0000000000000001E-3</v>
      </c>
      <c r="I2" s="16"/>
      <c r="J2" s="2"/>
    </row>
    <row r="3" spans="1:120" x14ac:dyDescent="0.15">
      <c r="A3" s="2" t="s">
        <v>34</v>
      </c>
      <c r="B3" s="3" t="s">
        <v>13</v>
      </c>
      <c r="C3" s="8">
        <f>Reports!J23</f>
        <v>105.595</v>
      </c>
      <c r="D3" s="3" t="s">
        <v>68</v>
      </c>
      <c r="E3" s="6" t="s">
        <v>22</v>
      </c>
      <c r="F3" s="7">
        <v>0.05</v>
      </c>
      <c r="G3" s="5" t="s">
        <v>56</v>
      </c>
      <c r="I3" s="16"/>
    </row>
    <row r="4" spans="1:120" x14ac:dyDescent="0.15">
      <c r="A4" s="65" t="s">
        <v>88</v>
      </c>
      <c r="B4" s="3" t="s">
        <v>37</v>
      </c>
      <c r="C4" s="10">
        <f>C2*C3</f>
        <v>4618.7253000000001</v>
      </c>
      <c r="E4" s="6" t="s">
        <v>23</v>
      </c>
      <c r="F4" s="7">
        <v>7.0000000000000007E-2</v>
      </c>
      <c r="G4" s="5" t="s">
        <v>40</v>
      </c>
      <c r="I4" s="27"/>
    </row>
    <row r="5" spans="1:120" x14ac:dyDescent="0.15">
      <c r="B5" s="3" t="s">
        <v>18</v>
      </c>
      <c r="C5" s="8">
        <f>Reports!J35</f>
        <v>208.79900000000001</v>
      </c>
      <c r="D5" s="3" t="s">
        <v>68</v>
      </c>
      <c r="E5" s="6" t="s">
        <v>24</v>
      </c>
      <c r="F5" s="11">
        <f>NPV(F4,E27:DP27)</f>
        <v>15592.023675226505</v>
      </c>
      <c r="G5" s="5" t="s">
        <v>61</v>
      </c>
      <c r="I5" s="27"/>
    </row>
    <row r="6" spans="1:120" x14ac:dyDescent="0.15">
      <c r="A6" s="2" t="s">
        <v>35</v>
      </c>
      <c r="B6" s="3" t="s">
        <v>38</v>
      </c>
      <c r="C6" s="10">
        <f>C4-C5</f>
        <v>4409.9263000000001</v>
      </c>
      <c r="E6" s="12" t="s">
        <v>25</v>
      </c>
      <c r="F6" s="13">
        <f>F5+C5</f>
        <v>15800.822675226505</v>
      </c>
      <c r="I6" s="27"/>
    </row>
    <row r="7" spans="1:120" x14ac:dyDescent="0.15">
      <c r="A7" s="65" t="s">
        <v>89</v>
      </c>
      <c r="B7" s="5" t="s">
        <v>39</v>
      </c>
      <c r="C7" s="60">
        <f>C6/C3</f>
        <v>41.762643117571855</v>
      </c>
      <c r="E7" s="14" t="s">
        <v>39</v>
      </c>
      <c r="F7" s="56">
        <f>F6/C3</f>
        <v>149.63608764834041</v>
      </c>
      <c r="G7" s="27">
        <f>F7/C2-1</f>
        <v>2.4210353829067306</v>
      </c>
    </row>
    <row r="8" spans="1:120" x14ac:dyDescent="0.15">
      <c r="A8" s="9"/>
      <c r="C8" s="6"/>
      <c r="D8" s="15"/>
    </row>
    <row r="9" spans="1:120" x14ac:dyDescent="0.15">
      <c r="B9" s="3">
        <v>2018</v>
      </c>
      <c r="C9" s="3">
        <f t="shared" ref="C9:O9" si="0">B9+1</f>
        <v>2019</v>
      </c>
      <c r="D9" s="3">
        <f t="shared" si="0"/>
        <v>2020</v>
      </c>
      <c r="E9" s="3">
        <f t="shared" si="0"/>
        <v>2021</v>
      </c>
      <c r="F9" s="3">
        <f t="shared" si="0"/>
        <v>2022</v>
      </c>
      <c r="G9" s="3">
        <f t="shared" si="0"/>
        <v>2023</v>
      </c>
      <c r="H9" s="3">
        <f t="shared" si="0"/>
        <v>2024</v>
      </c>
      <c r="I9" s="3">
        <f t="shared" si="0"/>
        <v>2025</v>
      </c>
      <c r="J9" s="3">
        <f t="shared" si="0"/>
        <v>2026</v>
      </c>
      <c r="K9" s="3">
        <f t="shared" si="0"/>
        <v>2027</v>
      </c>
      <c r="L9" s="3">
        <f t="shared" si="0"/>
        <v>2028</v>
      </c>
      <c r="M9" s="3">
        <f t="shared" si="0"/>
        <v>2029</v>
      </c>
      <c r="N9" s="3">
        <f t="shared" si="0"/>
        <v>2030</v>
      </c>
      <c r="O9" s="3">
        <f t="shared" si="0"/>
        <v>2031</v>
      </c>
    </row>
    <row r="10" spans="1:120" x14ac:dyDescent="0.15">
      <c r="A10" s="8" t="s">
        <v>64</v>
      </c>
      <c r="B10" s="16">
        <f>SUM(Reports!B3:E3)</f>
        <v>100.36799999999999</v>
      </c>
      <c r="C10" s="16">
        <f>SUM(Reports!F3:I3)</f>
        <v>157.529</v>
      </c>
      <c r="D10" s="16">
        <f>SUM(Reports!J3:M3)</f>
        <v>242.34399999999999</v>
      </c>
      <c r="E10" s="16">
        <f t="shared" ref="E10" si="1">D10*1.5</f>
        <v>363.51599999999996</v>
      </c>
      <c r="F10" s="16">
        <f t="shared" ref="F10" si="2">E10*1.5</f>
        <v>545.27399999999989</v>
      </c>
      <c r="G10" s="16">
        <f t="shared" ref="G10" si="3">F10*1.5</f>
        <v>817.91099999999983</v>
      </c>
      <c r="H10" s="16">
        <f t="shared" ref="H10" si="4">G10*1.5</f>
        <v>1226.8664999999996</v>
      </c>
      <c r="I10" s="16">
        <f t="shared" ref="I10" si="5">H10*1.5</f>
        <v>1840.2997499999994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</row>
    <row r="11" spans="1:120" x14ac:dyDescent="0.15">
      <c r="A11" s="8" t="s">
        <v>65</v>
      </c>
      <c r="B11" s="16">
        <f>SUM(Reports!B4:E4)</f>
        <v>10.885999999999999</v>
      </c>
      <c r="C11" s="16">
        <f>SUM(Reports!F4:I4)</f>
        <v>20.192999999999998</v>
      </c>
      <c r="D11" s="16">
        <f>SUM(Reports!J4:M4)</f>
        <v>27.3765</v>
      </c>
      <c r="E11" s="16">
        <f>D11*1.25</f>
        <v>34.220624999999998</v>
      </c>
      <c r="F11" s="16">
        <f t="shared" ref="F11:I11" si="6">E11*1.25</f>
        <v>42.775781249999994</v>
      </c>
      <c r="G11" s="16">
        <f t="shared" si="6"/>
        <v>53.469726562499993</v>
      </c>
      <c r="H11" s="16">
        <f t="shared" si="6"/>
        <v>66.837158203124986</v>
      </c>
      <c r="I11" s="16">
        <f t="shared" si="6"/>
        <v>83.546447753906236</v>
      </c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</row>
    <row r="12" spans="1:120" x14ac:dyDescent="0.15">
      <c r="B12" s="16"/>
      <c r="C12" s="16"/>
      <c r="D12" s="16"/>
      <c r="E12" s="16"/>
      <c r="F12" s="16"/>
      <c r="G12" s="16"/>
    </row>
    <row r="13" spans="1:120" s="16" customFormat="1" x14ac:dyDescent="0.15">
      <c r="A13" s="16" t="s">
        <v>57</v>
      </c>
    </row>
    <row r="14" spans="1:120" s="57" customFormat="1" x14ac:dyDescent="0.15">
      <c r="A14" s="57" t="s">
        <v>58</v>
      </c>
    </row>
    <row r="15" spans="1:120" x14ac:dyDescent="0.15">
      <c r="D15" s="64" t="s">
        <v>86</v>
      </c>
      <c r="E15" s="16"/>
      <c r="F15" s="16"/>
      <c r="G15" s="16"/>
    </row>
    <row r="16" spans="1:120" x14ac:dyDescent="0.15">
      <c r="A16" s="2" t="s">
        <v>0</v>
      </c>
      <c r="B16" s="17">
        <f t="shared" ref="B16:D16" si="7">SUM(B10:B11)</f>
        <v>111.25399999999999</v>
      </c>
      <c r="C16" s="17">
        <f t="shared" si="7"/>
        <v>177.72199999999998</v>
      </c>
      <c r="D16" s="17">
        <f t="shared" si="7"/>
        <v>269.72050000000002</v>
      </c>
      <c r="E16" s="18">
        <f>SUM(E10:E11)</f>
        <v>397.73662499999995</v>
      </c>
      <c r="F16" s="18">
        <f t="shared" ref="F16:I16" si="8">SUM(F10:F11)</f>
        <v>588.04978124999991</v>
      </c>
      <c r="G16" s="18">
        <f t="shared" si="8"/>
        <v>871.38072656249983</v>
      </c>
      <c r="H16" s="18">
        <f t="shared" si="8"/>
        <v>1293.7036582031246</v>
      </c>
      <c r="I16" s="18">
        <f t="shared" si="8"/>
        <v>1923.8461977539057</v>
      </c>
      <c r="J16" s="18">
        <f t="shared" ref="J16:O16" si="9">I16*1.15</f>
        <v>2212.4231274169915</v>
      </c>
      <c r="K16" s="18">
        <f t="shared" si="9"/>
        <v>2544.28659652954</v>
      </c>
      <c r="L16" s="18">
        <f t="shared" si="9"/>
        <v>2925.929586008971</v>
      </c>
      <c r="M16" s="18">
        <f t="shared" si="9"/>
        <v>3364.8190239103164</v>
      </c>
      <c r="N16" s="18">
        <f t="shared" si="9"/>
        <v>3869.5418774968634</v>
      </c>
      <c r="O16" s="18">
        <f t="shared" si="9"/>
        <v>4449.9731591213922</v>
      </c>
      <c r="P16" s="18"/>
      <c r="Q16" s="18"/>
      <c r="R16" s="18"/>
      <c r="S16" s="18"/>
      <c r="T16" s="18"/>
    </row>
    <row r="17" spans="1:120" x14ac:dyDescent="0.15">
      <c r="A17" s="3" t="s">
        <v>1</v>
      </c>
      <c r="B17" s="16">
        <f>SUM(Reports!B10:E10)</f>
        <v>21.681999999999999</v>
      </c>
      <c r="C17" s="8">
        <f>SUM(Reports!F10:I10)</f>
        <v>33.849000000000004</v>
      </c>
      <c r="D17" s="16">
        <f>SUM(Reports!J10:M10)</f>
        <v>51.484999999999999</v>
      </c>
      <c r="E17" s="8">
        <f>E16-E18</f>
        <v>75.921074364481001</v>
      </c>
      <c r="F17" s="8">
        <f t="shared" ref="F17" si="10">F16-F18</f>
        <v>112.24857950232274</v>
      </c>
      <c r="G17" s="8">
        <f t="shared" ref="G17:O17" si="11">G16-G18</f>
        <v>166.33157919798566</v>
      </c>
      <c r="H17" s="8">
        <f t="shared" si="11"/>
        <v>246.94575622760544</v>
      </c>
      <c r="I17" s="8">
        <f t="shared" si="11"/>
        <v>367.22911862969204</v>
      </c>
      <c r="J17" s="8">
        <f t="shared" si="11"/>
        <v>422.31348642414582</v>
      </c>
      <c r="K17" s="8">
        <f t="shared" si="11"/>
        <v>485.66050938776743</v>
      </c>
      <c r="L17" s="8">
        <f t="shared" si="11"/>
        <v>558.50958579593271</v>
      </c>
      <c r="M17" s="8">
        <f t="shared" si="11"/>
        <v>642.28602366532232</v>
      </c>
      <c r="N17" s="8">
        <f t="shared" si="11"/>
        <v>738.62892721512026</v>
      </c>
      <c r="O17" s="8">
        <f t="shared" si="11"/>
        <v>849.42326629738818</v>
      </c>
      <c r="P17" s="8"/>
      <c r="Q17" s="8"/>
      <c r="R17" s="8"/>
      <c r="S17" s="8"/>
      <c r="T17" s="8"/>
    </row>
    <row r="18" spans="1:120" x14ac:dyDescent="0.15">
      <c r="A18" s="3" t="s">
        <v>2</v>
      </c>
      <c r="B18" s="10">
        <f>B16-B17</f>
        <v>89.571999999999989</v>
      </c>
      <c r="C18" s="10">
        <f>C16-C17</f>
        <v>143.87299999999999</v>
      </c>
      <c r="D18" s="10">
        <f>D16-D17</f>
        <v>218.2355</v>
      </c>
      <c r="E18" s="8">
        <f t="shared" ref="E18:O18" si="12">E16*D31</f>
        <v>321.81555063551895</v>
      </c>
      <c r="F18" s="8">
        <f t="shared" si="12"/>
        <v>475.80120174767717</v>
      </c>
      <c r="G18" s="8">
        <f t="shared" si="12"/>
        <v>705.04914736451417</v>
      </c>
      <c r="H18" s="8">
        <f t="shared" si="12"/>
        <v>1046.7579019755192</v>
      </c>
      <c r="I18" s="8">
        <f t="shared" si="12"/>
        <v>1556.6170791242137</v>
      </c>
      <c r="J18" s="8">
        <f t="shared" si="12"/>
        <v>1790.1096409928457</v>
      </c>
      <c r="K18" s="8">
        <f t="shared" si="12"/>
        <v>2058.6260871417726</v>
      </c>
      <c r="L18" s="8">
        <f t="shared" si="12"/>
        <v>2367.4200002130383</v>
      </c>
      <c r="M18" s="8">
        <f t="shared" si="12"/>
        <v>2722.5330002449941</v>
      </c>
      <c r="N18" s="8">
        <f t="shared" si="12"/>
        <v>3130.9129502817432</v>
      </c>
      <c r="O18" s="8">
        <f t="shared" si="12"/>
        <v>3600.549892824004</v>
      </c>
      <c r="P18" s="8"/>
      <c r="Q18" s="8"/>
      <c r="R18" s="8"/>
      <c r="S18" s="8"/>
      <c r="T18" s="8"/>
    </row>
    <row r="19" spans="1:120" x14ac:dyDescent="0.15">
      <c r="A19" s="3" t="s">
        <v>3</v>
      </c>
      <c r="B19" s="16">
        <f>SUM(Reports!B12:E12)</f>
        <v>37.590000000000003</v>
      </c>
      <c r="C19" s="8">
        <f>SUM(Reports!F12:I12)</f>
        <v>58.841000000000008</v>
      </c>
      <c r="D19" s="16">
        <f>SUM(Reports!J12:M12)</f>
        <v>92.238</v>
      </c>
      <c r="E19" s="8">
        <f t="shared" ref="E19:H19" si="13">D19*1.5</f>
        <v>138.357</v>
      </c>
      <c r="F19" s="8">
        <f t="shared" si="13"/>
        <v>207.53550000000001</v>
      </c>
      <c r="G19" s="8">
        <f t="shared" si="13"/>
        <v>311.30325000000005</v>
      </c>
      <c r="H19" s="8">
        <f t="shared" si="13"/>
        <v>466.95487500000007</v>
      </c>
      <c r="I19" s="8">
        <f>H19*1.1</f>
        <v>513.65036250000014</v>
      </c>
      <c r="J19" s="8">
        <f t="shared" ref="J19:O19" si="14">I19*1.1</f>
        <v>565.01539875000026</v>
      </c>
      <c r="K19" s="8">
        <f t="shared" si="14"/>
        <v>621.51693862500031</v>
      </c>
      <c r="L19" s="8">
        <f t="shared" si="14"/>
        <v>683.66863248750042</v>
      </c>
      <c r="M19" s="8">
        <f t="shared" si="14"/>
        <v>752.03549573625048</v>
      </c>
      <c r="N19" s="8">
        <f t="shared" si="14"/>
        <v>827.23904530987556</v>
      </c>
      <c r="O19" s="8">
        <f t="shared" si="14"/>
        <v>909.96294984086319</v>
      </c>
      <c r="P19" s="8"/>
      <c r="Q19" s="8"/>
      <c r="R19" s="8"/>
      <c r="S19" s="8"/>
      <c r="T19" s="8"/>
    </row>
    <row r="20" spans="1:120" x14ac:dyDescent="0.15">
      <c r="A20" s="3" t="s">
        <v>4</v>
      </c>
      <c r="B20" s="16">
        <f>SUM(Reports!B13:E13)</f>
        <v>72.926000000000002</v>
      </c>
      <c r="C20" s="8">
        <f>SUM(Reports!F13:I13)</f>
        <v>106.06700000000001</v>
      </c>
      <c r="D20" s="16">
        <f>SUM(Reports!J13:M13)</f>
        <v>176.41300000000001</v>
      </c>
      <c r="E20" s="8">
        <f t="shared" ref="E20:H20" si="15">D20*1.4</f>
        <v>246.97819999999999</v>
      </c>
      <c r="F20" s="8">
        <f t="shared" si="15"/>
        <v>345.76947999999999</v>
      </c>
      <c r="G20" s="8">
        <f t="shared" si="15"/>
        <v>484.07727199999994</v>
      </c>
      <c r="H20" s="8">
        <f t="shared" si="15"/>
        <v>677.70818079999992</v>
      </c>
      <c r="I20" s="8">
        <f>H20*1.02</f>
        <v>691.26234441599991</v>
      </c>
      <c r="J20" s="8">
        <f t="shared" ref="J20:O20" si="16">I20*1.02</f>
        <v>705.08759130431997</v>
      </c>
      <c r="K20" s="8">
        <f t="shared" si="16"/>
        <v>719.18934313040643</v>
      </c>
      <c r="L20" s="8">
        <f t="shared" si="16"/>
        <v>733.57312999301462</v>
      </c>
      <c r="M20" s="8">
        <f t="shared" si="16"/>
        <v>748.24459259287494</v>
      </c>
      <c r="N20" s="8">
        <f t="shared" si="16"/>
        <v>763.20948444473242</v>
      </c>
      <c r="O20" s="8">
        <f t="shared" si="16"/>
        <v>778.47367413362713</v>
      </c>
      <c r="P20" s="8"/>
      <c r="Q20" s="8"/>
      <c r="R20" s="8"/>
      <c r="S20" s="8"/>
      <c r="T20" s="8"/>
    </row>
    <row r="21" spans="1:120" x14ac:dyDescent="0.15">
      <c r="A21" s="3" t="s">
        <v>5</v>
      </c>
      <c r="B21" s="16">
        <f>SUM(Reports!B14:E14)</f>
        <v>28.033999999999999</v>
      </c>
      <c r="C21" s="8">
        <f>SUM(Reports!F14:I14)</f>
        <v>34.048999999999999</v>
      </c>
      <c r="D21" s="16">
        <f>SUM(Reports!J14:M14)</f>
        <v>47.939</v>
      </c>
      <c r="E21" s="8">
        <f t="shared" ref="E21:H21" si="17">D21*1.2</f>
        <v>57.526800000000001</v>
      </c>
      <c r="F21" s="8">
        <f t="shared" si="17"/>
        <v>69.032160000000005</v>
      </c>
      <c r="G21" s="8">
        <f t="shared" si="17"/>
        <v>82.838592000000006</v>
      </c>
      <c r="H21" s="8">
        <f t="shared" si="17"/>
        <v>99.40631040000001</v>
      </c>
      <c r="I21" s="8">
        <f t="shared" ref="I21:O21" si="18">H21*0.98</f>
        <v>97.418184192000012</v>
      </c>
      <c r="J21" s="8">
        <f t="shared" si="18"/>
        <v>95.469820508160012</v>
      </c>
      <c r="K21" s="8">
        <f t="shared" si="18"/>
        <v>93.560424097996815</v>
      </c>
      <c r="L21" s="8">
        <f t="shared" si="18"/>
        <v>91.689215616036876</v>
      </c>
      <c r="M21" s="8">
        <f t="shared" si="18"/>
        <v>89.855431303716131</v>
      </c>
      <c r="N21" s="8">
        <f t="shared" si="18"/>
        <v>88.058322677641812</v>
      </c>
      <c r="O21" s="8">
        <f t="shared" si="18"/>
        <v>86.29715622408898</v>
      </c>
      <c r="P21" s="8"/>
      <c r="Q21" s="8"/>
      <c r="R21" s="8"/>
      <c r="S21" s="8"/>
      <c r="T21" s="8"/>
    </row>
    <row r="22" spans="1:120" x14ac:dyDescent="0.15">
      <c r="A22" s="3" t="s">
        <v>6</v>
      </c>
      <c r="B22" s="10">
        <f>SUM(B19:B21)</f>
        <v>138.55000000000001</v>
      </c>
      <c r="C22" s="10">
        <f>SUM(C19:C21)</f>
        <v>198.95700000000002</v>
      </c>
      <c r="D22" s="10">
        <f>SUM(D19:D21)</f>
        <v>316.59000000000003</v>
      </c>
      <c r="E22" s="8">
        <f t="shared" ref="E22:F22" si="19">SUM(E19:E21)</f>
        <v>442.86199999999997</v>
      </c>
      <c r="F22" s="8">
        <f t="shared" si="19"/>
        <v>622.33713999999998</v>
      </c>
      <c r="G22" s="8">
        <f t="shared" ref="G22:O22" si="20">SUM(G19:G21)</f>
        <v>878.21911399999999</v>
      </c>
      <c r="H22" s="8">
        <f t="shared" si="20"/>
        <v>1244.0693661999999</v>
      </c>
      <c r="I22" s="8">
        <f t="shared" si="20"/>
        <v>1302.3308911079998</v>
      </c>
      <c r="J22" s="8">
        <f t="shared" si="20"/>
        <v>1365.5728105624803</v>
      </c>
      <c r="K22" s="8">
        <f t="shared" si="20"/>
        <v>1434.2667058534034</v>
      </c>
      <c r="L22" s="8">
        <f t="shared" si="20"/>
        <v>1508.9309780965518</v>
      </c>
      <c r="M22" s="8">
        <f t="shared" si="20"/>
        <v>1590.1355196328416</v>
      </c>
      <c r="N22" s="8">
        <f t="shared" si="20"/>
        <v>1678.5068524322498</v>
      </c>
      <c r="O22" s="8">
        <f t="shared" si="20"/>
        <v>1774.7337801985793</v>
      </c>
      <c r="P22" s="8"/>
      <c r="Q22" s="8"/>
      <c r="R22" s="8"/>
      <c r="S22" s="8"/>
      <c r="T22" s="8"/>
    </row>
    <row r="23" spans="1:120" x14ac:dyDescent="0.15">
      <c r="A23" s="3" t="s">
        <v>7</v>
      </c>
      <c r="B23" s="10">
        <f>B18-B22</f>
        <v>-48.978000000000023</v>
      </c>
      <c r="C23" s="10">
        <f>C18-C22</f>
        <v>-55.084000000000032</v>
      </c>
      <c r="D23" s="10">
        <f>D18-D22</f>
        <v>-98.35450000000003</v>
      </c>
      <c r="E23" s="8">
        <f t="shared" ref="E23:F23" si="21">E18-E22</f>
        <v>-121.04644936448102</v>
      </c>
      <c r="F23" s="8">
        <f t="shared" si="21"/>
        <v>-146.53593825232281</v>
      </c>
      <c r="G23" s="8">
        <f t="shared" ref="G23:O23" si="22">G18-G22</f>
        <v>-173.16996663548582</v>
      </c>
      <c r="H23" s="8">
        <f t="shared" si="22"/>
        <v>-197.31146422448069</v>
      </c>
      <c r="I23" s="8">
        <f t="shared" si="22"/>
        <v>254.28618801621383</v>
      </c>
      <c r="J23" s="8">
        <f t="shared" si="22"/>
        <v>424.5368304303654</v>
      </c>
      <c r="K23" s="8">
        <f t="shared" si="22"/>
        <v>624.35938128836915</v>
      </c>
      <c r="L23" s="8">
        <f t="shared" si="22"/>
        <v>858.48902211648647</v>
      </c>
      <c r="M23" s="8">
        <f t="shared" si="22"/>
        <v>1132.3974806121525</v>
      </c>
      <c r="N23" s="8">
        <f t="shared" si="22"/>
        <v>1452.4060978494933</v>
      </c>
      <c r="O23" s="8">
        <f t="shared" si="22"/>
        <v>1825.8161126254247</v>
      </c>
      <c r="P23" s="8"/>
      <c r="Q23" s="8"/>
      <c r="R23" s="8"/>
      <c r="S23" s="8"/>
      <c r="T23" s="8"/>
    </row>
    <row r="24" spans="1:120" x14ac:dyDescent="0.15">
      <c r="A24" s="3" t="s">
        <v>8</v>
      </c>
      <c r="B24" s="16">
        <f>SUM(Reports!B17:E17)</f>
        <v>-0.43500000000000005</v>
      </c>
      <c r="C24" s="8">
        <f>SUM(Reports!F17:I17)</f>
        <v>1.492</v>
      </c>
      <c r="D24" s="16">
        <f>SUM(Reports!J17:M17)</f>
        <v>9.036999999999999</v>
      </c>
      <c r="E24" s="8">
        <f t="shared" ref="E24:O24" si="23">D41*$F$3</f>
        <v>28.150000000000002</v>
      </c>
      <c r="F24" s="8">
        <f t="shared" si="23"/>
        <v>23.505177531775953</v>
      </c>
      <c r="G24" s="8">
        <f t="shared" si="23"/>
        <v>17.35363949574861</v>
      </c>
      <c r="H24" s="8">
        <f t="shared" si="23"/>
        <v>9.5628231387617486</v>
      </c>
      <c r="I24" s="8">
        <f t="shared" si="23"/>
        <v>1.5835058926186947</v>
      </c>
      <c r="J24" s="8">
        <f t="shared" si="23"/>
        <v>12.457967883744077</v>
      </c>
      <c r="K24" s="8">
        <f t="shared" si="23"/>
        <v>31.030246812093733</v>
      </c>
      <c r="L24" s="8">
        <f t="shared" si="23"/>
        <v>58.88430600636341</v>
      </c>
      <c r="M24" s="8">
        <f t="shared" si="23"/>
        <v>97.872672451584535</v>
      </c>
      <c r="N24" s="8">
        <f t="shared" si="23"/>
        <v>150.15915395679335</v>
      </c>
      <c r="O24" s="8">
        <f t="shared" si="23"/>
        <v>218.26817715856055</v>
      </c>
      <c r="P24" s="8"/>
      <c r="Q24" s="8"/>
      <c r="R24" s="8"/>
      <c r="S24" s="8"/>
      <c r="T24" s="8"/>
    </row>
    <row r="25" spans="1:120" x14ac:dyDescent="0.15">
      <c r="A25" s="3" t="s">
        <v>9</v>
      </c>
      <c r="B25" s="10">
        <f>B23+B24</f>
        <v>-49.413000000000025</v>
      </c>
      <c r="C25" s="10">
        <f>C23+C24</f>
        <v>-53.592000000000034</v>
      </c>
      <c r="D25" s="10">
        <f>D23+D24</f>
        <v>-89.317500000000024</v>
      </c>
      <c r="E25" s="8">
        <f t="shared" ref="E25:F25" si="24">E23+E24</f>
        <v>-92.896449364481015</v>
      </c>
      <c r="F25" s="8">
        <f t="shared" si="24"/>
        <v>-123.03076072054685</v>
      </c>
      <c r="G25" s="8">
        <f t="shared" ref="G25" si="25">G23+G24</f>
        <v>-155.81632713973721</v>
      </c>
      <c r="H25" s="8">
        <f t="shared" ref="H25" si="26">H23+H24</f>
        <v>-187.74864108571893</v>
      </c>
      <c r="I25" s="8">
        <f t="shared" ref="I25" si="27">I23+I24</f>
        <v>255.86969390883252</v>
      </c>
      <c r="J25" s="8">
        <f t="shared" ref="J25" si="28">J23+J24</f>
        <v>436.99479831410946</v>
      </c>
      <c r="K25" s="8">
        <f t="shared" ref="K25" si="29">K23+K24</f>
        <v>655.38962810046291</v>
      </c>
      <c r="L25" s="8">
        <f t="shared" ref="L25" si="30">L23+L24</f>
        <v>917.3733281228499</v>
      </c>
      <c r="M25" s="8">
        <f t="shared" ref="M25" si="31">M23+M24</f>
        <v>1230.2701530637371</v>
      </c>
      <c r="N25" s="8">
        <f t="shared" ref="N25" si="32">N23+N24</f>
        <v>1602.5652518062866</v>
      </c>
      <c r="O25" s="8">
        <f t="shared" ref="O25" si="33">O23+O24</f>
        <v>2044.0842897839852</v>
      </c>
      <c r="P25" s="8"/>
      <c r="Q25" s="8"/>
      <c r="R25" s="8"/>
      <c r="S25" s="8"/>
      <c r="T25" s="8"/>
    </row>
    <row r="26" spans="1:120" x14ac:dyDescent="0.15">
      <c r="A26" s="3" t="s">
        <v>10</v>
      </c>
      <c r="B26" s="16">
        <f>SUM(Reports!B19:E19)</f>
        <v>-0.307</v>
      </c>
      <c r="C26" s="8">
        <f>SUM(Reports!F19:I19)</f>
        <v>0.29299999999999998</v>
      </c>
      <c r="D26" s="16">
        <f>SUM(Reports!J19:M19)</f>
        <v>-3.5000000000000003E-2</v>
      </c>
      <c r="E26" s="8">
        <v>0</v>
      </c>
      <c r="F26" s="8">
        <v>0</v>
      </c>
      <c r="G26" s="8">
        <v>0</v>
      </c>
      <c r="H26" s="8">
        <f t="shared" ref="H26:O26" si="34">H25*0.15</f>
        <v>-28.162296162857839</v>
      </c>
      <c r="I26" s="8">
        <f t="shared" si="34"/>
        <v>38.380454086324875</v>
      </c>
      <c r="J26" s="8">
        <f t="shared" si="34"/>
        <v>65.54921974711641</v>
      </c>
      <c r="K26" s="8">
        <f t="shared" si="34"/>
        <v>98.308444215069429</v>
      </c>
      <c r="L26" s="8">
        <f t="shared" si="34"/>
        <v>137.60599921842748</v>
      </c>
      <c r="M26" s="8">
        <f t="shared" si="34"/>
        <v>184.54052295956055</v>
      </c>
      <c r="N26" s="8">
        <f t="shared" si="34"/>
        <v>240.38478777094298</v>
      </c>
      <c r="O26" s="8">
        <f t="shared" si="34"/>
        <v>306.61264346759776</v>
      </c>
      <c r="P26" s="8"/>
      <c r="Q26" s="8"/>
      <c r="R26" s="8"/>
      <c r="S26" s="8"/>
      <c r="T26" s="8"/>
    </row>
    <row r="27" spans="1:120" s="2" customFormat="1" x14ac:dyDescent="0.15">
      <c r="A27" s="2" t="s">
        <v>11</v>
      </c>
      <c r="B27" s="17">
        <f>B25-B26</f>
        <v>-49.106000000000023</v>
      </c>
      <c r="C27" s="17">
        <f>C25-C26</f>
        <v>-53.885000000000034</v>
      </c>
      <c r="D27" s="17">
        <f t="shared" ref="D27:F27" si="35">D25-D26</f>
        <v>-89.282500000000027</v>
      </c>
      <c r="E27" s="17">
        <f t="shared" si="35"/>
        <v>-92.896449364481015</v>
      </c>
      <c r="F27" s="17">
        <f t="shared" si="35"/>
        <v>-123.03076072054685</v>
      </c>
      <c r="G27" s="17">
        <f t="shared" ref="G27:O27" si="36">G25-G26</f>
        <v>-155.81632713973721</v>
      </c>
      <c r="H27" s="17">
        <f t="shared" si="36"/>
        <v>-159.58634492286109</v>
      </c>
      <c r="I27" s="17">
        <f t="shared" si="36"/>
        <v>217.48923982250764</v>
      </c>
      <c r="J27" s="17">
        <f t="shared" si="36"/>
        <v>371.44557856699305</v>
      </c>
      <c r="K27" s="17">
        <f t="shared" si="36"/>
        <v>557.08118388539344</v>
      </c>
      <c r="L27" s="17">
        <f t="shared" si="36"/>
        <v>779.76732890442236</v>
      </c>
      <c r="M27" s="17">
        <f t="shared" si="36"/>
        <v>1045.7296301041765</v>
      </c>
      <c r="N27" s="17">
        <f t="shared" si="36"/>
        <v>1362.1804640353437</v>
      </c>
      <c r="O27" s="17">
        <f t="shared" si="36"/>
        <v>1737.4716463163875</v>
      </c>
      <c r="P27" s="17">
        <f t="shared" ref="P27:AU27" si="37">O27*($F$2+1)</f>
        <v>1746.1590045479693</v>
      </c>
      <c r="Q27" s="17">
        <f t="shared" si="37"/>
        <v>1754.8897995707089</v>
      </c>
      <c r="R27" s="17">
        <f t="shared" si="37"/>
        <v>1763.6642485685622</v>
      </c>
      <c r="S27" s="17">
        <f t="shared" si="37"/>
        <v>1772.4825698114048</v>
      </c>
      <c r="T27" s="17">
        <f t="shared" si="37"/>
        <v>1781.3449826604617</v>
      </c>
      <c r="U27" s="17">
        <f t="shared" si="37"/>
        <v>1790.2517075737637</v>
      </c>
      <c r="V27" s="17">
        <f t="shared" si="37"/>
        <v>1799.2029661116323</v>
      </c>
      <c r="W27" s="17">
        <f t="shared" si="37"/>
        <v>1808.1989809421902</v>
      </c>
      <c r="X27" s="17">
        <f t="shared" si="37"/>
        <v>1817.239975846901</v>
      </c>
      <c r="Y27" s="17">
        <f t="shared" si="37"/>
        <v>1826.3261757261353</v>
      </c>
      <c r="Z27" s="17">
        <f t="shared" si="37"/>
        <v>1835.4578066047657</v>
      </c>
      <c r="AA27" s="17">
        <f t="shared" si="37"/>
        <v>1844.6350956377894</v>
      </c>
      <c r="AB27" s="17">
        <f t="shared" si="37"/>
        <v>1853.8582711159781</v>
      </c>
      <c r="AC27" s="17">
        <f t="shared" si="37"/>
        <v>1863.1275624715579</v>
      </c>
      <c r="AD27" s="17">
        <f t="shared" si="37"/>
        <v>1872.4432002839155</v>
      </c>
      <c r="AE27" s="17">
        <f t="shared" si="37"/>
        <v>1881.805416285335</v>
      </c>
      <c r="AF27" s="17">
        <f t="shared" si="37"/>
        <v>1891.2144433667615</v>
      </c>
      <c r="AG27" s="17">
        <f t="shared" si="37"/>
        <v>1900.6705155835953</v>
      </c>
      <c r="AH27" s="17">
        <f t="shared" si="37"/>
        <v>1910.1738681615129</v>
      </c>
      <c r="AI27" s="17">
        <f t="shared" si="37"/>
        <v>1919.7247375023203</v>
      </c>
      <c r="AJ27" s="17">
        <f t="shared" si="37"/>
        <v>1929.3233611898318</v>
      </c>
      <c r="AK27" s="17">
        <f t="shared" si="37"/>
        <v>1938.9699779957807</v>
      </c>
      <c r="AL27" s="17">
        <f t="shared" si="37"/>
        <v>1948.6648278857595</v>
      </c>
      <c r="AM27" s="17">
        <f t="shared" si="37"/>
        <v>1958.408152025188</v>
      </c>
      <c r="AN27" s="17">
        <f t="shared" si="37"/>
        <v>1968.2001927853137</v>
      </c>
      <c r="AO27" s="17">
        <f t="shared" si="37"/>
        <v>1978.0411937492399</v>
      </c>
      <c r="AP27" s="17">
        <f t="shared" si="37"/>
        <v>1987.9313997179859</v>
      </c>
      <c r="AQ27" s="17">
        <f t="shared" si="37"/>
        <v>1997.8710567165756</v>
      </c>
      <c r="AR27" s="17">
        <f t="shared" si="37"/>
        <v>2007.8604120001582</v>
      </c>
      <c r="AS27" s="17">
        <f t="shared" si="37"/>
        <v>2017.8997140601589</v>
      </c>
      <c r="AT27" s="17">
        <f t="shared" si="37"/>
        <v>2027.9892126304594</v>
      </c>
      <c r="AU27" s="17">
        <f t="shared" si="37"/>
        <v>2038.1291586936115</v>
      </c>
      <c r="AV27" s="17">
        <f t="shared" ref="AV27:CA27" si="38">AU27*($F$2+1)</f>
        <v>2048.3198044870792</v>
      </c>
      <c r="AW27" s="17">
        <f t="shared" si="38"/>
        <v>2058.5614035095145</v>
      </c>
      <c r="AX27" s="17">
        <f t="shared" si="38"/>
        <v>2068.8542105270617</v>
      </c>
      <c r="AY27" s="17">
        <f t="shared" si="38"/>
        <v>2079.1984815796968</v>
      </c>
      <c r="AZ27" s="17">
        <f t="shared" si="38"/>
        <v>2089.5944739875949</v>
      </c>
      <c r="BA27" s="17">
        <f t="shared" si="38"/>
        <v>2100.0424463575328</v>
      </c>
      <c r="BB27" s="17">
        <f t="shared" si="38"/>
        <v>2110.5426585893201</v>
      </c>
      <c r="BC27" s="17">
        <f t="shared" si="38"/>
        <v>2121.0953718822666</v>
      </c>
      <c r="BD27" s="17">
        <f t="shared" si="38"/>
        <v>2131.7008487416779</v>
      </c>
      <c r="BE27" s="17">
        <f t="shared" si="38"/>
        <v>2142.3593529853861</v>
      </c>
      <c r="BF27" s="17">
        <f t="shared" si="38"/>
        <v>2153.0711497503125</v>
      </c>
      <c r="BG27" s="17">
        <f t="shared" si="38"/>
        <v>2163.8365054990641</v>
      </c>
      <c r="BH27" s="17">
        <f t="shared" si="38"/>
        <v>2174.6556880265593</v>
      </c>
      <c r="BI27" s="17">
        <f t="shared" si="38"/>
        <v>2185.5289664666921</v>
      </c>
      <c r="BJ27" s="17">
        <f t="shared" si="38"/>
        <v>2196.4566112990251</v>
      </c>
      <c r="BK27" s="17">
        <f t="shared" si="38"/>
        <v>2207.43889435552</v>
      </c>
      <c r="BL27" s="17">
        <f t="shared" si="38"/>
        <v>2218.4760888272972</v>
      </c>
      <c r="BM27" s="17">
        <f t="shared" si="38"/>
        <v>2229.5684692714335</v>
      </c>
      <c r="BN27" s="17">
        <f t="shared" si="38"/>
        <v>2240.7163116177903</v>
      </c>
      <c r="BO27" s="17">
        <f t="shared" si="38"/>
        <v>2251.9198931758792</v>
      </c>
      <c r="BP27" s="17">
        <f t="shared" si="38"/>
        <v>2263.1794926417583</v>
      </c>
      <c r="BQ27" s="17">
        <f t="shared" si="38"/>
        <v>2274.4953901049666</v>
      </c>
      <c r="BR27" s="17">
        <f t="shared" si="38"/>
        <v>2285.8678670554914</v>
      </c>
      <c r="BS27" s="17">
        <f t="shared" si="38"/>
        <v>2297.2972063907687</v>
      </c>
      <c r="BT27" s="17">
        <f t="shared" si="38"/>
        <v>2308.7836924227222</v>
      </c>
      <c r="BU27" s="17">
        <f t="shared" si="38"/>
        <v>2320.3276108848354</v>
      </c>
      <c r="BV27" s="17">
        <f t="shared" si="38"/>
        <v>2331.9292489392592</v>
      </c>
      <c r="BW27" s="17">
        <f t="shared" si="38"/>
        <v>2343.5888951839552</v>
      </c>
      <c r="BX27" s="17">
        <f t="shared" si="38"/>
        <v>2355.3068396598746</v>
      </c>
      <c r="BY27" s="17">
        <f t="shared" si="38"/>
        <v>2367.0833738581737</v>
      </c>
      <c r="BZ27" s="17">
        <f t="shared" si="38"/>
        <v>2378.9187907274645</v>
      </c>
      <c r="CA27" s="17">
        <f t="shared" si="38"/>
        <v>2390.8133846811015</v>
      </c>
      <c r="CB27" s="17">
        <f t="shared" ref="CB27:DG27" si="39">CA27*($F$2+1)</f>
        <v>2402.7674516045067</v>
      </c>
      <c r="CC27" s="17">
        <f t="shared" si="39"/>
        <v>2414.781288862529</v>
      </c>
      <c r="CD27" s="17">
        <f t="shared" si="39"/>
        <v>2426.8551953068413</v>
      </c>
      <c r="CE27" s="17">
        <f t="shared" si="39"/>
        <v>2438.9894712833752</v>
      </c>
      <c r="CF27" s="17">
        <f t="shared" si="39"/>
        <v>2451.1844186397921</v>
      </c>
      <c r="CG27" s="17">
        <f t="shared" si="39"/>
        <v>2463.4403407329905</v>
      </c>
      <c r="CH27" s="17">
        <f t="shared" si="39"/>
        <v>2475.7575424366551</v>
      </c>
      <c r="CI27" s="17">
        <f t="shared" si="39"/>
        <v>2488.1363301488382</v>
      </c>
      <c r="CJ27" s="17">
        <f t="shared" si="39"/>
        <v>2500.5770117995821</v>
      </c>
      <c r="CK27" s="17">
        <f t="shared" si="39"/>
        <v>2513.0798968585796</v>
      </c>
      <c r="CL27" s="17">
        <f t="shared" si="39"/>
        <v>2525.6452963428724</v>
      </c>
      <c r="CM27" s="17">
        <f t="shared" si="39"/>
        <v>2538.2735228245865</v>
      </c>
      <c r="CN27" s="17">
        <f t="shared" si="39"/>
        <v>2550.9648904387091</v>
      </c>
      <c r="CO27" s="17">
        <f t="shared" si="39"/>
        <v>2563.7197148909022</v>
      </c>
      <c r="CP27" s="17">
        <f t="shared" si="39"/>
        <v>2576.5383134653566</v>
      </c>
      <c r="CQ27" s="17">
        <f t="shared" si="39"/>
        <v>2589.4210050326833</v>
      </c>
      <c r="CR27" s="17">
        <f t="shared" si="39"/>
        <v>2602.3681100578465</v>
      </c>
      <c r="CS27" s="17">
        <f t="shared" si="39"/>
        <v>2615.3799506081355</v>
      </c>
      <c r="CT27" s="17">
        <f t="shared" si="39"/>
        <v>2628.4568503611758</v>
      </c>
      <c r="CU27" s="17">
        <f t="shared" si="39"/>
        <v>2641.5991346129813</v>
      </c>
      <c r="CV27" s="17">
        <f t="shared" si="39"/>
        <v>2654.8071302860458</v>
      </c>
      <c r="CW27" s="17">
        <f t="shared" si="39"/>
        <v>2668.0811659374758</v>
      </c>
      <c r="CX27" s="17">
        <f t="shared" si="39"/>
        <v>2681.4215717671627</v>
      </c>
      <c r="CY27" s="17">
        <f t="shared" si="39"/>
        <v>2694.8286796259981</v>
      </c>
      <c r="CZ27" s="17">
        <f t="shared" si="39"/>
        <v>2708.302823024128</v>
      </c>
      <c r="DA27" s="17">
        <f t="shared" si="39"/>
        <v>2721.8443371392482</v>
      </c>
      <c r="DB27" s="17">
        <f t="shared" si="39"/>
        <v>2735.4535588249441</v>
      </c>
      <c r="DC27" s="17">
        <f t="shared" si="39"/>
        <v>2749.1308266190686</v>
      </c>
      <c r="DD27" s="17">
        <f t="shared" si="39"/>
        <v>2762.8764807521634</v>
      </c>
      <c r="DE27" s="17">
        <f t="shared" si="39"/>
        <v>2776.690863155924</v>
      </c>
      <c r="DF27" s="17">
        <f t="shared" si="39"/>
        <v>2790.5743174717036</v>
      </c>
      <c r="DG27" s="17">
        <f t="shared" si="39"/>
        <v>2804.5271890590616</v>
      </c>
      <c r="DH27" s="17">
        <f t="shared" ref="DH27:DP27" si="40">DG27*($F$2+1)</f>
        <v>2818.5498250043565</v>
      </c>
      <c r="DI27" s="17">
        <f t="shared" si="40"/>
        <v>2832.6425741293779</v>
      </c>
      <c r="DJ27" s="17">
        <f t="shared" si="40"/>
        <v>2846.8057870000243</v>
      </c>
      <c r="DK27" s="17">
        <f t="shared" si="40"/>
        <v>2861.0398159350243</v>
      </c>
      <c r="DL27" s="17">
        <f t="shared" si="40"/>
        <v>2875.3450150146991</v>
      </c>
      <c r="DM27" s="17">
        <f t="shared" si="40"/>
        <v>2889.7217400897725</v>
      </c>
      <c r="DN27" s="17">
        <f t="shared" si="40"/>
        <v>2904.1703487902209</v>
      </c>
      <c r="DO27" s="17">
        <f t="shared" si="40"/>
        <v>2918.6912005341719</v>
      </c>
      <c r="DP27" s="17">
        <f t="shared" si="40"/>
        <v>2933.2846565368422</v>
      </c>
    </row>
    <row r="28" spans="1:120" x14ac:dyDescent="0.15">
      <c r="A28" s="3" t="s">
        <v>12</v>
      </c>
      <c r="B28" s="19">
        <f>B27/B29</f>
        <v>-2.5256390474720991</v>
      </c>
      <c r="C28" s="19">
        <f>C27/C29</f>
        <v>-0.51742846168619194</v>
      </c>
      <c r="D28" s="19">
        <f>D27/D29</f>
        <v>-0.76309829059829082</v>
      </c>
      <c r="E28" s="20">
        <f t="shared" ref="E28:F28" si="41">E27/E29</f>
        <v>-0.79398674670496594</v>
      </c>
      <c r="F28" s="20">
        <f t="shared" si="41"/>
        <v>-1.0515449634234773</v>
      </c>
      <c r="G28" s="20">
        <f t="shared" ref="G28:O28" si="42">G27/G29</f>
        <v>-1.3317634798268139</v>
      </c>
      <c r="H28" s="20">
        <f t="shared" si="42"/>
        <v>-1.3639858540415477</v>
      </c>
      <c r="I28" s="20">
        <f t="shared" si="42"/>
        <v>1.8588823916453645</v>
      </c>
      <c r="J28" s="20">
        <f t="shared" si="42"/>
        <v>3.1747485347606244</v>
      </c>
      <c r="K28" s="20">
        <f t="shared" si="42"/>
        <v>4.7613776400460974</v>
      </c>
      <c r="L28" s="20">
        <f t="shared" si="42"/>
        <v>6.6646780248241226</v>
      </c>
      <c r="M28" s="20">
        <f t="shared" si="42"/>
        <v>8.9378600863604838</v>
      </c>
      <c r="N28" s="20">
        <f t="shared" si="42"/>
        <v>11.642568068678152</v>
      </c>
      <c r="O28" s="20">
        <f t="shared" si="42"/>
        <v>14.850185011251176</v>
      </c>
      <c r="P28" s="20"/>
      <c r="Q28" s="20"/>
      <c r="R28" s="20"/>
      <c r="S28" s="20"/>
      <c r="T28" s="20"/>
    </row>
    <row r="29" spans="1:120" s="16" customFormat="1" x14ac:dyDescent="0.15">
      <c r="A29" s="16" t="s">
        <v>13</v>
      </c>
      <c r="B29" s="8">
        <f>Reports!E23</f>
        <v>19.443000000000001</v>
      </c>
      <c r="C29" s="8">
        <f>Reports!I23</f>
        <v>104.14</v>
      </c>
      <c r="D29" s="8">
        <f>Reports!M23</f>
        <v>117</v>
      </c>
      <c r="E29" s="8">
        <f t="shared" ref="E29" si="43">D29</f>
        <v>117</v>
      </c>
      <c r="F29" s="8">
        <f t="shared" ref="F29" si="44">E29</f>
        <v>117</v>
      </c>
      <c r="G29" s="8">
        <f t="shared" ref="G29" si="45">F29</f>
        <v>117</v>
      </c>
      <c r="H29" s="8">
        <f t="shared" ref="H29" si="46">G29</f>
        <v>117</v>
      </c>
      <c r="I29" s="8">
        <f t="shared" ref="I29" si="47">H29</f>
        <v>117</v>
      </c>
      <c r="J29" s="8">
        <f t="shared" ref="J29" si="48">I29</f>
        <v>117</v>
      </c>
      <c r="K29" s="8">
        <f t="shared" ref="K29" si="49">J29</f>
        <v>117</v>
      </c>
      <c r="L29" s="8">
        <f t="shared" ref="L29" si="50">K29</f>
        <v>117</v>
      </c>
      <c r="M29" s="8">
        <f t="shared" ref="M29" si="51">L29</f>
        <v>117</v>
      </c>
      <c r="N29" s="8">
        <f t="shared" ref="N29" si="52">M29</f>
        <v>117</v>
      </c>
      <c r="O29" s="8">
        <f t="shared" ref="O29" si="53">N29</f>
        <v>117</v>
      </c>
      <c r="P29" s="8"/>
      <c r="Q29" s="8"/>
      <c r="R29" s="8"/>
      <c r="S29" s="8"/>
      <c r="T29" s="8"/>
    </row>
    <row r="30" spans="1:120" x14ac:dyDescent="0.15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120" x14ac:dyDescent="0.15">
      <c r="A31" s="3" t="s">
        <v>15</v>
      </c>
      <c r="B31" s="23">
        <f t="shared" ref="B31:N31" si="54">IFERROR(B18/B16,0)</f>
        <v>0.80511262516403903</v>
      </c>
      <c r="C31" s="23">
        <f>IFERROR(C18/C16,0)</f>
        <v>0.80953961805516483</v>
      </c>
      <c r="D31" s="23">
        <f t="shared" si="54"/>
        <v>0.80911721578448803</v>
      </c>
      <c r="E31" s="23">
        <f t="shared" si="54"/>
        <v>0.80911721578448803</v>
      </c>
      <c r="F31" s="23">
        <f>IFERROR(F18/F16,0)</f>
        <v>0.80911721578448803</v>
      </c>
      <c r="G31" s="23">
        <f t="shared" si="54"/>
        <v>0.80911721578448803</v>
      </c>
      <c r="H31" s="23">
        <f t="shared" si="54"/>
        <v>0.80911721578448803</v>
      </c>
      <c r="I31" s="23">
        <f t="shared" si="54"/>
        <v>0.80911721578448803</v>
      </c>
      <c r="J31" s="23">
        <f t="shared" si="54"/>
        <v>0.80911721578448803</v>
      </c>
      <c r="K31" s="23">
        <f t="shared" si="54"/>
        <v>0.80911721578448803</v>
      </c>
      <c r="L31" s="23">
        <f t="shared" si="54"/>
        <v>0.80911721578448803</v>
      </c>
      <c r="M31" s="23">
        <f t="shared" si="54"/>
        <v>0.80911721578448814</v>
      </c>
      <c r="N31" s="23">
        <f t="shared" si="54"/>
        <v>0.80911721578448814</v>
      </c>
      <c r="O31" s="23">
        <f>IFERROR(O18/O16,0)</f>
        <v>0.80911721578448814</v>
      </c>
      <c r="P31" s="23"/>
      <c r="Q31" s="23"/>
      <c r="R31" s="23"/>
      <c r="S31" s="23"/>
      <c r="T31" s="23"/>
    </row>
    <row r="32" spans="1:120" x14ac:dyDescent="0.15">
      <c r="A32" s="3" t="s">
        <v>16</v>
      </c>
      <c r="B32" s="22">
        <f t="shared" ref="B32:O32" si="55">IFERROR(B23/B16,0)</f>
        <v>-0.44023585668829907</v>
      </c>
      <c r="C32" s="22">
        <f>IFERROR(C23/C16,0)</f>
        <v>-0.30994474516379533</v>
      </c>
      <c r="D32" s="22">
        <f t="shared" si="55"/>
        <v>-0.36465340973340932</v>
      </c>
      <c r="E32" s="22">
        <f t="shared" si="55"/>
        <v>-0.30433820210668566</v>
      </c>
      <c r="F32" s="22">
        <f t="shared" si="55"/>
        <v>-0.24918968244633258</v>
      </c>
      <c r="G32" s="22">
        <f t="shared" si="55"/>
        <v>-0.19873054493484393</v>
      </c>
      <c r="H32" s="22">
        <f t="shared" si="55"/>
        <v>-0.15251673980618891</v>
      </c>
      <c r="I32" s="22">
        <f t="shared" si="55"/>
        <v>0.13217594437283681</v>
      </c>
      <c r="J32" s="22">
        <f t="shared" si="55"/>
        <v>0.19188772037743657</v>
      </c>
      <c r="K32" s="22">
        <f t="shared" si="55"/>
        <v>0.24539663972604672</v>
      </c>
      <c r="L32" s="22">
        <f t="shared" si="55"/>
        <v>0.29340727344279099</v>
      </c>
      <c r="M32" s="22">
        <f t="shared" si="55"/>
        <v>0.33654038228070082</v>
      </c>
      <c r="N32" s="22">
        <f t="shared" si="55"/>
        <v>0.37534316563309261</v>
      </c>
      <c r="O32" s="22">
        <f t="shared" si="55"/>
        <v>0.41029823042481361</v>
      </c>
      <c r="P32" s="22"/>
      <c r="Q32" s="22"/>
      <c r="R32" s="22"/>
      <c r="S32" s="22"/>
      <c r="T32" s="22"/>
    </row>
    <row r="33" spans="1:120" x14ac:dyDescent="0.15">
      <c r="A33" s="3" t="s">
        <v>17</v>
      </c>
      <c r="B33" s="22">
        <f t="shared" ref="B33:O33" si="56">IFERROR(B26/B25,0)</f>
        <v>6.2129399145973698E-3</v>
      </c>
      <c r="C33" s="22">
        <f>IFERROR(C26/C25,0)</f>
        <v>-5.4672339155097741E-3</v>
      </c>
      <c r="D33" s="22">
        <f t="shared" si="56"/>
        <v>3.9186049766283196E-4</v>
      </c>
      <c r="E33" s="22">
        <f t="shared" si="56"/>
        <v>0</v>
      </c>
      <c r="F33" s="22">
        <f t="shared" si="56"/>
        <v>0</v>
      </c>
      <c r="G33" s="22">
        <f t="shared" si="56"/>
        <v>0</v>
      </c>
      <c r="H33" s="22">
        <f t="shared" si="56"/>
        <v>0.15</v>
      </c>
      <c r="I33" s="22">
        <f t="shared" si="56"/>
        <v>0.15</v>
      </c>
      <c r="J33" s="22">
        <f t="shared" si="56"/>
        <v>0.14999999999999997</v>
      </c>
      <c r="K33" s="22">
        <f t="shared" si="56"/>
        <v>0.15</v>
      </c>
      <c r="L33" s="22">
        <f t="shared" si="56"/>
        <v>0.15</v>
      </c>
      <c r="M33" s="22">
        <f t="shared" si="56"/>
        <v>0.15</v>
      </c>
      <c r="N33" s="22">
        <f t="shared" si="56"/>
        <v>0.15</v>
      </c>
      <c r="O33" s="22">
        <f t="shared" si="56"/>
        <v>0.15</v>
      </c>
      <c r="P33" s="22"/>
      <c r="Q33" s="22"/>
      <c r="R33" s="22"/>
      <c r="S33" s="22"/>
      <c r="T33" s="22"/>
    </row>
    <row r="34" spans="1:120" x14ac:dyDescent="0.15"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</row>
    <row r="35" spans="1:120" x14ac:dyDescent="0.15">
      <c r="A35" s="2" t="s">
        <v>14</v>
      </c>
      <c r="B35" s="21"/>
      <c r="C35" s="21">
        <f>C16/B16-1</f>
        <v>0.59744368741798048</v>
      </c>
      <c r="D35" s="21">
        <f>D16/C16-1</f>
        <v>0.51765397643510669</v>
      </c>
      <c r="E35" s="21">
        <f t="shared" ref="E35:O35" si="57">E16/D16-1</f>
        <v>0.47462512119026901</v>
      </c>
      <c r="F35" s="21">
        <f t="shared" si="57"/>
        <v>0.47849039864005483</v>
      </c>
      <c r="G35" s="21">
        <f t="shared" si="57"/>
        <v>0.48181455779174298</v>
      </c>
      <c r="H35" s="21">
        <f t="shared" si="57"/>
        <v>0.48465948209187726</v>
      </c>
      <c r="I35" s="21">
        <f t="shared" si="57"/>
        <v>0.48708414446783777</v>
      </c>
      <c r="J35" s="21">
        <f t="shared" si="57"/>
        <v>0.14999999999999991</v>
      </c>
      <c r="K35" s="21">
        <f t="shared" si="57"/>
        <v>0.14999999999999991</v>
      </c>
      <c r="L35" s="21">
        <f t="shared" si="57"/>
        <v>0.14999999999999991</v>
      </c>
      <c r="M35" s="21">
        <f t="shared" si="57"/>
        <v>0.14999999999999991</v>
      </c>
      <c r="N35" s="21">
        <f t="shared" si="57"/>
        <v>0.14999999999999991</v>
      </c>
      <c r="O35" s="21">
        <f t="shared" si="57"/>
        <v>0.14999999999999991</v>
      </c>
      <c r="P35" s="21"/>
      <c r="Q35" s="21"/>
      <c r="R35" s="21"/>
      <c r="S35" s="21"/>
      <c r="T35" s="21"/>
    </row>
    <row r="36" spans="1:120" x14ac:dyDescent="0.15">
      <c r="A36" s="3" t="s">
        <v>30</v>
      </c>
      <c r="B36" s="22"/>
      <c r="C36" s="22">
        <f t="shared" ref="C36:O36" si="58">C19/B19-1</f>
        <v>0.56533652567172132</v>
      </c>
      <c r="D36" s="22">
        <f t="shared" si="58"/>
        <v>0.56758042861270175</v>
      </c>
      <c r="E36" s="22">
        <f t="shared" si="58"/>
        <v>0.5</v>
      </c>
      <c r="F36" s="22">
        <f t="shared" si="58"/>
        <v>0.5</v>
      </c>
      <c r="G36" s="22">
        <f t="shared" si="58"/>
        <v>0.50000000000000022</v>
      </c>
      <c r="H36" s="22">
        <f t="shared" si="58"/>
        <v>0.5</v>
      </c>
      <c r="I36" s="22">
        <f t="shared" si="58"/>
        <v>0.10000000000000009</v>
      </c>
      <c r="J36" s="22">
        <f t="shared" si="58"/>
        <v>0.10000000000000009</v>
      </c>
      <c r="K36" s="22">
        <f t="shared" si="58"/>
        <v>0.10000000000000009</v>
      </c>
      <c r="L36" s="22">
        <f t="shared" si="58"/>
        <v>0.10000000000000009</v>
      </c>
      <c r="M36" s="22">
        <f t="shared" si="58"/>
        <v>0.10000000000000009</v>
      </c>
      <c r="N36" s="22">
        <f t="shared" si="58"/>
        <v>0.10000000000000009</v>
      </c>
      <c r="O36" s="22">
        <f t="shared" si="58"/>
        <v>0.10000000000000009</v>
      </c>
      <c r="P36" s="22"/>
      <c r="Q36" s="22"/>
      <c r="R36" s="22"/>
      <c r="S36" s="22"/>
      <c r="T36" s="22"/>
    </row>
    <row r="37" spans="1:120" x14ac:dyDescent="0.15">
      <c r="A37" s="3" t="s">
        <v>31</v>
      </c>
      <c r="B37" s="22"/>
      <c r="C37" s="22">
        <f t="shared" ref="C37:O37" si="59">C20/B20-1</f>
        <v>0.45444697364451647</v>
      </c>
      <c r="D37" s="22">
        <f t="shared" si="59"/>
        <v>0.66322230288402606</v>
      </c>
      <c r="E37" s="22">
        <f t="shared" si="59"/>
        <v>0.39999999999999991</v>
      </c>
      <c r="F37" s="22">
        <f t="shared" si="59"/>
        <v>0.40000000000000013</v>
      </c>
      <c r="G37" s="22">
        <f t="shared" si="59"/>
        <v>0.39999999999999991</v>
      </c>
      <c r="H37" s="22">
        <f t="shared" si="59"/>
        <v>0.40000000000000013</v>
      </c>
      <c r="I37" s="22">
        <f t="shared" si="59"/>
        <v>2.0000000000000018E-2</v>
      </c>
      <c r="J37" s="22">
        <f t="shared" si="59"/>
        <v>2.0000000000000018E-2</v>
      </c>
      <c r="K37" s="22">
        <f t="shared" si="59"/>
        <v>2.0000000000000018E-2</v>
      </c>
      <c r="L37" s="22">
        <f t="shared" si="59"/>
        <v>2.0000000000000018E-2</v>
      </c>
      <c r="M37" s="22">
        <f t="shared" si="59"/>
        <v>2.0000000000000018E-2</v>
      </c>
      <c r="N37" s="22">
        <f t="shared" si="59"/>
        <v>2.0000000000000018E-2</v>
      </c>
      <c r="O37" s="22">
        <f t="shared" si="59"/>
        <v>2.0000000000000018E-2</v>
      </c>
      <c r="P37" s="22"/>
      <c r="Q37" s="22"/>
      <c r="R37" s="22"/>
      <c r="S37" s="22"/>
      <c r="T37" s="22"/>
    </row>
    <row r="38" spans="1:120" x14ac:dyDescent="0.15">
      <c r="A38" s="3" t="s">
        <v>32</v>
      </c>
      <c r="B38" s="22"/>
      <c r="C38" s="22">
        <f t="shared" ref="C38:O38" si="60">C21/B21-1</f>
        <v>0.2145608903474352</v>
      </c>
      <c r="D38" s="22">
        <f t="shared" si="60"/>
        <v>0.40794149607918007</v>
      </c>
      <c r="E38" s="22">
        <f t="shared" si="60"/>
        <v>0.19999999999999996</v>
      </c>
      <c r="F38" s="22">
        <f t="shared" si="60"/>
        <v>0.19999999999999996</v>
      </c>
      <c r="G38" s="22">
        <f t="shared" si="60"/>
        <v>0.19999999999999996</v>
      </c>
      <c r="H38" s="22">
        <f t="shared" si="60"/>
        <v>0.19999999999999996</v>
      </c>
      <c r="I38" s="22">
        <f t="shared" si="60"/>
        <v>-2.0000000000000018E-2</v>
      </c>
      <c r="J38" s="22">
        <f t="shared" si="60"/>
        <v>-2.0000000000000018E-2</v>
      </c>
      <c r="K38" s="22">
        <f t="shared" si="60"/>
        <v>-2.0000000000000018E-2</v>
      </c>
      <c r="L38" s="22">
        <f t="shared" si="60"/>
        <v>-2.0000000000000018E-2</v>
      </c>
      <c r="M38" s="22">
        <f t="shared" si="60"/>
        <v>-2.0000000000000129E-2</v>
      </c>
      <c r="N38" s="22">
        <f t="shared" si="60"/>
        <v>-1.9999999999999907E-2</v>
      </c>
      <c r="O38" s="22">
        <f t="shared" si="60"/>
        <v>-1.9999999999999907E-2</v>
      </c>
      <c r="P38" s="22"/>
      <c r="Q38" s="22"/>
      <c r="R38" s="22"/>
      <c r="S38" s="22"/>
      <c r="T38" s="22"/>
    </row>
    <row r="39" spans="1:120" s="5" customFormat="1" x14ac:dyDescent="0.15">
      <c r="A39" s="5" t="s">
        <v>87</v>
      </c>
      <c r="B39" s="63"/>
      <c r="C39" s="63">
        <f>C22/B22-1</f>
        <v>0.4359942259112235</v>
      </c>
      <c r="D39" s="63">
        <f t="shared" ref="D39:O39" si="61">D22/C22-1</f>
        <v>0.59124836019843485</v>
      </c>
      <c r="E39" s="63">
        <f t="shared" si="61"/>
        <v>0.39885024795476776</v>
      </c>
      <c r="F39" s="63">
        <f t="shared" si="61"/>
        <v>0.40526200035225424</v>
      </c>
      <c r="G39" s="63">
        <f t="shared" si="61"/>
        <v>0.41116294939427855</v>
      </c>
      <c r="H39" s="63">
        <f t="shared" si="61"/>
        <v>0.41658197409718412</v>
      </c>
      <c r="I39" s="63">
        <f t="shared" si="61"/>
        <v>4.6831411889804331E-2</v>
      </c>
      <c r="J39" s="63">
        <f t="shared" si="61"/>
        <v>4.8560561594815033E-2</v>
      </c>
      <c r="K39" s="63">
        <f t="shared" si="61"/>
        <v>5.0304088335376251E-2</v>
      </c>
      <c r="L39" s="63">
        <f t="shared" si="61"/>
        <v>5.2057453427898137E-2</v>
      </c>
      <c r="M39" s="63">
        <f t="shared" si="61"/>
        <v>5.3815941693188485E-2</v>
      </c>
      <c r="N39" s="63">
        <f t="shared" si="61"/>
        <v>5.5574717820159769E-2</v>
      </c>
      <c r="O39" s="63">
        <f t="shared" si="61"/>
        <v>5.7328885864774026E-2</v>
      </c>
      <c r="P39" s="14"/>
      <c r="Q39" s="14"/>
      <c r="R39" s="14"/>
      <c r="S39" s="14"/>
      <c r="T39" s="14"/>
    </row>
    <row r="40" spans="1:120" x14ac:dyDescent="0.15"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"/>
      <c r="Q40" s="6"/>
      <c r="R40" s="6"/>
      <c r="S40" s="6"/>
      <c r="T40" s="6"/>
    </row>
    <row r="41" spans="1:120" x14ac:dyDescent="0.15">
      <c r="A41" s="2" t="s">
        <v>18</v>
      </c>
      <c r="B41" s="17">
        <f>B42-B43</f>
        <v>56.886000000000003</v>
      </c>
      <c r="C41" s="17">
        <f>C42-C43</f>
        <v>213.08500000000001</v>
      </c>
      <c r="D41" s="17">
        <f>D42-D43</f>
        <v>563</v>
      </c>
      <c r="E41" s="49">
        <f>D41+E27</f>
        <v>470.10355063551901</v>
      </c>
      <c r="F41" s="49">
        <f t="shared" ref="F41:O41" si="62">E41+F27</f>
        <v>347.07278991497219</v>
      </c>
      <c r="G41" s="49">
        <f t="shared" si="62"/>
        <v>191.25646277523498</v>
      </c>
      <c r="H41" s="49">
        <f t="shared" si="62"/>
        <v>31.670117852373892</v>
      </c>
      <c r="I41" s="49">
        <f t="shared" si="62"/>
        <v>249.15935767488153</v>
      </c>
      <c r="J41" s="49">
        <f t="shared" si="62"/>
        <v>620.60493624187461</v>
      </c>
      <c r="K41" s="49">
        <f t="shared" si="62"/>
        <v>1177.6861201272682</v>
      </c>
      <c r="L41" s="49">
        <f t="shared" si="62"/>
        <v>1957.4534490316905</v>
      </c>
      <c r="M41" s="49">
        <f t="shared" si="62"/>
        <v>3003.183079135867</v>
      </c>
      <c r="N41" s="49">
        <f t="shared" si="62"/>
        <v>4365.3635431712109</v>
      </c>
      <c r="O41" s="49">
        <f t="shared" si="62"/>
        <v>6102.8351894875987</v>
      </c>
      <c r="P41" s="18"/>
      <c r="Q41" s="18"/>
      <c r="R41" s="18"/>
      <c r="S41" s="18"/>
      <c r="T41" s="18"/>
    </row>
    <row r="42" spans="1:120" x14ac:dyDescent="0.15">
      <c r="A42" s="3" t="s">
        <v>19</v>
      </c>
      <c r="B42" s="51">
        <f>Reports!E36</f>
        <v>58.158000000000001</v>
      </c>
      <c r="C42" s="51">
        <f>Reports!I36</f>
        <v>213.08500000000001</v>
      </c>
      <c r="D42" s="51">
        <f>Reports!M36</f>
        <v>563</v>
      </c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8"/>
      <c r="Q42" s="8"/>
      <c r="R42" s="8"/>
      <c r="S42" s="8"/>
      <c r="T42" s="8"/>
    </row>
    <row r="43" spans="1:120" x14ac:dyDescent="0.15">
      <c r="A43" s="3" t="s">
        <v>20</v>
      </c>
      <c r="B43" s="51">
        <f>Reports!E37</f>
        <v>1.272</v>
      </c>
      <c r="C43" s="51">
        <f>Reports!I37</f>
        <v>0</v>
      </c>
      <c r="D43" s="51">
        <f>Reports!M37</f>
        <v>0</v>
      </c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8"/>
      <c r="Q43" s="8"/>
      <c r="R43" s="8"/>
      <c r="S43" s="8"/>
      <c r="T43" s="8"/>
    </row>
    <row r="44" spans="1:120" x14ac:dyDescent="0.15"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5"/>
      <c r="Q44" s="25"/>
      <c r="R44" s="25"/>
      <c r="S44" s="25"/>
      <c r="T44" s="25"/>
    </row>
    <row r="45" spans="1:120" x14ac:dyDescent="0.15">
      <c r="A45" s="3" t="s">
        <v>45</v>
      </c>
      <c r="B45" s="50">
        <f>Reports!E39</f>
        <v>1.992</v>
      </c>
      <c r="C45" s="51">
        <f>Reports!I39</f>
        <v>7.3230000000000004</v>
      </c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</row>
    <row r="46" spans="1:120" x14ac:dyDescent="0.15">
      <c r="A46" s="3" t="s">
        <v>46</v>
      </c>
      <c r="B46" s="50">
        <f>Reports!E40</f>
        <v>116.604</v>
      </c>
      <c r="C46" s="51">
        <f>Reports!I40</f>
        <v>308.74400000000003</v>
      </c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</row>
    <row r="47" spans="1:120" x14ac:dyDescent="0.15">
      <c r="A47" s="3" t="s">
        <v>47</v>
      </c>
      <c r="B47" s="50">
        <f>Reports!E41</f>
        <v>84.658000000000001</v>
      </c>
      <c r="C47" s="51">
        <f>Reports!I41</f>
        <v>141.75200000000001</v>
      </c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</row>
    <row r="49" spans="1:120" x14ac:dyDescent="0.15">
      <c r="A49" s="3" t="s">
        <v>48</v>
      </c>
      <c r="B49" s="52">
        <f>B46-B45-B42</f>
        <v>56.453999999999994</v>
      </c>
      <c r="C49" s="52">
        <f>C46-C45-C42</f>
        <v>88.336000000000041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</row>
    <row r="50" spans="1:120" x14ac:dyDescent="0.15">
      <c r="A50" s="3" t="s">
        <v>49</v>
      </c>
      <c r="B50" s="52">
        <f>B46-B47</f>
        <v>31.945999999999998</v>
      </c>
      <c r="C50" s="52">
        <f>C46-C47</f>
        <v>166.99200000000002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</row>
    <row r="52" spans="1:120" x14ac:dyDescent="0.15">
      <c r="A52" s="26" t="s">
        <v>51</v>
      </c>
      <c r="B52" s="27">
        <f>B27/B50</f>
        <v>-1.5371564515119271</v>
      </c>
      <c r="C52" s="27">
        <f>C27/C50</f>
        <v>-0.32268012838938409</v>
      </c>
    </row>
    <row r="53" spans="1:120" x14ac:dyDescent="0.15">
      <c r="A53" s="26" t="s">
        <v>52</v>
      </c>
      <c r="B53" s="27">
        <f>B27/B46</f>
        <v>-0.42113478096806306</v>
      </c>
      <c r="C53" s="27">
        <f>C27/C46</f>
        <v>-0.17452970745990215</v>
      </c>
    </row>
    <row r="54" spans="1:120" x14ac:dyDescent="0.15">
      <c r="A54" s="26" t="s">
        <v>53</v>
      </c>
      <c r="B54" s="27">
        <f>B27/(B50-B45)</f>
        <v>-1.6393803832543241</v>
      </c>
      <c r="C54" s="27">
        <f>C27/(C50-C45)</f>
        <v>-0.33747941053053521</v>
      </c>
    </row>
    <row r="55" spans="1:120" x14ac:dyDescent="0.15">
      <c r="A55" s="26" t="s">
        <v>54</v>
      </c>
      <c r="B55" s="27">
        <f>B27/B49</f>
        <v>-0.86984093244057159</v>
      </c>
      <c r="C55" s="27">
        <f>C27/C49</f>
        <v>-0.61000045281651882</v>
      </c>
    </row>
    <row r="57" spans="1:120" x14ac:dyDescent="0.15">
      <c r="A57" s="8" t="s">
        <v>66</v>
      </c>
      <c r="B57" s="27"/>
      <c r="C57" s="27">
        <f t="shared" ref="C57:I58" si="63">C10/B10-1</f>
        <v>0.5695141877889367</v>
      </c>
      <c r="D57" s="27">
        <f>D10/C10-1</f>
        <v>0.53840880091919585</v>
      </c>
      <c r="E57" s="27">
        <f t="shared" si="63"/>
        <v>0.49999999999999978</v>
      </c>
      <c r="F57" s="27">
        <f t="shared" si="63"/>
        <v>0.49999999999999978</v>
      </c>
      <c r="G57" s="27">
        <f t="shared" si="63"/>
        <v>0.5</v>
      </c>
      <c r="H57" s="27">
        <f t="shared" si="63"/>
        <v>0.49999999999999978</v>
      </c>
      <c r="I57" s="27">
        <f t="shared" si="63"/>
        <v>0.5</v>
      </c>
    </row>
    <row r="58" spans="1:120" x14ac:dyDescent="0.15">
      <c r="A58" s="8" t="s">
        <v>67</v>
      </c>
      <c r="B58" s="27"/>
      <c r="C58" s="27">
        <f t="shared" si="63"/>
        <v>0.85495131361381582</v>
      </c>
      <c r="D58" s="27">
        <f t="shared" si="63"/>
        <v>0.35574208884266834</v>
      </c>
      <c r="E58" s="27">
        <f t="shared" si="63"/>
        <v>0.25</v>
      </c>
      <c r="F58" s="27">
        <f t="shared" si="63"/>
        <v>0.25</v>
      </c>
      <c r="G58" s="27">
        <f t="shared" si="63"/>
        <v>0.25</v>
      </c>
      <c r="H58" s="27">
        <f t="shared" si="63"/>
        <v>0.25</v>
      </c>
      <c r="I58" s="27">
        <f t="shared" si="63"/>
        <v>0.25</v>
      </c>
    </row>
    <row r="60" spans="1:120" s="27" customFormat="1" x14ac:dyDescent="0.15">
      <c r="A60" s="27" t="s">
        <v>59</v>
      </c>
    </row>
    <row r="61" spans="1:120" s="27" customFormat="1" x14ac:dyDescent="0.15">
      <c r="A61" s="27" t="s">
        <v>60</v>
      </c>
    </row>
  </sheetData>
  <hyperlinks>
    <hyperlink ref="A1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6"/>
  <sheetViews>
    <sheetView tabSelected="1"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N22" sqref="N22"/>
    </sheetView>
  </sheetViews>
  <sheetFormatPr baseColWidth="10" defaultRowHeight="13" x14ac:dyDescent="0.15"/>
  <cols>
    <col min="1" max="1" width="19.5" style="6" bestFit="1" customWidth="1"/>
    <col min="2" max="2" width="10.83203125" style="29"/>
    <col min="3" max="5" width="10.83203125" style="28"/>
    <col min="6" max="6" width="10.83203125" style="29"/>
    <col min="7" max="9" width="10.83203125" style="28"/>
    <col min="10" max="10" width="10.83203125" style="29"/>
    <col min="11" max="13" width="10.83203125" style="28"/>
    <col min="14" max="16384" width="10.83203125" style="6"/>
  </cols>
  <sheetData>
    <row r="1" spans="1:13" x14ac:dyDescent="0.15">
      <c r="A1" s="1" t="s">
        <v>33</v>
      </c>
      <c r="B1" s="30" t="s">
        <v>26</v>
      </c>
      <c r="C1" s="31" t="s">
        <v>27</v>
      </c>
      <c r="D1" s="31" t="s">
        <v>28</v>
      </c>
      <c r="E1" s="31" t="s">
        <v>29</v>
      </c>
      <c r="F1" s="30" t="s">
        <v>41</v>
      </c>
      <c r="G1" s="31" t="s">
        <v>42</v>
      </c>
      <c r="H1" s="31" t="s">
        <v>43</v>
      </c>
      <c r="I1" s="31" t="s">
        <v>44</v>
      </c>
      <c r="J1" s="29" t="s">
        <v>68</v>
      </c>
      <c r="K1" s="28" t="s">
        <v>79</v>
      </c>
      <c r="L1" s="28" t="s">
        <v>83</v>
      </c>
      <c r="M1" s="28" t="s">
        <v>84</v>
      </c>
    </row>
    <row r="2" spans="1:13" s="28" customFormat="1" x14ac:dyDescent="0.15">
      <c r="A2" s="1"/>
      <c r="B2" s="29" t="s">
        <v>78</v>
      </c>
      <c r="C2" s="28" t="s">
        <v>77</v>
      </c>
      <c r="D2" s="28" t="s">
        <v>74</v>
      </c>
      <c r="E2" s="28" t="s">
        <v>72</v>
      </c>
      <c r="F2" s="29" t="s">
        <v>71</v>
      </c>
      <c r="G2" s="28" t="s">
        <v>76</v>
      </c>
      <c r="H2" s="28" t="s">
        <v>73</v>
      </c>
      <c r="I2" s="28" t="s">
        <v>70</v>
      </c>
      <c r="J2" s="29" t="s">
        <v>69</v>
      </c>
      <c r="K2" s="28" t="s">
        <v>80</v>
      </c>
      <c r="L2" s="28" t="s">
        <v>81</v>
      </c>
      <c r="M2" s="28" t="s">
        <v>82</v>
      </c>
    </row>
    <row r="3" spans="1:13" s="8" customFormat="1" x14ac:dyDescent="0.15">
      <c r="A3" s="8" t="s">
        <v>64</v>
      </c>
      <c r="B3" s="30">
        <v>20.375</v>
      </c>
      <c r="C3" s="31">
        <v>23.795999999999999</v>
      </c>
      <c r="D3" s="31">
        <v>26.440999999999999</v>
      </c>
      <c r="E3" s="31">
        <v>29.756</v>
      </c>
      <c r="F3" s="30">
        <v>32.057000000000002</v>
      </c>
      <c r="G3" s="31">
        <v>37.47</v>
      </c>
      <c r="H3" s="31">
        <v>41.52</v>
      </c>
      <c r="I3" s="31">
        <v>46.481999999999999</v>
      </c>
      <c r="J3" s="30">
        <v>50.320999999999998</v>
      </c>
      <c r="K3" s="31">
        <v>58.3</v>
      </c>
      <c r="L3" s="31">
        <v>64</v>
      </c>
      <c r="M3" s="31">
        <f>I3*1.5</f>
        <v>69.722999999999999</v>
      </c>
    </row>
    <row r="4" spans="1:13" s="8" customFormat="1" x14ac:dyDescent="0.15">
      <c r="A4" s="8" t="s">
        <v>65</v>
      </c>
      <c r="B4" s="30">
        <v>1.861</v>
      </c>
      <c r="C4" s="31">
        <v>2.871</v>
      </c>
      <c r="D4" s="31">
        <v>2.9470000000000001</v>
      </c>
      <c r="E4" s="31">
        <v>3.2069999999999999</v>
      </c>
      <c r="F4" s="30">
        <v>4.2619999999999996</v>
      </c>
      <c r="G4" s="31">
        <v>4.9139999999999997</v>
      </c>
      <c r="H4" s="31">
        <v>5.3479999999999999</v>
      </c>
      <c r="I4" s="31">
        <v>5.6689999999999996</v>
      </c>
      <c r="J4" s="30">
        <v>5.8730000000000002</v>
      </c>
      <c r="K4" s="31">
        <v>6</v>
      </c>
      <c r="L4" s="31">
        <v>7</v>
      </c>
      <c r="M4" s="31">
        <f>I4*1.5</f>
        <v>8.5034999999999989</v>
      </c>
    </row>
    <row r="5" spans="1:13" x14ac:dyDescent="0.15">
      <c r="B5" s="30"/>
      <c r="C5" s="31"/>
      <c r="D5" s="31"/>
      <c r="E5" s="31"/>
      <c r="F5" s="30"/>
      <c r="G5" s="31"/>
      <c r="H5" s="31"/>
      <c r="I5" s="31"/>
    </row>
    <row r="6" spans="1:13" s="8" customFormat="1" x14ac:dyDescent="0.15">
      <c r="A6" s="8" t="s">
        <v>57</v>
      </c>
      <c r="B6" s="30"/>
      <c r="C6" s="31"/>
      <c r="D6" s="31"/>
      <c r="E6" s="31"/>
      <c r="F6" s="30"/>
      <c r="G6" s="31"/>
      <c r="H6" s="31"/>
      <c r="I6" s="31"/>
      <c r="J6" s="30"/>
      <c r="K6" s="31"/>
      <c r="L6" s="31"/>
      <c r="M6" s="31"/>
    </row>
    <row r="7" spans="1:13" s="4" customFormat="1" x14ac:dyDescent="0.15">
      <c r="A7" s="4" t="s">
        <v>58</v>
      </c>
      <c r="B7" s="59"/>
      <c r="C7" s="58"/>
      <c r="D7" s="58"/>
      <c r="E7" s="58"/>
      <c r="F7" s="59"/>
      <c r="G7" s="58"/>
      <c r="H7" s="58"/>
      <c r="I7" s="58"/>
      <c r="J7" s="59"/>
      <c r="K7" s="58"/>
      <c r="L7" s="58"/>
      <c r="M7" s="58"/>
    </row>
    <row r="8" spans="1:13" x14ac:dyDescent="0.15">
      <c r="K8" s="55"/>
      <c r="L8" s="55"/>
      <c r="M8" s="55" t="s">
        <v>85</v>
      </c>
    </row>
    <row r="9" spans="1:13" s="12" customFormat="1" x14ac:dyDescent="0.15">
      <c r="A9" s="12" t="s">
        <v>0</v>
      </c>
      <c r="B9" s="34">
        <f t="shared" ref="B9:K9" si="0">SUM(B3:B4)</f>
        <v>22.236000000000001</v>
      </c>
      <c r="C9" s="33">
        <f t="shared" si="0"/>
        <v>26.666999999999998</v>
      </c>
      <c r="D9" s="33">
        <f t="shared" si="0"/>
        <v>29.387999999999998</v>
      </c>
      <c r="E9" s="33">
        <f t="shared" si="0"/>
        <v>32.963000000000001</v>
      </c>
      <c r="F9" s="34">
        <f t="shared" si="0"/>
        <v>36.319000000000003</v>
      </c>
      <c r="G9" s="33">
        <f t="shared" si="0"/>
        <v>42.384</v>
      </c>
      <c r="H9" s="33">
        <f t="shared" si="0"/>
        <v>46.868000000000002</v>
      </c>
      <c r="I9" s="33">
        <f t="shared" si="0"/>
        <v>52.150999999999996</v>
      </c>
      <c r="J9" s="34">
        <f t="shared" si="0"/>
        <v>56.193999999999996</v>
      </c>
      <c r="K9" s="33">
        <f t="shared" si="0"/>
        <v>64.3</v>
      </c>
      <c r="L9" s="33">
        <f t="shared" ref="L9" si="1">SUM(L3:L4)</f>
        <v>71</v>
      </c>
      <c r="M9" s="33">
        <f>SUM(M3:M4)</f>
        <v>78.226500000000001</v>
      </c>
    </row>
    <row r="10" spans="1:13" x14ac:dyDescent="0.15">
      <c r="A10" s="6" t="s">
        <v>1</v>
      </c>
      <c r="B10" s="30">
        <v>4.4969999999999999</v>
      </c>
      <c r="C10" s="31">
        <v>5.3769999999999998</v>
      </c>
      <c r="D10" s="31">
        <v>5.6630000000000003</v>
      </c>
      <c r="E10" s="31">
        <v>6.1449999999999996</v>
      </c>
      <c r="F10" s="30">
        <v>7.3230000000000004</v>
      </c>
      <c r="G10" s="31">
        <v>8.1549999999999994</v>
      </c>
      <c r="H10" s="31">
        <v>8.7040000000000006</v>
      </c>
      <c r="I10" s="31">
        <v>9.6669999999999998</v>
      </c>
      <c r="J10" s="30">
        <v>10.484999999999999</v>
      </c>
      <c r="K10" s="31">
        <v>13</v>
      </c>
      <c r="L10" s="31">
        <v>14</v>
      </c>
      <c r="M10" s="31">
        <v>14</v>
      </c>
    </row>
    <row r="11" spans="1:13" x14ac:dyDescent="0.15">
      <c r="A11" s="6" t="s">
        <v>2</v>
      </c>
      <c r="B11" s="36">
        <f t="shared" ref="B11:D11" si="2">B9-B10</f>
        <v>17.739000000000001</v>
      </c>
      <c r="C11" s="35">
        <f t="shared" si="2"/>
        <v>21.29</v>
      </c>
      <c r="D11" s="35">
        <f t="shared" si="2"/>
        <v>23.724999999999998</v>
      </c>
      <c r="E11" s="35">
        <f t="shared" ref="E11" si="3">E9-E10</f>
        <v>26.818000000000001</v>
      </c>
      <c r="F11" s="36">
        <f>F9-F10</f>
        <v>28.996000000000002</v>
      </c>
      <c r="G11" s="35">
        <f>G9-G10</f>
        <v>34.228999999999999</v>
      </c>
      <c r="H11" s="35">
        <f t="shared" ref="H11:I11" si="4">H9-H10</f>
        <v>38.164000000000001</v>
      </c>
      <c r="I11" s="35">
        <f t="shared" si="4"/>
        <v>42.483999999999995</v>
      </c>
      <c r="J11" s="36">
        <f t="shared" ref="J11:K11" si="5">J9-J10</f>
        <v>45.708999999999996</v>
      </c>
      <c r="K11" s="35">
        <f t="shared" si="5"/>
        <v>51.3</v>
      </c>
      <c r="L11" s="35">
        <f t="shared" ref="L11:M11" si="6">L9-L10</f>
        <v>57</v>
      </c>
      <c r="M11" s="35">
        <f t="shared" si="6"/>
        <v>64.226500000000001</v>
      </c>
    </row>
    <row r="12" spans="1:13" x14ac:dyDescent="0.15">
      <c r="A12" s="6" t="s">
        <v>3</v>
      </c>
      <c r="B12" s="30">
        <v>6.508</v>
      </c>
      <c r="C12" s="31">
        <v>12.587999999999999</v>
      </c>
      <c r="D12" s="31">
        <v>8.9009999999999998</v>
      </c>
      <c r="E12" s="31">
        <v>9.593</v>
      </c>
      <c r="F12" s="30">
        <v>12.843999999999999</v>
      </c>
      <c r="G12" s="31">
        <v>14.412000000000001</v>
      </c>
      <c r="H12" s="31">
        <v>15.599</v>
      </c>
      <c r="I12" s="31">
        <v>15.986000000000001</v>
      </c>
      <c r="J12" s="30">
        <v>20.238</v>
      </c>
      <c r="K12" s="31">
        <v>22</v>
      </c>
      <c r="L12" s="31">
        <v>25</v>
      </c>
      <c r="M12" s="31">
        <v>25</v>
      </c>
    </row>
    <row r="13" spans="1:13" x14ac:dyDescent="0.15">
      <c r="A13" s="6" t="s">
        <v>4</v>
      </c>
      <c r="B13" s="30">
        <v>14.749000000000001</v>
      </c>
      <c r="C13" s="31">
        <v>17.367000000000001</v>
      </c>
      <c r="D13" s="31">
        <v>20.725999999999999</v>
      </c>
      <c r="E13" s="31">
        <v>20.084</v>
      </c>
      <c r="F13" s="30">
        <v>22.384</v>
      </c>
      <c r="G13" s="31">
        <v>24.254999999999999</v>
      </c>
      <c r="H13" s="31">
        <v>30.084</v>
      </c>
      <c r="I13" s="31">
        <v>29.344000000000001</v>
      </c>
      <c r="J13" s="30">
        <v>35.412999999999997</v>
      </c>
      <c r="K13" s="31">
        <v>39</v>
      </c>
      <c r="L13" s="31">
        <v>51</v>
      </c>
      <c r="M13" s="31">
        <v>51</v>
      </c>
    </row>
    <row r="14" spans="1:13" x14ac:dyDescent="0.15">
      <c r="A14" s="6" t="s">
        <v>5</v>
      </c>
      <c r="B14" s="30">
        <v>3.6789999999999998</v>
      </c>
      <c r="C14" s="31">
        <v>14.045999999999999</v>
      </c>
      <c r="D14" s="31">
        <v>4.5529999999999999</v>
      </c>
      <c r="E14" s="31">
        <v>5.7560000000000002</v>
      </c>
      <c r="F14" s="30">
        <v>6.798</v>
      </c>
      <c r="G14" s="31">
        <v>8.5239999999999991</v>
      </c>
      <c r="H14" s="31">
        <v>8.8879999999999999</v>
      </c>
      <c r="I14" s="31">
        <v>9.8390000000000004</v>
      </c>
      <c r="J14" s="30">
        <v>10.939</v>
      </c>
      <c r="K14" s="31">
        <v>11</v>
      </c>
      <c r="L14" s="31">
        <v>13</v>
      </c>
      <c r="M14" s="31">
        <v>13</v>
      </c>
    </row>
    <row r="15" spans="1:13" x14ac:dyDescent="0.15">
      <c r="A15" s="6" t="s">
        <v>6</v>
      </c>
      <c r="B15" s="36">
        <f t="shared" ref="B15:D15" si="7">SUM(B12:B14)</f>
        <v>24.936</v>
      </c>
      <c r="C15" s="35">
        <f t="shared" si="7"/>
        <v>44.000999999999998</v>
      </c>
      <c r="D15" s="35">
        <f t="shared" si="7"/>
        <v>34.18</v>
      </c>
      <c r="E15" s="35">
        <f t="shared" ref="E15:F15" si="8">SUM(E12:E14)</f>
        <v>35.433</v>
      </c>
      <c r="F15" s="36">
        <f t="shared" si="8"/>
        <v>42.026000000000003</v>
      </c>
      <c r="G15" s="35">
        <f t="shared" ref="G15:H15" si="9">SUM(G12:G14)</f>
        <v>47.191000000000003</v>
      </c>
      <c r="H15" s="35">
        <f t="shared" si="9"/>
        <v>54.570999999999998</v>
      </c>
      <c r="I15" s="35">
        <f t="shared" ref="I15:K15" si="10">SUM(I12:I14)</f>
        <v>55.168999999999997</v>
      </c>
      <c r="J15" s="36">
        <f t="shared" si="10"/>
        <v>66.59</v>
      </c>
      <c r="K15" s="35">
        <f t="shared" si="10"/>
        <v>72</v>
      </c>
      <c r="L15" s="35">
        <f t="shared" ref="L15:M15" si="11">SUM(L12:L14)</f>
        <v>89</v>
      </c>
      <c r="M15" s="35">
        <f t="shared" si="11"/>
        <v>89</v>
      </c>
    </row>
    <row r="16" spans="1:13" x14ac:dyDescent="0.15">
      <c r="A16" s="6" t="s">
        <v>7</v>
      </c>
      <c r="B16" s="36">
        <f t="shared" ref="B16:H16" si="12">B11-B15</f>
        <v>-7.1969999999999992</v>
      </c>
      <c r="C16" s="35">
        <f t="shared" si="12"/>
        <v>-22.710999999999999</v>
      </c>
      <c r="D16" s="35">
        <f t="shared" si="12"/>
        <v>-10.455000000000002</v>
      </c>
      <c r="E16" s="35">
        <f t="shared" si="12"/>
        <v>-8.6149999999999984</v>
      </c>
      <c r="F16" s="36">
        <f t="shared" si="12"/>
        <v>-13.030000000000001</v>
      </c>
      <c r="G16" s="35">
        <f t="shared" si="12"/>
        <v>-12.962000000000003</v>
      </c>
      <c r="H16" s="35">
        <f t="shared" si="12"/>
        <v>-16.406999999999996</v>
      </c>
      <c r="I16" s="35">
        <f t="shared" ref="I16:K16" si="13">I11-I15</f>
        <v>-12.685000000000002</v>
      </c>
      <c r="J16" s="36">
        <f t="shared" si="13"/>
        <v>-20.881000000000007</v>
      </c>
      <c r="K16" s="35">
        <f t="shared" si="13"/>
        <v>-20.700000000000003</v>
      </c>
      <c r="L16" s="35">
        <f t="shared" ref="L16:M16" si="14">L11-L15</f>
        <v>-32</v>
      </c>
      <c r="M16" s="35">
        <f t="shared" si="14"/>
        <v>-24.773499999999999</v>
      </c>
    </row>
    <row r="17" spans="1:13" x14ac:dyDescent="0.15">
      <c r="A17" s="6" t="s">
        <v>8</v>
      </c>
      <c r="B17" s="30">
        <v>1.2999999999999999E-2</v>
      </c>
      <c r="C17" s="31">
        <v>-0.13900000000000001</v>
      </c>
      <c r="D17" s="31">
        <v>9.7000000000000003E-2</v>
      </c>
      <c r="E17" s="31">
        <v>-0.40600000000000003</v>
      </c>
      <c r="F17" s="30">
        <v>-1.3</v>
      </c>
      <c r="G17" s="31">
        <v>0.749</v>
      </c>
      <c r="H17" s="31">
        <v>0.86</v>
      </c>
      <c r="I17" s="31">
        <v>1.1830000000000001</v>
      </c>
      <c r="J17" s="30">
        <v>1.0369999999999999</v>
      </c>
      <c r="K17" s="31">
        <v>2</v>
      </c>
      <c r="L17" s="31">
        <v>3</v>
      </c>
      <c r="M17" s="31">
        <v>3</v>
      </c>
    </row>
    <row r="18" spans="1:13" x14ac:dyDescent="0.15">
      <c r="A18" s="6" t="s">
        <v>9</v>
      </c>
      <c r="B18" s="36">
        <f t="shared" ref="B18:C18" si="15">B16+B17</f>
        <v>-7.1839999999999993</v>
      </c>
      <c r="C18" s="35">
        <f t="shared" si="15"/>
        <v>-22.849999999999998</v>
      </c>
      <c r="D18" s="35">
        <f t="shared" ref="D18:F18" si="16">D16+D17</f>
        <v>-10.358000000000002</v>
      </c>
      <c r="E18" s="35">
        <f>E16+E17</f>
        <v>-9.020999999999999</v>
      </c>
      <c r="F18" s="36">
        <f t="shared" si="16"/>
        <v>-14.330000000000002</v>
      </c>
      <c r="G18" s="35">
        <f t="shared" ref="G18" si="17">G16+G17</f>
        <v>-12.213000000000003</v>
      </c>
      <c r="H18" s="35">
        <f t="shared" ref="H18:M18" si="18">H16+H17</f>
        <v>-15.546999999999997</v>
      </c>
      <c r="I18" s="35">
        <f t="shared" si="18"/>
        <v>-11.502000000000002</v>
      </c>
      <c r="J18" s="36">
        <f t="shared" si="18"/>
        <v>-19.844000000000008</v>
      </c>
      <c r="K18" s="35">
        <f t="shared" si="18"/>
        <v>-18.700000000000003</v>
      </c>
      <c r="L18" s="35">
        <f t="shared" si="18"/>
        <v>-29</v>
      </c>
      <c r="M18" s="35">
        <f t="shared" si="18"/>
        <v>-21.773499999999999</v>
      </c>
    </row>
    <row r="19" spans="1:13" x14ac:dyDescent="0.15">
      <c r="A19" s="6" t="s">
        <v>10</v>
      </c>
      <c r="B19" s="30">
        <v>0</v>
      </c>
      <c r="C19" s="31">
        <v>0</v>
      </c>
      <c r="D19" s="31">
        <v>0</v>
      </c>
      <c r="E19" s="31">
        <v>-0.307</v>
      </c>
      <c r="F19" s="30">
        <v>0</v>
      </c>
      <c r="G19" s="31">
        <v>8.7999999999999995E-2</v>
      </c>
      <c r="H19" s="31">
        <v>2.1999999999999999E-2</v>
      </c>
      <c r="I19" s="31">
        <v>0.183</v>
      </c>
      <c r="J19" s="30">
        <v>-3.5000000000000003E-2</v>
      </c>
      <c r="K19" s="31">
        <v>0</v>
      </c>
      <c r="L19" s="31">
        <v>0</v>
      </c>
      <c r="M19" s="31">
        <v>0</v>
      </c>
    </row>
    <row r="20" spans="1:13" s="14" customFormat="1" x14ac:dyDescent="0.15">
      <c r="A20" s="14" t="s">
        <v>62</v>
      </c>
      <c r="B20" s="54"/>
      <c r="C20" s="53"/>
      <c r="D20" s="53"/>
      <c r="E20" s="53"/>
      <c r="F20" s="54"/>
      <c r="G20" s="53"/>
      <c r="H20" s="53"/>
      <c r="I20" s="53"/>
      <c r="J20" s="54"/>
      <c r="K20" s="53"/>
      <c r="L20" s="53"/>
      <c r="M20" s="53"/>
    </row>
    <row r="21" spans="1:13" s="12" customFormat="1" x14ac:dyDescent="0.15">
      <c r="A21" s="12" t="s">
        <v>11</v>
      </c>
      <c r="B21" s="34">
        <f t="shared" ref="B21:G21" si="19">B18-B19</f>
        <v>-7.1839999999999993</v>
      </c>
      <c r="C21" s="33">
        <f t="shared" si="19"/>
        <v>-22.849999999999998</v>
      </c>
      <c r="D21" s="33">
        <f t="shared" si="19"/>
        <v>-10.358000000000002</v>
      </c>
      <c r="E21" s="33">
        <f t="shared" si="19"/>
        <v>-8.7139999999999986</v>
      </c>
      <c r="F21" s="34">
        <f t="shared" si="19"/>
        <v>-14.330000000000002</v>
      </c>
      <c r="G21" s="33">
        <f t="shared" si="19"/>
        <v>-12.301000000000002</v>
      </c>
      <c r="H21" s="33">
        <f t="shared" ref="H21:M21" si="20">H18-H19</f>
        <v>-15.568999999999997</v>
      </c>
      <c r="I21" s="33">
        <f t="shared" si="20"/>
        <v>-11.685000000000002</v>
      </c>
      <c r="J21" s="34">
        <f t="shared" si="20"/>
        <v>-19.809000000000008</v>
      </c>
      <c r="K21" s="33">
        <f t="shared" si="20"/>
        <v>-18.700000000000003</v>
      </c>
      <c r="L21" s="33">
        <f t="shared" si="20"/>
        <v>-29</v>
      </c>
      <c r="M21" s="33">
        <f t="shared" si="20"/>
        <v>-21.773499999999999</v>
      </c>
    </row>
    <row r="22" spans="1:13" x14ac:dyDescent="0.15">
      <c r="A22" s="6" t="s">
        <v>12</v>
      </c>
      <c r="B22" s="38">
        <f t="shared" ref="B22:D22" si="21">IFERROR(B21/B23,0)</f>
        <v>-0.43597523971355739</v>
      </c>
      <c r="C22" s="37">
        <f t="shared" si="21"/>
        <v>-1.2685282851274078</v>
      </c>
      <c r="D22" s="37">
        <f t="shared" si="21"/>
        <v>-0.54227527354588778</v>
      </c>
      <c r="E22" s="37">
        <f t="shared" ref="E22" si="22">IFERROR(E21/E23,0)</f>
        <v>-0.44818186493853818</v>
      </c>
      <c r="F22" s="38">
        <f t="shared" ref="F22:M22" si="23">IFERROR(F21/F23,0)</f>
        <v>-0.68212109672505727</v>
      </c>
      <c r="G22" s="37">
        <f t="shared" si="23"/>
        <v>-0.11992902338913318</v>
      </c>
      <c r="H22" s="37">
        <f t="shared" si="23"/>
        <v>-0.15141701192351828</v>
      </c>
      <c r="I22" s="37">
        <f t="shared" si="23"/>
        <v>-0.11220472440944884</v>
      </c>
      <c r="J22" s="38">
        <f t="shared" si="23"/>
        <v>-0.18759410956958197</v>
      </c>
      <c r="K22" s="37">
        <f t="shared" si="23"/>
        <v>-0.16696428571428573</v>
      </c>
      <c r="L22" s="37">
        <f t="shared" si="23"/>
        <v>-0.24786324786324787</v>
      </c>
      <c r="M22" s="37">
        <f t="shared" si="23"/>
        <v>-0.18609829059829058</v>
      </c>
    </row>
    <row r="23" spans="1:13" s="8" customFormat="1" x14ac:dyDescent="0.15">
      <c r="A23" s="8" t="s">
        <v>13</v>
      </c>
      <c r="B23" s="30">
        <v>16.478000000000002</v>
      </c>
      <c r="C23" s="31">
        <v>18.013000000000002</v>
      </c>
      <c r="D23" s="31">
        <v>19.100999999999999</v>
      </c>
      <c r="E23" s="31">
        <v>19.443000000000001</v>
      </c>
      <c r="F23" s="30">
        <v>21.007999999999999</v>
      </c>
      <c r="G23" s="31">
        <v>102.569</v>
      </c>
      <c r="H23" s="31">
        <v>102.822</v>
      </c>
      <c r="I23" s="31">
        <v>104.14</v>
      </c>
      <c r="J23" s="30">
        <v>105.595</v>
      </c>
      <c r="K23" s="31">
        <v>112</v>
      </c>
      <c r="L23" s="31">
        <v>117</v>
      </c>
      <c r="M23" s="31">
        <v>117</v>
      </c>
    </row>
    <row r="24" spans="1:13" x14ac:dyDescent="0.15">
      <c r="B24" s="30"/>
      <c r="C24" s="31"/>
      <c r="D24" s="31"/>
      <c r="E24" s="31"/>
      <c r="I24" s="31"/>
    </row>
    <row r="25" spans="1:13" x14ac:dyDescent="0.15">
      <c r="A25" s="6" t="s">
        <v>15</v>
      </c>
      <c r="B25" s="44">
        <f t="shared" ref="B25:I25" si="24">IFERROR(B11/B9,0)</f>
        <v>0.79776038855909337</v>
      </c>
      <c r="C25" s="43">
        <f t="shared" si="24"/>
        <v>0.79836502043724455</v>
      </c>
      <c r="D25" s="43">
        <f t="shared" si="24"/>
        <v>0.80730230025860894</v>
      </c>
      <c r="E25" s="43">
        <f t="shared" si="24"/>
        <v>0.81357886114734701</v>
      </c>
      <c r="F25" s="44">
        <f t="shared" si="24"/>
        <v>0.7983699991739861</v>
      </c>
      <c r="G25" s="43">
        <f t="shared" si="24"/>
        <v>0.80759248773121928</v>
      </c>
      <c r="H25" s="43">
        <f t="shared" si="24"/>
        <v>0.81428693351540493</v>
      </c>
      <c r="I25" s="43">
        <f t="shared" si="24"/>
        <v>0.81463442695250321</v>
      </c>
      <c r="J25" s="44">
        <f t="shared" ref="J25:K25" si="25">IFERROR(J11/J9,0)</f>
        <v>0.81341424351354241</v>
      </c>
      <c r="K25" s="43">
        <f t="shared" si="25"/>
        <v>0.7978227060653188</v>
      </c>
      <c r="L25" s="43">
        <f t="shared" ref="L25:M25" si="26">IFERROR(L11/L9,0)</f>
        <v>0.80281690140845074</v>
      </c>
      <c r="M25" s="43">
        <f t="shared" si="26"/>
        <v>0.82103251455708748</v>
      </c>
    </row>
    <row r="26" spans="1:13" x14ac:dyDescent="0.15">
      <c r="A26" s="6" t="s">
        <v>16</v>
      </c>
      <c r="B26" s="46">
        <f t="shared" ref="B26:I26" si="27">IFERROR(B16/B9,0)</f>
        <v>-0.3236643281165677</v>
      </c>
      <c r="C26" s="45">
        <f t="shared" si="27"/>
        <v>-0.85165185435182056</v>
      </c>
      <c r="D26" s="45">
        <f t="shared" si="27"/>
        <v>-0.35575745202123327</v>
      </c>
      <c r="E26" s="45">
        <f t="shared" si="27"/>
        <v>-0.26135363892849556</v>
      </c>
      <c r="F26" s="46">
        <f t="shared" si="27"/>
        <v>-0.35876538450948542</v>
      </c>
      <c r="G26" s="45">
        <f t="shared" si="27"/>
        <v>-0.30582295205738019</v>
      </c>
      <c r="H26" s="45">
        <f t="shared" si="27"/>
        <v>-0.35006827686267805</v>
      </c>
      <c r="I26" s="45">
        <f t="shared" si="27"/>
        <v>-0.24323598780464425</v>
      </c>
      <c r="J26" s="46">
        <f t="shared" ref="J26:K26" si="28">IFERROR(J16/J9,0)</f>
        <v>-0.37158771399081769</v>
      </c>
      <c r="K26" s="45">
        <f t="shared" si="28"/>
        <v>-0.32192846034214623</v>
      </c>
      <c r="L26" s="45">
        <f t="shared" ref="L26:M26" si="29">IFERROR(L16/L9,0)</f>
        <v>-0.45070422535211269</v>
      </c>
      <c r="M26" s="45">
        <f t="shared" si="29"/>
        <v>-0.31668935718714242</v>
      </c>
    </row>
    <row r="27" spans="1:13" x14ac:dyDescent="0.15">
      <c r="A27" s="6" t="s">
        <v>17</v>
      </c>
      <c r="B27" s="46">
        <f t="shared" ref="B27:I27" si="30">IFERROR(B19/B18,0)</f>
        <v>0</v>
      </c>
      <c r="C27" s="45">
        <f t="shared" si="30"/>
        <v>0</v>
      </c>
      <c r="D27" s="45">
        <f t="shared" si="30"/>
        <v>0</v>
      </c>
      <c r="E27" s="45">
        <f t="shared" si="30"/>
        <v>3.4031703802239223E-2</v>
      </c>
      <c r="F27" s="46">
        <f t="shared" si="30"/>
        <v>0</v>
      </c>
      <c r="G27" s="45">
        <f t="shared" si="30"/>
        <v>-7.205436829607793E-3</v>
      </c>
      <c r="H27" s="45">
        <f t="shared" si="30"/>
        <v>-1.4150639994854315E-3</v>
      </c>
      <c r="I27" s="45">
        <f t="shared" si="30"/>
        <v>-1.591027647365675E-2</v>
      </c>
      <c r="J27" s="46">
        <f t="shared" ref="J27:K27" si="31">IFERROR(J19/J18,0)</f>
        <v>1.7637573069945571E-3</v>
      </c>
      <c r="K27" s="45">
        <f t="shared" si="31"/>
        <v>0</v>
      </c>
      <c r="L27" s="45">
        <f t="shared" ref="L27:M27" si="32">IFERROR(L19/L18,0)</f>
        <v>0</v>
      </c>
      <c r="M27" s="45">
        <f t="shared" si="32"/>
        <v>0</v>
      </c>
    </row>
    <row r="28" spans="1:13" x14ac:dyDescent="0.15">
      <c r="B28" s="30"/>
      <c r="C28" s="31"/>
      <c r="D28" s="31"/>
      <c r="E28" s="31"/>
      <c r="I28" s="31"/>
    </row>
    <row r="29" spans="1:13" s="12" customFormat="1" x14ac:dyDescent="0.15">
      <c r="A29" s="12" t="s">
        <v>14</v>
      </c>
      <c r="B29" s="30"/>
      <c r="C29" s="31"/>
      <c r="D29" s="31"/>
      <c r="E29" s="31"/>
      <c r="F29" s="40">
        <f t="shared" ref="F29:M29" si="33">IFERROR((F9/B9)-1,0)</f>
        <v>0.63334232775679089</v>
      </c>
      <c r="G29" s="39">
        <f t="shared" si="33"/>
        <v>0.58938013274834078</v>
      </c>
      <c r="H29" s="39">
        <f t="shared" si="33"/>
        <v>0.59480059888389847</v>
      </c>
      <c r="I29" s="39">
        <f t="shared" si="33"/>
        <v>0.58210721111549302</v>
      </c>
      <c r="J29" s="40">
        <f t="shared" si="33"/>
        <v>0.54723423001734606</v>
      </c>
      <c r="K29" s="39">
        <f t="shared" si="33"/>
        <v>0.51708191770479428</v>
      </c>
      <c r="L29" s="39">
        <f t="shared" si="33"/>
        <v>0.51489289067167365</v>
      </c>
      <c r="M29" s="39">
        <f t="shared" si="33"/>
        <v>0.50000000000000022</v>
      </c>
    </row>
    <row r="30" spans="1:13" s="12" customFormat="1" x14ac:dyDescent="0.15">
      <c r="A30" s="6" t="s">
        <v>30</v>
      </c>
      <c r="B30" s="30"/>
      <c r="C30" s="31"/>
      <c r="D30" s="31"/>
      <c r="E30" s="31"/>
      <c r="F30" s="42">
        <f t="shared" ref="F30:M32" si="34">F12/B12-1</f>
        <v>0.97357098955132138</v>
      </c>
      <c r="G30" s="41">
        <f t="shared" si="34"/>
        <v>0.14489990467111546</v>
      </c>
      <c r="H30" s="41">
        <f t="shared" si="34"/>
        <v>0.75249971913268188</v>
      </c>
      <c r="I30" s="41">
        <f t="shared" si="34"/>
        <v>0.66642343375377888</v>
      </c>
      <c r="J30" s="42">
        <f t="shared" si="34"/>
        <v>0.57567735907816875</v>
      </c>
      <c r="K30" s="41">
        <f t="shared" si="34"/>
        <v>0.52650568970302514</v>
      </c>
      <c r="L30" s="41">
        <f t="shared" si="34"/>
        <v>0.60266683761779594</v>
      </c>
      <c r="M30" s="41">
        <f t="shared" si="34"/>
        <v>0.56386838483673207</v>
      </c>
    </row>
    <row r="31" spans="1:13" s="12" customFormat="1" x14ac:dyDescent="0.15">
      <c r="A31" s="6" t="s">
        <v>31</v>
      </c>
      <c r="B31" s="30"/>
      <c r="C31" s="31"/>
      <c r="D31" s="31"/>
      <c r="E31" s="31"/>
      <c r="F31" s="42">
        <f t="shared" si="34"/>
        <v>0.51766221438741611</v>
      </c>
      <c r="G31" s="41">
        <f t="shared" si="34"/>
        <v>0.39661426844014502</v>
      </c>
      <c r="H31" s="41">
        <f t="shared" si="34"/>
        <v>0.45151018044967683</v>
      </c>
      <c r="I31" s="41">
        <f t="shared" si="34"/>
        <v>0.46106353316072513</v>
      </c>
      <c r="J31" s="42">
        <f t="shared" si="34"/>
        <v>0.58206754824874896</v>
      </c>
      <c r="K31" s="41">
        <f t="shared" si="34"/>
        <v>0.60791589363017939</v>
      </c>
      <c r="L31" s="41">
        <f t="shared" si="34"/>
        <v>0.69525329078579978</v>
      </c>
      <c r="M31" s="41">
        <f t="shared" si="34"/>
        <v>0.73800436205016351</v>
      </c>
    </row>
    <row r="32" spans="1:13" s="12" customFormat="1" x14ac:dyDescent="0.15">
      <c r="A32" s="6" t="s">
        <v>32</v>
      </c>
      <c r="B32" s="30"/>
      <c r="C32" s="31"/>
      <c r="D32" s="31"/>
      <c r="E32" s="31"/>
      <c r="F32" s="42">
        <f t="shared" si="34"/>
        <v>0.84778472410981265</v>
      </c>
      <c r="G32" s="41">
        <f t="shared" si="34"/>
        <v>-0.39313683610992456</v>
      </c>
      <c r="H32" s="41">
        <f t="shared" si="34"/>
        <v>0.95211948166044369</v>
      </c>
      <c r="I32" s="41">
        <f t="shared" si="34"/>
        <v>0.70934676858929824</v>
      </c>
      <c r="J32" s="42">
        <f t="shared" si="34"/>
        <v>0.60914974992644888</v>
      </c>
      <c r="K32" s="41">
        <f t="shared" si="34"/>
        <v>0.29047395588925395</v>
      </c>
      <c r="L32" s="41">
        <f t="shared" si="34"/>
        <v>0.46264626462646263</v>
      </c>
      <c r="M32" s="41">
        <f t="shared" si="34"/>
        <v>0.32127248704136591</v>
      </c>
    </row>
    <row r="33" spans="1:13" x14ac:dyDescent="0.15">
      <c r="A33" s="6" t="s">
        <v>75</v>
      </c>
      <c r="B33" s="30"/>
      <c r="C33" s="31"/>
      <c r="D33" s="31"/>
      <c r="E33" s="31"/>
      <c r="F33" s="44">
        <f t="shared" ref="F33:M33" si="35">F15/B15-1</f>
        <v>0.68535450753930083</v>
      </c>
      <c r="G33" s="43">
        <f t="shared" si="35"/>
        <v>7.2498352310174985E-2</v>
      </c>
      <c r="H33" s="43">
        <f t="shared" si="35"/>
        <v>0.59657694558221186</v>
      </c>
      <c r="I33" s="43">
        <f t="shared" si="35"/>
        <v>0.55699489176756134</v>
      </c>
      <c r="J33" s="44">
        <f t="shared" si="35"/>
        <v>0.58449531242564112</v>
      </c>
      <c r="K33" s="43">
        <f t="shared" si="35"/>
        <v>0.52571464897967823</v>
      </c>
      <c r="L33" s="43">
        <f t="shared" si="35"/>
        <v>0.63090286049366884</v>
      </c>
      <c r="M33" s="43">
        <f t="shared" si="35"/>
        <v>0.61322481828563147</v>
      </c>
    </row>
    <row r="34" spans="1:13" x14ac:dyDescent="0.15">
      <c r="B34" s="62"/>
      <c r="C34" s="61"/>
      <c r="D34" s="61"/>
      <c r="E34" s="61"/>
      <c r="H34" s="61"/>
      <c r="I34" s="61"/>
      <c r="J34" s="62"/>
      <c r="K34" s="61"/>
      <c r="L34" s="61"/>
      <c r="M34" s="61"/>
    </row>
    <row r="35" spans="1:13" s="12" customFormat="1" x14ac:dyDescent="0.15">
      <c r="A35" s="12" t="s">
        <v>18</v>
      </c>
      <c r="B35" s="62"/>
      <c r="C35" s="61"/>
      <c r="D35" s="61"/>
      <c r="E35" s="33">
        <f t="shared" ref="E35" si="36">E36-E37</f>
        <v>56.886000000000003</v>
      </c>
      <c r="F35" s="29"/>
      <c r="G35" s="28"/>
      <c r="H35" s="33">
        <f t="shared" ref="H35" si="37">H36-H37</f>
        <v>212.02799999999999</v>
      </c>
      <c r="I35" s="33">
        <f t="shared" ref="I35:K35" si="38">I36-I37</f>
        <v>213.08500000000001</v>
      </c>
      <c r="J35" s="34">
        <f t="shared" si="38"/>
        <v>208.79900000000001</v>
      </c>
      <c r="K35" s="33">
        <f t="shared" si="38"/>
        <v>561</v>
      </c>
      <c r="L35" s="33">
        <f t="shared" ref="L35:M35" si="39">L36-L37</f>
        <v>563</v>
      </c>
      <c r="M35" s="33">
        <f t="shared" si="39"/>
        <v>563</v>
      </c>
    </row>
    <row r="36" spans="1:13" x14ac:dyDescent="0.15">
      <c r="A36" s="6" t="s">
        <v>19</v>
      </c>
      <c r="B36" s="62"/>
      <c r="C36" s="61"/>
      <c r="D36" s="61"/>
      <c r="E36" s="31">
        <v>58.158000000000001</v>
      </c>
      <c r="H36" s="31">
        <v>212.02799999999999</v>
      </c>
      <c r="I36" s="31">
        <v>213.08500000000001</v>
      </c>
      <c r="J36" s="30">
        <v>208.79900000000001</v>
      </c>
      <c r="K36" s="31">
        <f>511+50</f>
        <v>561</v>
      </c>
      <c r="L36" s="31">
        <f>513+50</f>
        <v>563</v>
      </c>
      <c r="M36" s="31">
        <f>513+50</f>
        <v>563</v>
      </c>
    </row>
    <row r="37" spans="1:13" x14ac:dyDescent="0.15">
      <c r="A37" s="6" t="s">
        <v>20</v>
      </c>
      <c r="B37" s="62"/>
      <c r="C37" s="61"/>
      <c r="D37" s="61"/>
      <c r="E37" s="31">
        <v>1.272</v>
      </c>
      <c r="H37" s="31">
        <v>0</v>
      </c>
      <c r="I37" s="31">
        <v>0</v>
      </c>
      <c r="J37" s="30">
        <v>0</v>
      </c>
      <c r="K37" s="31">
        <v>0</v>
      </c>
      <c r="L37" s="31">
        <v>0</v>
      </c>
      <c r="M37" s="31">
        <v>0</v>
      </c>
    </row>
    <row r="38" spans="1:13" x14ac:dyDescent="0.15">
      <c r="B38" s="62"/>
      <c r="C38" s="61"/>
      <c r="D38" s="61"/>
    </row>
    <row r="39" spans="1:13" x14ac:dyDescent="0.15">
      <c r="A39" s="26" t="s">
        <v>45</v>
      </c>
      <c r="B39" s="62"/>
      <c r="C39" s="61"/>
      <c r="D39" s="61"/>
      <c r="E39" s="47">
        <f>1.547+0.445</f>
        <v>1.992</v>
      </c>
      <c r="H39" s="31">
        <f>1.165+0.532</f>
        <v>1.6970000000000001</v>
      </c>
      <c r="I39" s="31">
        <f>1.827+5.496</f>
        <v>7.3230000000000004</v>
      </c>
      <c r="J39" s="30">
        <f>1.619+5.496</f>
        <v>7.1150000000000002</v>
      </c>
      <c r="K39" s="31">
        <f>17+17</f>
        <v>34</v>
      </c>
      <c r="L39" s="31">
        <f>16+16</f>
        <v>32</v>
      </c>
      <c r="M39" s="31">
        <f>16+16</f>
        <v>32</v>
      </c>
    </row>
    <row r="40" spans="1:13" x14ac:dyDescent="0.15">
      <c r="A40" s="26" t="s">
        <v>46</v>
      </c>
      <c r="B40" s="62"/>
      <c r="C40" s="61"/>
      <c r="D40" s="61"/>
      <c r="E40" s="47">
        <v>116.604</v>
      </c>
      <c r="H40" s="31">
        <v>291.80900000000003</v>
      </c>
      <c r="I40" s="31">
        <v>308.74400000000003</v>
      </c>
      <c r="J40" s="30">
        <v>363.23700000000002</v>
      </c>
      <c r="K40" s="31">
        <v>757</v>
      </c>
      <c r="L40" s="31">
        <v>775</v>
      </c>
      <c r="M40" s="31">
        <v>775</v>
      </c>
    </row>
    <row r="41" spans="1:13" x14ac:dyDescent="0.15">
      <c r="A41" s="26" t="s">
        <v>47</v>
      </c>
      <c r="B41" s="62"/>
      <c r="C41" s="61"/>
      <c r="D41" s="61"/>
      <c r="E41" s="47">
        <v>84.658000000000001</v>
      </c>
      <c r="H41" s="31">
        <v>120.19499999999999</v>
      </c>
      <c r="I41" s="31">
        <v>141.75200000000001</v>
      </c>
      <c r="J41" s="30">
        <v>200.44200000000001</v>
      </c>
      <c r="K41" s="31">
        <v>220</v>
      </c>
      <c r="L41" s="31">
        <v>248</v>
      </c>
      <c r="M41" s="31">
        <v>248</v>
      </c>
    </row>
    <row r="42" spans="1:13" x14ac:dyDescent="0.15">
      <c r="B42" s="62"/>
      <c r="C42" s="61"/>
      <c r="D42" s="61"/>
      <c r="E42" s="48"/>
    </row>
    <row r="43" spans="1:13" x14ac:dyDescent="0.15">
      <c r="A43" s="26" t="s">
        <v>48</v>
      </c>
      <c r="B43" s="62"/>
      <c r="C43" s="61"/>
      <c r="D43" s="61"/>
      <c r="E43" s="35">
        <f t="shared" ref="E43" si="40">E40-E36-E39</f>
        <v>56.454000000000001</v>
      </c>
      <c r="H43" s="35">
        <f t="shared" ref="H43:M43" si="41">H40-H36-H39</f>
        <v>78.084000000000032</v>
      </c>
      <c r="I43" s="35">
        <f t="shared" si="41"/>
        <v>88.336000000000013</v>
      </c>
      <c r="J43" s="36">
        <f t="shared" si="41"/>
        <v>147.32300000000001</v>
      </c>
      <c r="K43" s="35">
        <f t="shared" si="41"/>
        <v>162</v>
      </c>
      <c r="L43" s="35">
        <f t="shared" si="41"/>
        <v>180</v>
      </c>
      <c r="M43" s="35">
        <f t="shared" si="41"/>
        <v>180</v>
      </c>
    </row>
    <row r="44" spans="1:13" x14ac:dyDescent="0.15">
      <c r="A44" s="26" t="s">
        <v>49</v>
      </c>
      <c r="B44" s="62"/>
      <c r="C44" s="61"/>
      <c r="D44" s="61"/>
      <c r="E44" s="35">
        <f t="shared" ref="E44" si="42">E40-E41</f>
        <v>31.945999999999998</v>
      </c>
      <c r="H44" s="35">
        <f t="shared" ref="H44" si="43">H40-H41</f>
        <v>171.61400000000003</v>
      </c>
      <c r="I44" s="35">
        <f t="shared" ref="I44:K44" si="44">I40-I41</f>
        <v>166.99200000000002</v>
      </c>
      <c r="J44" s="36">
        <f t="shared" si="44"/>
        <v>162.79500000000002</v>
      </c>
      <c r="K44" s="35">
        <f t="shared" si="44"/>
        <v>537</v>
      </c>
      <c r="L44" s="35">
        <f t="shared" ref="L44:M44" si="45">L40-L41</f>
        <v>527</v>
      </c>
      <c r="M44" s="35">
        <f t="shared" si="45"/>
        <v>527</v>
      </c>
    </row>
    <row r="45" spans="1:13" x14ac:dyDescent="0.15">
      <c r="B45" s="62"/>
      <c r="C45" s="61"/>
      <c r="D45" s="61"/>
      <c r="E45" s="48"/>
    </row>
    <row r="46" spans="1:13" s="12" customFormat="1" x14ac:dyDescent="0.15">
      <c r="A46" s="32" t="s">
        <v>50</v>
      </c>
      <c r="B46" s="62"/>
      <c r="C46" s="61"/>
      <c r="D46" s="61"/>
      <c r="E46" s="33">
        <f>SUM(B21:E21)</f>
        <v>-49.106000000000002</v>
      </c>
      <c r="F46" s="29"/>
      <c r="G46" s="28"/>
      <c r="H46" s="33">
        <f t="shared" ref="H46:M46" si="46">SUM(E21:H21)</f>
        <v>-50.913999999999994</v>
      </c>
      <c r="I46" s="33">
        <f t="shared" si="46"/>
        <v>-53.885000000000005</v>
      </c>
      <c r="J46" s="34">
        <f t="shared" si="46"/>
        <v>-59.364000000000004</v>
      </c>
      <c r="K46" s="33">
        <f t="shared" si="46"/>
        <v>-65.763000000000005</v>
      </c>
      <c r="L46" s="33">
        <f t="shared" si="46"/>
        <v>-79.194000000000017</v>
      </c>
      <c r="M46" s="33">
        <f t="shared" si="46"/>
        <v>-89.282500000000013</v>
      </c>
    </row>
    <row r="47" spans="1:13" x14ac:dyDescent="0.15">
      <c r="A47" s="26" t="s">
        <v>51</v>
      </c>
      <c r="B47" s="62"/>
      <c r="C47" s="61"/>
      <c r="D47" s="61"/>
      <c r="E47" s="43">
        <f t="shared" ref="E47" si="47">E46/E44</f>
        <v>-1.5371564515119265</v>
      </c>
      <c r="H47" s="43">
        <f t="shared" ref="H47:M47" si="48">H46/H44</f>
        <v>-0.29667742724952501</v>
      </c>
      <c r="I47" s="43">
        <f t="shared" si="48"/>
        <v>-0.32268012838938392</v>
      </c>
      <c r="J47" s="44">
        <f t="shared" si="48"/>
        <v>-0.36465493411959826</v>
      </c>
      <c r="K47" s="43">
        <f t="shared" si="48"/>
        <v>-0.122463687150838</v>
      </c>
      <c r="L47" s="43">
        <f t="shared" si="48"/>
        <v>-0.15027324478178372</v>
      </c>
      <c r="M47" s="43">
        <f t="shared" si="48"/>
        <v>-0.16941650853889945</v>
      </c>
    </row>
    <row r="48" spans="1:13" x14ac:dyDescent="0.15">
      <c r="A48" s="26" t="s">
        <v>52</v>
      </c>
      <c r="B48" s="62"/>
      <c r="C48" s="61"/>
      <c r="D48" s="61"/>
      <c r="E48" s="43">
        <f t="shared" ref="E48" si="49">E46/E40</f>
        <v>-0.42113478096806284</v>
      </c>
      <c r="H48" s="43">
        <f t="shared" ref="H48:M48" si="50">H46/H40</f>
        <v>-0.17447714086954133</v>
      </c>
      <c r="I48" s="43">
        <f t="shared" si="50"/>
        <v>-0.17452970745990207</v>
      </c>
      <c r="J48" s="44">
        <f t="shared" si="50"/>
        <v>-0.16343048753293304</v>
      </c>
      <c r="K48" s="43">
        <f t="shared" si="50"/>
        <v>-8.6873183619550862E-2</v>
      </c>
      <c r="L48" s="43">
        <f t="shared" si="50"/>
        <v>-0.10218580645161293</v>
      </c>
      <c r="M48" s="43">
        <f t="shared" si="50"/>
        <v>-0.11520322580645163</v>
      </c>
    </row>
    <row r="49" spans="1:13" x14ac:dyDescent="0.15">
      <c r="A49" s="26" t="s">
        <v>53</v>
      </c>
      <c r="B49" s="62"/>
      <c r="C49" s="61"/>
      <c r="D49" s="61"/>
      <c r="E49" s="43">
        <f t="shared" ref="E49" si="51">E46/(E44-E39)</f>
        <v>-1.6393803832543234</v>
      </c>
      <c r="H49" s="43">
        <f t="shared" ref="H49:M49" si="52">H46/(H44-H39)</f>
        <v>-0.2996404126720692</v>
      </c>
      <c r="I49" s="43">
        <f t="shared" si="52"/>
        <v>-0.33747941053053504</v>
      </c>
      <c r="J49" s="44">
        <f t="shared" si="52"/>
        <v>-0.38132065775950669</v>
      </c>
      <c r="K49" s="43">
        <f t="shared" si="52"/>
        <v>-0.13074155069582505</v>
      </c>
      <c r="L49" s="43">
        <f t="shared" si="52"/>
        <v>-0.15998787878787882</v>
      </c>
      <c r="M49" s="43">
        <f t="shared" si="52"/>
        <v>-0.1803686868686869</v>
      </c>
    </row>
    <row r="50" spans="1:13" x14ac:dyDescent="0.15">
      <c r="A50" s="26" t="s">
        <v>54</v>
      </c>
      <c r="B50" s="62"/>
      <c r="C50" s="61"/>
      <c r="D50" s="61"/>
      <c r="E50" s="43">
        <f t="shared" ref="E50" si="53">E46/E43</f>
        <v>-0.86984093244057115</v>
      </c>
      <c r="H50" s="43">
        <f t="shared" ref="H50:M50" si="54">H46/H43</f>
        <v>-0.65204139132216554</v>
      </c>
      <c r="I50" s="43">
        <f t="shared" si="54"/>
        <v>-0.61000045281651871</v>
      </c>
      <c r="J50" s="44">
        <f t="shared" si="54"/>
        <v>-0.40295133821602874</v>
      </c>
      <c r="K50" s="43">
        <f t="shared" si="54"/>
        <v>-0.4059444444444445</v>
      </c>
      <c r="L50" s="43">
        <f t="shared" si="54"/>
        <v>-0.43996666666666678</v>
      </c>
      <c r="M50" s="43">
        <f t="shared" si="54"/>
        <v>-0.49601388888888898</v>
      </c>
    </row>
    <row r="52" spans="1:13" x14ac:dyDescent="0.15">
      <c r="A52" s="8" t="s">
        <v>66</v>
      </c>
      <c r="F52" s="44">
        <f t="shared" ref="F52:M53" si="55">F3/B3-1</f>
        <v>0.57334969325153384</v>
      </c>
      <c r="G52" s="43">
        <f t="shared" si="55"/>
        <v>0.57463439233484626</v>
      </c>
      <c r="H52" s="43">
        <f t="shared" si="55"/>
        <v>0.57028856699822272</v>
      </c>
      <c r="I52" s="43">
        <f t="shared" si="55"/>
        <v>0.56210512165613657</v>
      </c>
      <c r="J52" s="44">
        <f t="shared" si="55"/>
        <v>0.56973515924759011</v>
      </c>
      <c r="K52" s="43">
        <f t="shared" si="55"/>
        <v>0.55591139578329329</v>
      </c>
      <c r="L52" s="43">
        <f t="shared" si="55"/>
        <v>0.5414258188824661</v>
      </c>
      <c r="M52" s="43">
        <f t="shared" si="55"/>
        <v>0.5</v>
      </c>
    </row>
    <row r="53" spans="1:13" x14ac:dyDescent="0.15">
      <c r="A53" s="8" t="s">
        <v>67</v>
      </c>
      <c r="F53" s="44">
        <f t="shared" si="55"/>
        <v>1.2901665771090811</v>
      </c>
      <c r="G53" s="43">
        <f t="shared" si="55"/>
        <v>0.71159874608150453</v>
      </c>
      <c r="H53" s="43">
        <f t="shared" si="55"/>
        <v>0.81472684085510672</v>
      </c>
      <c r="I53" s="43">
        <f t="shared" si="55"/>
        <v>0.76769566573121284</v>
      </c>
      <c r="J53" s="44">
        <f t="shared" si="55"/>
        <v>0.37799155326137979</v>
      </c>
      <c r="K53" s="43">
        <f t="shared" si="55"/>
        <v>0.2210012210012211</v>
      </c>
      <c r="L53" s="43">
        <f t="shared" si="55"/>
        <v>0.30890052356020936</v>
      </c>
      <c r="M53" s="43">
        <f t="shared" si="55"/>
        <v>0.5</v>
      </c>
    </row>
    <row r="55" spans="1:13" s="23" customFormat="1" x14ac:dyDescent="0.15">
      <c r="A55" s="23" t="s">
        <v>59</v>
      </c>
      <c r="B55" s="44"/>
      <c r="C55" s="43"/>
      <c r="D55" s="43"/>
      <c r="E55" s="43"/>
      <c r="F55" s="44"/>
      <c r="G55" s="43"/>
      <c r="H55" s="43"/>
      <c r="I55" s="43"/>
      <c r="J55" s="44"/>
      <c r="K55" s="43"/>
      <c r="L55" s="43"/>
      <c r="M55" s="43"/>
    </row>
    <row r="56" spans="1:13" s="23" customFormat="1" x14ac:dyDescent="0.15">
      <c r="A56" s="23" t="s">
        <v>60</v>
      </c>
      <c r="B56" s="44"/>
      <c r="C56" s="43"/>
      <c r="D56" s="43"/>
      <c r="E56" s="43"/>
      <c r="F56" s="44"/>
      <c r="G56" s="43"/>
      <c r="H56" s="43"/>
      <c r="I56" s="43"/>
      <c r="J56" s="44"/>
      <c r="K56" s="43"/>
      <c r="L56" s="43"/>
      <c r="M56" s="43"/>
    </row>
  </sheetData>
  <hyperlinks>
    <hyperlink ref="A1" r:id="rId1" xr:uid="{00000000-0004-0000-02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2020-01-01T13:29:01Z</dcterms:modified>
</cp:coreProperties>
</file>