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3"/>
  <workbookPr/>
  <mc:AlternateContent xmlns:mc="http://schemas.openxmlformats.org/markup-compatibility/2006">
    <mc:Choice Requires="x15">
      <x15ac:absPath xmlns:x15ac="http://schemas.microsoft.com/office/spreadsheetml/2010/11/ac" url="/Users/michaelsjoeberg/Dropbox/_PROJECTS/_Investing/stocks/"/>
    </mc:Choice>
  </mc:AlternateContent>
  <xr:revisionPtr revIDLastSave="0" documentId="13_ncr:1_{B56CB23A-6D49-7343-84A5-9FC727B54880}" xr6:coauthVersionLast="45" xr6:coauthVersionMax="45" xr10:uidLastSave="{00000000-0000-0000-0000-000000000000}"/>
  <bookViews>
    <workbookView xWindow="7900" yWindow="460" windowWidth="20360" windowHeight="20320" tabRatio="500" xr2:uid="{00000000-000D-0000-FFFF-FFFF00000000}"/>
  </bookViews>
  <sheets>
    <sheet name="Main" sheetId="2" r:id="rId1"/>
    <sheet name="Reports" sheetId="1" r:id="rId2"/>
    <sheet name="Products" sheetId="3" r:id="rId3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0" i="2" l="1"/>
  <c r="I20" i="2" s="1"/>
  <c r="J20" i="2" s="1"/>
  <c r="K20" i="2" s="1"/>
  <c r="G20" i="2"/>
  <c r="H18" i="2"/>
  <c r="I18" i="2" s="1"/>
  <c r="J18" i="2" s="1"/>
  <c r="K18" i="2" s="1"/>
  <c r="G18" i="2"/>
  <c r="F4" i="2" l="1"/>
  <c r="G23" i="2" l="1"/>
  <c r="U36" i="2"/>
  <c r="U28" i="2"/>
  <c r="U19" i="2"/>
  <c r="U15" i="2"/>
  <c r="U34" i="2" s="1"/>
  <c r="U9" i="2"/>
  <c r="T28" i="2"/>
  <c r="T19" i="2"/>
  <c r="T36" i="2" s="1"/>
  <c r="T17" i="2"/>
  <c r="T30" i="2" s="1"/>
  <c r="T15" i="2"/>
  <c r="T34" i="2" s="1"/>
  <c r="T9" i="2"/>
  <c r="S28" i="2"/>
  <c r="S19" i="2"/>
  <c r="S36" i="2" s="1"/>
  <c r="S15" i="2"/>
  <c r="S17" i="2" s="1"/>
  <c r="S9" i="2"/>
  <c r="R34" i="2"/>
  <c r="R28" i="2"/>
  <c r="R19" i="2"/>
  <c r="R36" i="2" s="1"/>
  <c r="R15" i="2"/>
  <c r="R17" i="2" s="1"/>
  <c r="R9" i="2"/>
  <c r="I17" i="2"/>
  <c r="H17" i="2"/>
  <c r="G17" i="2"/>
  <c r="L18" i="2"/>
  <c r="M18" i="2" s="1"/>
  <c r="N18" i="2" s="1"/>
  <c r="O18" i="2" s="1"/>
  <c r="P18" i="2" s="1"/>
  <c r="Q18" i="2" s="1"/>
  <c r="R18" i="2" s="1"/>
  <c r="H19" i="2"/>
  <c r="I19" i="2" s="1"/>
  <c r="J19" i="2" s="1"/>
  <c r="K19" i="2" s="1"/>
  <c r="G19" i="2"/>
  <c r="G16" i="2"/>
  <c r="J15" i="2"/>
  <c r="G15" i="2"/>
  <c r="F38" i="2"/>
  <c r="E38" i="2"/>
  <c r="D38" i="2"/>
  <c r="C38" i="2"/>
  <c r="F46" i="2"/>
  <c r="F45" i="2"/>
  <c r="F49" i="2" s="1"/>
  <c r="F44" i="2"/>
  <c r="F42" i="2"/>
  <c r="F41" i="2"/>
  <c r="F40" i="2" s="1"/>
  <c r="F21" i="2"/>
  <c r="F23" i="2"/>
  <c r="F20" i="2"/>
  <c r="F19" i="2"/>
  <c r="F18" i="2"/>
  <c r="F16" i="2"/>
  <c r="F12" i="2"/>
  <c r="G12" i="2" s="1"/>
  <c r="H12" i="2" s="1"/>
  <c r="I12" i="2" s="1"/>
  <c r="J12" i="2" s="1"/>
  <c r="K12" i="2" s="1"/>
  <c r="F10" i="2"/>
  <c r="F13" i="2" s="1"/>
  <c r="C5" i="2"/>
  <c r="C3" i="2"/>
  <c r="V36" i="1"/>
  <c r="V40" i="1" s="1"/>
  <c r="V47" i="1" s="1"/>
  <c r="V33" i="1"/>
  <c r="V52" i="1"/>
  <c r="V50" i="1"/>
  <c r="V49" i="1"/>
  <c r="V43" i="1"/>
  <c r="V41" i="1"/>
  <c r="V32" i="1"/>
  <c r="V30" i="1"/>
  <c r="V29" i="1"/>
  <c r="V28" i="1"/>
  <c r="V27" i="1"/>
  <c r="V25" i="1"/>
  <c r="V24" i="1"/>
  <c r="V23" i="1"/>
  <c r="V20" i="1"/>
  <c r="V19" i="1"/>
  <c r="V17" i="1"/>
  <c r="V16" i="1"/>
  <c r="V14" i="1"/>
  <c r="V15" i="1" s="1"/>
  <c r="V10" i="1"/>
  <c r="V8" i="1"/>
  <c r="V6" i="1"/>
  <c r="U36" i="1"/>
  <c r="U40" i="1" s="1"/>
  <c r="U33" i="1"/>
  <c r="U52" i="1"/>
  <c r="U50" i="1"/>
  <c r="U49" i="1"/>
  <c r="U43" i="1"/>
  <c r="U41" i="1"/>
  <c r="U32" i="1"/>
  <c r="U19" i="1"/>
  <c r="U20" i="1" s="1"/>
  <c r="U16" i="1"/>
  <c r="U17" i="1"/>
  <c r="U14" i="1"/>
  <c r="U15" i="1" s="1"/>
  <c r="U10" i="1"/>
  <c r="U8" i="1"/>
  <c r="U6" i="1"/>
  <c r="T36" i="1"/>
  <c r="T40" i="1" s="1"/>
  <c r="T33" i="1"/>
  <c r="T52" i="1"/>
  <c r="T50" i="1"/>
  <c r="T49" i="1"/>
  <c r="T43" i="1"/>
  <c r="T41" i="1"/>
  <c r="T32" i="1"/>
  <c r="T19" i="1"/>
  <c r="T20" i="1" s="1"/>
  <c r="T17" i="1"/>
  <c r="T16" i="1"/>
  <c r="T14" i="1"/>
  <c r="T15" i="1" s="1"/>
  <c r="T10" i="1"/>
  <c r="T8" i="1"/>
  <c r="T6" i="1"/>
  <c r="R35" i="2" l="1"/>
  <c r="S18" i="2"/>
  <c r="U17" i="2"/>
  <c r="U16" i="2" s="1"/>
  <c r="T16" i="2"/>
  <c r="S30" i="2"/>
  <c r="S16" i="2"/>
  <c r="S34" i="2"/>
  <c r="S35" i="2"/>
  <c r="R30" i="2"/>
  <c r="R16" i="2"/>
  <c r="F15" i="2"/>
  <c r="F17" i="2" s="1"/>
  <c r="G13" i="2"/>
  <c r="H13" i="2" s="1"/>
  <c r="I13" i="2" s="1"/>
  <c r="J13" i="2" s="1"/>
  <c r="K13" i="2" s="1"/>
  <c r="F22" i="2"/>
  <c r="F24" i="2" s="1"/>
  <c r="F48" i="2"/>
  <c r="V46" i="1"/>
  <c r="V44" i="1"/>
  <c r="V45" i="1"/>
  <c r="U47" i="1"/>
  <c r="U46" i="1"/>
  <c r="U44" i="1"/>
  <c r="U45" i="1"/>
  <c r="T47" i="1"/>
  <c r="T44" i="1"/>
  <c r="T45" i="1"/>
  <c r="T46" i="1"/>
  <c r="F28" i="2"/>
  <c r="G28" i="2" s="1"/>
  <c r="H28" i="2" s="1"/>
  <c r="I28" i="2" s="1"/>
  <c r="J28" i="2" s="1"/>
  <c r="K28" i="2" s="1"/>
  <c r="L28" i="2" s="1"/>
  <c r="M28" i="2" s="1"/>
  <c r="N28" i="2" s="1"/>
  <c r="O28" i="2" s="1"/>
  <c r="P28" i="2" s="1"/>
  <c r="Q28" i="2" s="1"/>
  <c r="U30" i="1"/>
  <c r="T30" i="1"/>
  <c r="T29" i="1"/>
  <c r="S36" i="1"/>
  <c r="S40" i="1" s="1"/>
  <c r="S33" i="1"/>
  <c r="S32" i="1" s="1"/>
  <c r="S16" i="1"/>
  <c r="S52" i="1"/>
  <c r="S6" i="1"/>
  <c r="S8" i="1" s="1"/>
  <c r="S50" i="1"/>
  <c r="S49" i="1"/>
  <c r="S14" i="1"/>
  <c r="S41" i="1"/>
  <c r="S30" i="1"/>
  <c r="S29" i="1"/>
  <c r="S28" i="1"/>
  <c r="R36" i="1"/>
  <c r="R40" i="1" s="1"/>
  <c r="R33" i="1"/>
  <c r="R32" i="1" s="1"/>
  <c r="R16" i="1"/>
  <c r="R8" i="1"/>
  <c r="R52" i="1"/>
  <c r="R6" i="1"/>
  <c r="R50" i="1"/>
  <c r="R49" i="1"/>
  <c r="R10" i="1"/>
  <c r="R14" i="1"/>
  <c r="R15" i="1"/>
  <c r="R24" i="1" s="1"/>
  <c r="R17" i="1"/>
  <c r="R25" i="1" s="1"/>
  <c r="R41" i="1"/>
  <c r="R30" i="1"/>
  <c r="R29" i="1"/>
  <c r="R28" i="1"/>
  <c r="R23" i="1"/>
  <c r="E46" i="2"/>
  <c r="E45" i="2"/>
  <c r="E49" i="2" s="1"/>
  <c r="E44" i="2"/>
  <c r="E42" i="2"/>
  <c r="E28" i="2"/>
  <c r="E12" i="2"/>
  <c r="E10" i="2"/>
  <c r="E13" i="2" s="1"/>
  <c r="Q52" i="1"/>
  <c r="Q41" i="1"/>
  <c r="Q40" i="1"/>
  <c r="Q36" i="1"/>
  <c r="Q32" i="1"/>
  <c r="Q33" i="1"/>
  <c r="E41" i="2" s="1"/>
  <c r="E40" i="2" s="1"/>
  <c r="Q16" i="1"/>
  <c r="Q14" i="1"/>
  <c r="Q6" i="1"/>
  <c r="C4" i="2"/>
  <c r="E18" i="2"/>
  <c r="E19" i="2"/>
  <c r="E20" i="2"/>
  <c r="E37" i="2" s="1"/>
  <c r="E16" i="2"/>
  <c r="B21" i="2"/>
  <c r="B13" i="2"/>
  <c r="B15" i="2" s="1"/>
  <c r="B17" i="2" s="1"/>
  <c r="B23" i="2"/>
  <c r="B16" i="2"/>
  <c r="E25" i="2"/>
  <c r="C25" i="2"/>
  <c r="D25" i="2"/>
  <c r="D21" i="2"/>
  <c r="P8" i="1"/>
  <c r="P27" i="1" s="1"/>
  <c r="D46" i="2"/>
  <c r="D45" i="2"/>
  <c r="D44" i="2"/>
  <c r="D42" i="2"/>
  <c r="D12" i="2"/>
  <c r="D56" i="2" s="1"/>
  <c r="D23" i="2"/>
  <c r="D20" i="2"/>
  <c r="D37" i="2" s="1"/>
  <c r="D19" i="2"/>
  <c r="E36" i="2" s="1"/>
  <c r="D18" i="2"/>
  <c r="D35" i="2" s="1"/>
  <c r="D16" i="2"/>
  <c r="D10" i="2"/>
  <c r="C45" i="2"/>
  <c r="C46" i="2"/>
  <c r="C49" i="2" s="1"/>
  <c r="C41" i="2"/>
  <c r="C42" i="2"/>
  <c r="C10" i="2"/>
  <c r="C12" i="2"/>
  <c r="C56" i="2" s="1"/>
  <c r="C13" i="2"/>
  <c r="C57" i="2" s="1"/>
  <c r="C20" i="2"/>
  <c r="C37" i="2" s="1"/>
  <c r="C19" i="2"/>
  <c r="C36" i="2" s="1"/>
  <c r="C18" i="2"/>
  <c r="C21" i="2" s="1"/>
  <c r="C16" i="2"/>
  <c r="Q49" i="1"/>
  <c r="Q30" i="1"/>
  <c r="Q29" i="1"/>
  <c r="Q28" i="1"/>
  <c r="O52" i="1"/>
  <c r="N52" i="1"/>
  <c r="M52" i="1"/>
  <c r="L52" i="1"/>
  <c r="K52" i="1"/>
  <c r="J52" i="1"/>
  <c r="P52" i="1"/>
  <c r="L50" i="1"/>
  <c r="J50" i="1"/>
  <c r="O49" i="1"/>
  <c r="N49" i="1"/>
  <c r="M49" i="1"/>
  <c r="L49" i="1"/>
  <c r="K49" i="1"/>
  <c r="J49" i="1"/>
  <c r="I49" i="1"/>
  <c r="H49" i="1"/>
  <c r="G49" i="1"/>
  <c r="F49" i="1"/>
  <c r="P49" i="1"/>
  <c r="I36" i="1"/>
  <c r="C44" i="2" s="1"/>
  <c r="C48" i="2" s="1"/>
  <c r="I33" i="1"/>
  <c r="I32" i="1" s="1"/>
  <c r="I40" i="1"/>
  <c r="I41" i="1"/>
  <c r="I16" i="1"/>
  <c r="M16" i="1"/>
  <c r="M30" i="1"/>
  <c r="M29" i="1"/>
  <c r="M28" i="1"/>
  <c r="M8" i="1"/>
  <c r="I6" i="1"/>
  <c r="M50" i="1" s="1"/>
  <c r="I8" i="1"/>
  <c r="I10" i="1" s="1"/>
  <c r="M27" i="1"/>
  <c r="M10" i="1"/>
  <c r="M23" i="1" s="1"/>
  <c r="M14" i="1"/>
  <c r="M15" i="1"/>
  <c r="M17" i="1" s="1"/>
  <c r="M6" i="1"/>
  <c r="N6" i="1"/>
  <c r="N50" i="1" s="1"/>
  <c r="N36" i="1"/>
  <c r="N33" i="1"/>
  <c r="N40" i="1" s="1"/>
  <c r="N16" i="1"/>
  <c r="E23" i="2" s="1"/>
  <c r="N8" i="1"/>
  <c r="R27" i="1" s="1"/>
  <c r="N10" i="1"/>
  <c r="N14" i="1"/>
  <c r="N15" i="1"/>
  <c r="N24" i="1" s="1"/>
  <c r="N17" i="1"/>
  <c r="N19" i="1" s="1"/>
  <c r="N41" i="1"/>
  <c r="N30" i="1"/>
  <c r="N29" i="1"/>
  <c r="N28" i="1"/>
  <c r="N27" i="1"/>
  <c r="N23" i="1"/>
  <c r="O36" i="1"/>
  <c r="O33" i="1"/>
  <c r="O32" i="1" s="1"/>
  <c r="O16" i="1"/>
  <c r="O6" i="1"/>
  <c r="O8" i="1" s="1"/>
  <c r="O14" i="1"/>
  <c r="O40" i="1"/>
  <c r="O41" i="1"/>
  <c r="O30" i="1"/>
  <c r="O29" i="1"/>
  <c r="O28" i="1"/>
  <c r="M36" i="1"/>
  <c r="M40" i="1" s="1"/>
  <c r="M33" i="1"/>
  <c r="D41" i="2" s="1"/>
  <c r="D40" i="2" s="1"/>
  <c r="K6" i="1"/>
  <c r="K50" i="1" s="1"/>
  <c r="K8" i="1"/>
  <c r="K10" i="1" s="1"/>
  <c r="M41" i="1"/>
  <c r="P30" i="1"/>
  <c r="P29" i="1"/>
  <c r="P28" i="1"/>
  <c r="L30" i="1"/>
  <c r="K30" i="1"/>
  <c r="J30" i="1"/>
  <c r="L29" i="1"/>
  <c r="K29" i="1"/>
  <c r="J29" i="1"/>
  <c r="L28" i="1"/>
  <c r="K28" i="1"/>
  <c r="J28" i="1"/>
  <c r="P41" i="1"/>
  <c r="P40" i="1"/>
  <c r="P36" i="1"/>
  <c r="P33" i="1"/>
  <c r="P16" i="1"/>
  <c r="P32" i="1"/>
  <c r="P6" i="1"/>
  <c r="P14" i="1"/>
  <c r="F8" i="1"/>
  <c r="F10" i="1" s="1"/>
  <c r="J8" i="1"/>
  <c r="J27" i="1" s="1"/>
  <c r="H6" i="1"/>
  <c r="H8" i="1" s="1"/>
  <c r="H10" i="1" s="1"/>
  <c r="G6" i="1"/>
  <c r="G8" i="1" s="1"/>
  <c r="G10" i="1" s="1"/>
  <c r="F6" i="1"/>
  <c r="J6" i="1"/>
  <c r="L6" i="1"/>
  <c r="L8" i="1" s="1"/>
  <c r="F16" i="1"/>
  <c r="C23" i="2" s="1"/>
  <c r="G16" i="1"/>
  <c r="H16" i="1"/>
  <c r="F14" i="1"/>
  <c r="G14" i="1"/>
  <c r="H14" i="1"/>
  <c r="I14" i="1"/>
  <c r="J10" i="1"/>
  <c r="J15" i="1" s="1"/>
  <c r="J14" i="1"/>
  <c r="J16" i="1"/>
  <c r="J33" i="1"/>
  <c r="J21" i="1"/>
  <c r="K33" i="1"/>
  <c r="K16" i="1"/>
  <c r="K21" i="1"/>
  <c r="L33" i="1"/>
  <c r="L32" i="1" s="1"/>
  <c r="L16" i="1"/>
  <c r="E9" i="2"/>
  <c r="F9" i="2" s="1"/>
  <c r="G9" i="2" s="1"/>
  <c r="H9" i="2" s="1"/>
  <c r="I9" i="2" s="1"/>
  <c r="J9" i="2" s="1"/>
  <c r="K9" i="2" s="1"/>
  <c r="L9" i="2" s="1"/>
  <c r="M9" i="2" s="1"/>
  <c r="N9" i="2" s="1"/>
  <c r="O9" i="2" s="1"/>
  <c r="P9" i="2" s="1"/>
  <c r="Q9" i="2" s="1"/>
  <c r="V9" i="2" s="1"/>
  <c r="J32" i="1"/>
  <c r="K32" i="1"/>
  <c r="K14" i="1"/>
  <c r="L14" i="1"/>
  <c r="T18" i="2" l="1"/>
  <c r="U30" i="2"/>
  <c r="D36" i="2"/>
  <c r="C35" i="2"/>
  <c r="E56" i="2"/>
  <c r="D49" i="2"/>
  <c r="C40" i="2"/>
  <c r="E21" i="2"/>
  <c r="T27" i="1"/>
  <c r="I23" i="1"/>
  <c r="I15" i="1"/>
  <c r="H23" i="1"/>
  <c r="H15" i="1"/>
  <c r="K15" i="1"/>
  <c r="K23" i="1"/>
  <c r="C6" i="2"/>
  <c r="C7" i="2" s="1"/>
  <c r="L10" i="1"/>
  <c r="L27" i="1"/>
  <c r="M25" i="1"/>
  <c r="M19" i="1"/>
  <c r="N20" i="1"/>
  <c r="B22" i="2"/>
  <c r="B30" i="2"/>
  <c r="E15" i="2"/>
  <c r="S10" i="1"/>
  <c r="S27" i="1"/>
  <c r="G15" i="1"/>
  <c r="G23" i="1"/>
  <c r="F56" i="2"/>
  <c r="F15" i="1"/>
  <c r="F23" i="1"/>
  <c r="O10" i="1"/>
  <c r="O27" i="1"/>
  <c r="J17" i="1"/>
  <c r="J24" i="1"/>
  <c r="R19" i="1"/>
  <c r="R20" i="1" s="1"/>
  <c r="N25" i="1"/>
  <c r="Q8" i="1"/>
  <c r="D13" i="2"/>
  <c r="D48" i="2"/>
  <c r="E48" i="2"/>
  <c r="N32" i="1"/>
  <c r="E35" i="2"/>
  <c r="K27" i="1"/>
  <c r="O50" i="1"/>
  <c r="P10" i="1"/>
  <c r="P50" i="1"/>
  <c r="Q50" i="1"/>
  <c r="C15" i="2"/>
  <c r="M32" i="1"/>
  <c r="M24" i="1"/>
  <c r="T28" i="1"/>
  <c r="J23" i="1"/>
  <c r="U18" i="2" l="1"/>
  <c r="T35" i="2"/>
  <c r="L23" i="1"/>
  <c r="L15" i="1"/>
  <c r="K17" i="1"/>
  <c r="K24" i="1"/>
  <c r="C17" i="2"/>
  <c r="C34" i="2"/>
  <c r="G24" i="1"/>
  <c r="G17" i="1"/>
  <c r="D15" i="2"/>
  <c r="D57" i="2"/>
  <c r="E17" i="2"/>
  <c r="E34" i="2"/>
  <c r="H24" i="1"/>
  <c r="H17" i="1"/>
  <c r="J25" i="1"/>
  <c r="J19" i="1"/>
  <c r="B24" i="2"/>
  <c r="B31" i="2"/>
  <c r="F25" i="2"/>
  <c r="F35" i="2"/>
  <c r="I24" i="1"/>
  <c r="I17" i="1"/>
  <c r="U29" i="1"/>
  <c r="S15" i="1"/>
  <c r="S23" i="1"/>
  <c r="E57" i="2"/>
  <c r="O23" i="1"/>
  <c r="O15" i="1"/>
  <c r="F37" i="2"/>
  <c r="U28" i="1"/>
  <c r="F34" i="2"/>
  <c r="Q27" i="1"/>
  <c r="Q10" i="1"/>
  <c r="P23" i="1"/>
  <c r="P15" i="1"/>
  <c r="U27" i="1"/>
  <c r="F17" i="1"/>
  <c r="F24" i="1"/>
  <c r="M21" i="1"/>
  <c r="D28" i="2" s="1"/>
  <c r="M20" i="1"/>
  <c r="G56" i="2"/>
  <c r="U35" i="2" l="1"/>
  <c r="H25" i="1"/>
  <c r="H19" i="1"/>
  <c r="H21" i="1" s="1"/>
  <c r="E30" i="2"/>
  <c r="E22" i="2"/>
  <c r="P17" i="1"/>
  <c r="P24" i="1"/>
  <c r="Q23" i="1"/>
  <c r="Q15" i="1"/>
  <c r="S24" i="1"/>
  <c r="S17" i="1"/>
  <c r="K25" i="1"/>
  <c r="K19" i="1"/>
  <c r="I25" i="1"/>
  <c r="I19" i="1"/>
  <c r="F19" i="1"/>
  <c r="F25" i="1"/>
  <c r="T23" i="1"/>
  <c r="F36" i="2"/>
  <c r="D34" i="2"/>
  <c r="D17" i="2"/>
  <c r="G35" i="2"/>
  <c r="G19" i="1"/>
  <c r="G21" i="1" s="1"/>
  <c r="G25" i="1"/>
  <c r="F57" i="2"/>
  <c r="H56" i="2"/>
  <c r="C22" i="2"/>
  <c r="C30" i="2"/>
  <c r="B32" i="2"/>
  <c r="B26" i="2"/>
  <c r="G37" i="2"/>
  <c r="J20" i="1"/>
  <c r="L24" i="1"/>
  <c r="L17" i="1"/>
  <c r="O17" i="1"/>
  <c r="O24" i="1"/>
  <c r="G21" i="2" l="1"/>
  <c r="G38" i="2" s="1"/>
  <c r="F21" i="1"/>
  <c r="I43" i="1"/>
  <c r="I21" i="1"/>
  <c r="C28" i="2" s="1"/>
  <c r="L19" i="1"/>
  <c r="L25" i="1"/>
  <c r="I56" i="2"/>
  <c r="G57" i="2"/>
  <c r="O25" i="1"/>
  <c r="O19" i="1"/>
  <c r="P25" i="1"/>
  <c r="P19" i="1"/>
  <c r="E24" i="2"/>
  <c r="E31" i="2"/>
  <c r="C31" i="2"/>
  <c r="C24" i="2"/>
  <c r="S19" i="1"/>
  <c r="S20" i="1" s="1"/>
  <c r="S25" i="1"/>
  <c r="Q17" i="1"/>
  <c r="Q24" i="1"/>
  <c r="H37" i="2"/>
  <c r="D30" i="2"/>
  <c r="D22" i="2"/>
  <c r="B28" i="2"/>
  <c r="B27" i="2"/>
  <c r="T24" i="1"/>
  <c r="K20" i="1"/>
  <c r="H35" i="2"/>
  <c r="G36" i="2"/>
  <c r="U23" i="1"/>
  <c r="J56" i="2" l="1"/>
  <c r="F30" i="2"/>
  <c r="U24" i="1"/>
  <c r="G34" i="2"/>
  <c r="T25" i="1"/>
  <c r="I37" i="2"/>
  <c r="H15" i="2"/>
  <c r="H57" i="2"/>
  <c r="S43" i="1"/>
  <c r="P20" i="1"/>
  <c r="D24" i="2"/>
  <c r="D31" i="2"/>
  <c r="L20" i="1"/>
  <c r="O43" i="1"/>
  <c r="M43" i="1"/>
  <c r="I20" i="1"/>
  <c r="R43" i="1"/>
  <c r="O21" i="1"/>
  <c r="O20" i="1"/>
  <c r="Q43" i="1"/>
  <c r="P43" i="1"/>
  <c r="H36" i="2"/>
  <c r="I44" i="1"/>
  <c r="I45" i="1"/>
  <c r="I46" i="1"/>
  <c r="I47" i="1"/>
  <c r="E26" i="2"/>
  <c r="E32" i="2"/>
  <c r="Q19" i="1"/>
  <c r="Q20" i="1" s="1"/>
  <c r="Q25" i="1"/>
  <c r="H21" i="2"/>
  <c r="H38" i="2" s="1"/>
  <c r="I35" i="2"/>
  <c r="C26" i="2"/>
  <c r="C27" i="2" s="1"/>
  <c r="C32" i="2"/>
  <c r="N43" i="1"/>
  <c r="K56" i="2" l="1"/>
  <c r="I15" i="2"/>
  <c r="K57" i="2"/>
  <c r="I57" i="2"/>
  <c r="S44" i="1"/>
  <c r="S47" i="1"/>
  <c r="S46" i="1"/>
  <c r="S45" i="1"/>
  <c r="N47" i="1"/>
  <c r="N46" i="1"/>
  <c r="N45" i="1"/>
  <c r="N44" i="1"/>
  <c r="R47" i="1"/>
  <c r="R46" i="1"/>
  <c r="R45" i="1"/>
  <c r="R44" i="1"/>
  <c r="J21" i="2"/>
  <c r="I36" i="2"/>
  <c r="I21" i="2"/>
  <c r="I38" i="2" s="1"/>
  <c r="H34" i="2"/>
  <c r="P44" i="1"/>
  <c r="P47" i="1"/>
  <c r="P46" i="1"/>
  <c r="P45" i="1"/>
  <c r="J37" i="2"/>
  <c r="M47" i="1"/>
  <c r="M44" i="1"/>
  <c r="M46" i="1"/>
  <c r="M45" i="1"/>
  <c r="U25" i="1"/>
  <c r="E27" i="2"/>
  <c r="Q44" i="1"/>
  <c r="Q46" i="1"/>
  <c r="Q47" i="1"/>
  <c r="Q45" i="1"/>
  <c r="J35" i="2"/>
  <c r="G22" i="2"/>
  <c r="G30" i="2"/>
  <c r="O45" i="1"/>
  <c r="O44" i="1"/>
  <c r="O47" i="1"/>
  <c r="O46" i="1"/>
  <c r="F31" i="2"/>
  <c r="F26" i="2"/>
  <c r="F27" i="2" s="1"/>
  <c r="D32" i="2"/>
  <c r="D26" i="2"/>
  <c r="D27" i="2" s="1"/>
  <c r="J38" i="2" l="1"/>
  <c r="K15" i="2"/>
  <c r="H30" i="2"/>
  <c r="H22" i="2"/>
  <c r="H16" i="2"/>
  <c r="G31" i="2"/>
  <c r="L20" i="2"/>
  <c r="K37" i="2"/>
  <c r="K35" i="2"/>
  <c r="F32" i="2"/>
  <c r="J36" i="2"/>
  <c r="J57" i="2"/>
  <c r="I34" i="2"/>
  <c r="J34" i="2" l="1"/>
  <c r="K36" i="2"/>
  <c r="L19" i="2"/>
  <c r="L21" i="2" s="1"/>
  <c r="K21" i="2"/>
  <c r="K38" i="2" s="1"/>
  <c r="L35" i="2"/>
  <c r="L37" i="2"/>
  <c r="M20" i="2"/>
  <c r="I30" i="2"/>
  <c r="J17" i="2" s="1"/>
  <c r="I22" i="2"/>
  <c r="I16" i="2"/>
  <c r="H31" i="2"/>
  <c r="J16" i="2" l="1"/>
  <c r="J30" i="2"/>
  <c r="K17" i="2" s="1"/>
  <c r="L38" i="2"/>
  <c r="M37" i="2"/>
  <c r="N20" i="2"/>
  <c r="M35" i="2"/>
  <c r="L36" i="2"/>
  <c r="M19" i="2"/>
  <c r="G24" i="2"/>
  <c r="J22" i="2"/>
  <c r="L15" i="2"/>
  <c r="K34" i="2"/>
  <c r="I31" i="2"/>
  <c r="K30" i="2" l="1"/>
  <c r="K22" i="2"/>
  <c r="K16" i="2"/>
  <c r="N35" i="2"/>
  <c r="L34" i="2"/>
  <c r="M15" i="2"/>
  <c r="L17" i="2"/>
  <c r="L16" i="2" s="1"/>
  <c r="J31" i="2"/>
  <c r="G25" i="2"/>
  <c r="G32" i="2" s="1"/>
  <c r="M36" i="2"/>
  <c r="N19" i="2"/>
  <c r="M21" i="2"/>
  <c r="M38" i="2" s="1"/>
  <c r="N37" i="2"/>
  <c r="O20" i="2"/>
  <c r="N36" i="2" l="1"/>
  <c r="O19" i="2"/>
  <c r="G26" i="2"/>
  <c r="O35" i="2"/>
  <c r="O21" i="2"/>
  <c r="K31" i="2"/>
  <c r="L22" i="2"/>
  <c r="L30" i="2"/>
  <c r="N15" i="2"/>
  <c r="M17" i="2"/>
  <c r="M16" i="2" s="1"/>
  <c r="M34" i="2"/>
  <c r="N21" i="2"/>
  <c r="N38" i="2" s="1"/>
  <c r="O37" i="2"/>
  <c r="P20" i="2"/>
  <c r="O38" i="2" l="1"/>
  <c r="M30" i="2"/>
  <c r="M22" i="2"/>
  <c r="P19" i="2"/>
  <c r="O36" i="2"/>
  <c r="N34" i="2"/>
  <c r="O15" i="2"/>
  <c r="N17" i="2"/>
  <c r="L31" i="2"/>
  <c r="P21" i="2"/>
  <c r="P38" i="2" s="1"/>
  <c r="P35" i="2"/>
  <c r="G27" i="2"/>
  <c r="G40" i="2"/>
  <c r="H23" i="2" s="1"/>
  <c r="P37" i="2"/>
  <c r="Q20" i="2"/>
  <c r="Q37" i="2" l="1"/>
  <c r="R20" i="2"/>
  <c r="O34" i="2"/>
  <c r="O17" i="2"/>
  <c r="P15" i="2"/>
  <c r="Q35" i="2"/>
  <c r="M31" i="2"/>
  <c r="H24" i="2"/>
  <c r="N22" i="2"/>
  <c r="N30" i="2"/>
  <c r="N16" i="2"/>
  <c r="P36" i="2"/>
  <c r="Q19" i="2"/>
  <c r="Q36" i="2" s="1"/>
  <c r="S20" i="2" l="1"/>
  <c r="R37" i="2"/>
  <c r="R21" i="2"/>
  <c r="R22" i="2" s="1"/>
  <c r="R31" i="2" s="1"/>
  <c r="P34" i="2"/>
  <c r="Q15" i="2"/>
  <c r="P17" i="2"/>
  <c r="N31" i="2"/>
  <c r="H25" i="2"/>
  <c r="H32" i="2" s="1"/>
  <c r="Q21" i="2"/>
  <c r="O30" i="2"/>
  <c r="O22" i="2"/>
  <c r="O16" i="2"/>
  <c r="S37" i="2" l="1"/>
  <c r="T20" i="2"/>
  <c r="S21" i="2"/>
  <c r="Q38" i="2"/>
  <c r="R38" i="2"/>
  <c r="O31" i="2"/>
  <c r="H26" i="2"/>
  <c r="P22" i="2"/>
  <c r="P30" i="2"/>
  <c r="Q34" i="2"/>
  <c r="Q17" i="2"/>
  <c r="P16" i="2"/>
  <c r="T37" i="2" l="1"/>
  <c r="U20" i="2"/>
  <c r="T21" i="2"/>
  <c r="S38" i="2"/>
  <c r="S22" i="2"/>
  <c r="S31" i="2" s="1"/>
  <c r="Q30" i="2"/>
  <c r="Q22" i="2"/>
  <c r="Q16" i="2"/>
  <c r="P31" i="2"/>
  <c r="H27" i="2"/>
  <c r="H40" i="2"/>
  <c r="U37" i="2" l="1"/>
  <c r="U21" i="2"/>
  <c r="T22" i="2"/>
  <c r="T31" i="2" s="1"/>
  <c r="T38" i="2"/>
  <c r="Q31" i="2"/>
  <c r="I23" i="2"/>
  <c r="I24" i="2" s="1"/>
  <c r="U22" i="2" l="1"/>
  <c r="U31" i="2" s="1"/>
  <c r="U38" i="2"/>
  <c r="I32" i="2"/>
  <c r="I26" i="2" l="1"/>
  <c r="I27" i="2" s="1"/>
  <c r="I40" i="2" l="1"/>
  <c r="J23" i="2" s="1"/>
  <c r="J24" i="2" s="1"/>
  <c r="J25" i="2" s="1"/>
  <c r="J32" i="2" l="1"/>
  <c r="J26" i="2" l="1"/>
  <c r="J27" i="2" s="1"/>
  <c r="J40" i="2" l="1"/>
  <c r="K23" i="2" s="1"/>
  <c r="K24" i="2" s="1"/>
  <c r="K25" i="2" s="1"/>
  <c r="K32" i="2" l="1"/>
  <c r="K26" i="2" l="1"/>
  <c r="K40" i="2" l="1"/>
  <c r="K27" i="2"/>
  <c r="L23" i="2"/>
  <c r="L24" i="2" s="1"/>
  <c r="L25" i="2" s="1"/>
  <c r="L32" i="2" l="1"/>
  <c r="L26" i="2"/>
  <c r="L27" i="2" l="1"/>
  <c r="L40" i="2"/>
  <c r="M23" i="2" l="1"/>
  <c r="M24" i="2" s="1"/>
  <c r="M25" i="2" s="1"/>
  <c r="M32" i="2" l="1"/>
  <c r="M26" i="2" l="1"/>
  <c r="M27" i="2"/>
  <c r="M40" i="2"/>
  <c r="N23" i="2" l="1"/>
  <c r="N24" i="2" s="1"/>
  <c r="N25" i="2" s="1"/>
  <c r="N32" i="2" l="1"/>
  <c r="N26" i="2" l="1"/>
  <c r="N27" i="2"/>
  <c r="N40" i="2"/>
  <c r="O23" i="2" l="1"/>
  <c r="O24" i="2" s="1"/>
  <c r="O25" i="2" s="1"/>
  <c r="O32" i="2" l="1"/>
  <c r="O26" i="2"/>
  <c r="O27" i="2" l="1"/>
  <c r="O40" i="2"/>
  <c r="P23" i="2" l="1"/>
  <c r="P24" i="2" s="1"/>
  <c r="P25" i="2" s="1"/>
  <c r="P32" i="2" l="1"/>
  <c r="P26" i="2" l="1"/>
  <c r="P27" i="2" s="1"/>
  <c r="P40" i="2" l="1"/>
  <c r="Q23" i="2" s="1"/>
  <c r="Q24" i="2" s="1"/>
  <c r="Q25" i="2" s="1"/>
  <c r="Q32" i="2" l="1"/>
  <c r="Q26" i="2" l="1"/>
  <c r="Q27" i="2" l="1"/>
  <c r="Q40" i="2"/>
  <c r="R23" i="2" l="1"/>
  <c r="R24" i="2" s="1"/>
  <c r="R25" i="2" l="1"/>
  <c r="R32" i="2" s="1"/>
  <c r="R26" i="2"/>
  <c r="R27" i="2" l="1"/>
  <c r="R40" i="2"/>
  <c r="S23" i="2" l="1"/>
  <c r="S24" i="2" s="1"/>
  <c r="S25" i="2" l="1"/>
  <c r="S32" i="2" s="1"/>
  <c r="S26" i="2"/>
  <c r="S27" i="2" l="1"/>
  <c r="S40" i="2"/>
  <c r="T23" i="2" l="1"/>
  <c r="T24" i="2" s="1"/>
  <c r="T25" i="2" l="1"/>
  <c r="T32" i="2" s="1"/>
  <c r="T26" i="2"/>
  <c r="T27" i="2" l="1"/>
  <c r="T40" i="2"/>
  <c r="U23" i="2" l="1"/>
  <c r="U24" i="2" s="1"/>
  <c r="U25" i="2" l="1"/>
  <c r="U32" i="2" s="1"/>
  <c r="U26" i="2"/>
  <c r="U27" i="2" l="1"/>
  <c r="V26" i="2"/>
  <c r="W26" i="2" s="1"/>
  <c r="X26" i="2" s="1"/>
  <c r="Y26" i="2" s="1"/>
  <c r="Z26" i="2" s="1"/>
  <c r="AA26" i="2" s="1"/>
  <c r="AB26" i="2" s="1"/>
  <c r="AC26" i="2" s="1"/>
  <c r="AD26" i="2" s="1"/>
  <c r="AE26" i="2" s="1"/>
  <c r="AF26" i="2" s="1"/>
  <c r="AG26" i="2" s="1"/>
  <c r="AH26" i="2" s="1"/>
  <c r="AI26" i="2" s="1"/>
  <c r="AJ26" i="2" s="1"/>
  <c r="AK26" i="2" s="1"/>
  <c r="AL26" i="2" s="1"/>
  <c r="AM26" i="2" s="1"/>
  <c r="AN26" i="2" s="1"/>
  <c r="AO26" i="2" s="1"/>
  <c r="AP26" i="2" s="1"/>
  <c r="AQ26" i="2" s="1"/>
  <c r="AR26" i="2" s="1"/>
  <c r="AS26" i="2" s="1"/>
  <c r="AT26" i="2" s="1"/>
  <c r="AU26" i="2" s="1"/>
  <c r="AV26" i="2" s="1"/>
  <c r="AW26" i="2" s="1"/>
  <c r="AX26" i="2" s="1"/>
  <c r="AY26" i="2" s="1"/>
  <c r="AZ26" i="2" s="1"/>
  <c r="BA26" i="2" s="1"/>
  <c r="BB26" i="2" s="1"/>
  <c r="BC26" i="2" s="1"/>
  <c r="BD26" i="2" s="1"/>
  <c r="BE26" i="2" s="1"/>
  <c r="BF26" i="2" s="1"/>
  <c r="BG26" i="2" s="1"/>
  <c r="BH26" i="2" s="1"/>
  <c r="BI26" i="2" s="1"/>
  <c r="BJ26" i="2" s="1"/>
  <c r="BK26" i="2" s="1"/>
  <c r="BL26" i="2" s="1"/>
  <c r="BM26" i="2" s="1"/>
  <c r="BN26" i="2" s="1"/>
  <c r="BO26" i="2" s="1"/>
  <c r="BP26" i="2" s="1"/>
  <c r="BQ26" i="2" s="1"/>
  <c r="BR26" i="2" s="1"/>
  <c r="BS26" i="2" s="1"/>
  <c r="BT26" i="2" s="1"/>
  <c r="BU26" i="2" s="1"/>
  <c r="BV26" i="2" s="1"/>
  <c r="BW26" i="2" s="1"/>
  <c r="BX26" i="2" s="1"/>
  <c r="BY26" i="2" s="1"/>
  <c r="BZ26" i="2" s="1"/>
  <c r="CA26" i="2" s="1"/>
  <c r="CB26" i="2" s="1"/>
  <c r="CC26" i="2" s="1"/>
  <c r="CD26" i="2" s="1"/>
  <c r="CE26" i="2" s="1"/>
  <c r="CF26" i="2" s="1"/>
  <c r="CG26" i="2" s="1"/>
  <c r="CH26" i="2" s="1"/>
  <c r="CI26" i="2" s="1"/>
  <c r="CJ26" i="2" s="1"/>
  <c r="CK26" i="2" s="1"/>
  <c r="CL26" i="2" s="1"/>
  <c r="CM26" i="2" s="1"/>
  <c r="CN26" i="2" s="1"/>
  <c r="CO26" i="2" s="1"/>
  <c r="CP26" i="2" s="1"/>
  <c r="CQ26" i="2" s="1"/>
  <c r="CR26" i="2" s="1"/>
  <c r="CS26" i="2" s="1"/>
  <c r="CT26" i="2" s="1"/>
  <c r="CU26" i="2" s="1"/>
  <c r="CV26" i="2" s="1"/>
  <c r="CW26" i="2" s="1"/>
  <c r="CX26" i="2" s="1"/>
  <c r="CY26" i="2" s="1"/>
  <c r="CZ26" i="2" s="1"/>
  <c r="DA26" i="2" s="1"/>
  <c r="DB26" i="2" s="1"/>
  <c r="DC26" i="2" s="1"/>
  <c r="DD26" i="2" s="1"/>
  <c r="DE26" i="2" s="1"/>
  <c r="DF26" i="2" s="1"/>
  <c r="DG26" i="2" s="1"/>
  <c r="DH26" i="2" s="1"/>
  <c r="DI26" i="2" s="1"/>
  <c r="DJ26" i="2" s="1"/>
  <c r="DK26" i="2" s="1"/>
  <c r="DL26" i="2" s="1"/>
  <c r="DM26" i="2" s="1"/>
  <c r="DN26" i="2" s="1"/>
  <c r="DO26" i="2" s="1"/>
  <c r="DP26" i="2" s="1"/>
  <c r="DQ26" i="2" s="1"/>
  <c r="DR26" i="2" s="1"/>
  <c r="DS26" i="2" s="1"/>
  <c r="DT26" i="2" s="1"/>
  <c r="DU26" i="2" s="1"/>
  <c r="DV26" i="2" s="1"/>
  <c r="DW26" i="2" s="1"/>
  <c r="DX26" i="2" s="1"/>
  <c r="DY26" i="2" s="1"/>
  <c r="DZ26" i="2" s="1"/>
  <c r="EA26" i="2" s="1"/>
  <c r="EB26" i="2" s="1"/>
  <c r="EC26" i="2" s="1"/>
  <c r="ED26" i="2" s="1"/>
  <c r="EE26" i="2" s="1"/>
  <c r="EF26" i="2" s="1"/>
  <c r="EG26" i="2" s="1"/>
  <c r="EH26" i="2" s="1"/>
  <c r="EI26" i="2" s="1"/>
  <c r="EJ26" i="2" s="1"/>
  <c r="EK26" i="2" s="1"/>
  <c r="EL26" i="2" s="1"/>
  <c r="EM26" i="2" s="1"/>
  <c r="EN26" i="2" s="1"/>
  <c r="EO26" i="2" s="1"/>
  <c r="EP26" i="2" s="1"/>
  <c r="EQ26" i="2" s="1"/>
  <c r="ER26" i="2" s="1"/>
  <c r="ES26" i="2" s="1"/>
  <c r="ET26" i="2" s="1"/>
  <c r="EU26" i="2" s="1"/>
  <c r="EV26" i="2" s="1"/>
  <c r="EW26" i="2" s="1"/>
  <c r="EX26" i="2" s="1"/>
  <c r="EY26" i="2" s="1"/>
  <c r="EZ26" i="2" s="1"/>
  <c r="FA26" i="2" s="1"/>
  <c r="FB26" i="2" s="1"/>
  <c r="FC26" i="2" s="1"/>
  <c r="FD26" i="2" s="1"/>
  <c r="FE26" i="2" s="1"/>
  <c r="FF26" i="2" s="1"/>
  <c r="FG26" i="2" s="1"/>
  <c r="FH26" i="2" s="1"/>
  <c r="FI26" i="2" s="1"/>
  <c r="FJ26" i="2" s="1"/>
  <c r="FK26" i="2" s="1"/>
  <c r="FL26" i="2" s="1"/>
  <c r="FM26" i="2" s="1"/>
  <c r="FN26" i="2" s="1"/>
  <c r="FO26" i="2" s="1"/>
  <c r="FP26" i="2" s="1"/>
  <c r="FQ26" i="2" s="1"/>
  <c r="FR26" i="2" s="1"/>
  <c r="FS26" i="2" s="1"/>
  <c r="FT26" i="2" s="1"/>
  <c r="FU26" i="2" s="1"/>
  <c r="FV26" i="2" s="1"/>
  <c r="FW26" i="2" s="1"/>
  <c r="FX26" i="2" s="1"/>
  <c r="FY26" i="2" s="1"/>
  <c r="FZ26" i="2" s="1"/>
  <c r="GA26" i="2" s="1"/>
  <c r="GB26" i="2" s="1"/>
  <c r="GC26" i="2" s="1"/>
  <c r="GD26" i="2" s="1"/>
  <c r="GE26" i="2" s="1"/>
  <c r="GF26" i="2" s="1"/>
  <c r="GG26" i="2" s="1"/>
  <c r="GH26" i="2" s="1"/>
  <c r="GI26" i="2" s="1"/>
  <c r="GJ26" i="2" s="1"/>
  <c r="GK26" i="2" s="1"/>
  <c r="GL26" i="2" s="1"/>
  <c r="U40" i="2"/>
  <c r="F5" i="2" l="1"/>
  <c r="F6" i="2" s="1"/>
  <c r="F7" i="2" s="1"/>
  <c r="G7" i="2" s="1"/>
</calcChain>
</file>

<file path=xl/sharedStrings.xml><?xml version="1.0" encoding="utf-8"?>
<sst xmlns="http://schemas.openxmlformats.org/spreadsheetml/2006/main" count="157" uniqueCount="113">
  <si>
    <t>Q117</t>
  </si>
  <si>
    <t>Q217</t>
  </si>
  <si>
    <t>Q317</t>
  </si>
  <si>
    <t>Q417</t>
  </si>
  <si>
    <t>Revenue</t>
  </si>
  <si>
    <t>COGS</t>
  </si>
  <si>
    <t>Gross Profit</t>
  </si>
  <si>
    <t>R&amp;D</t>
  </si>
  <si>
    <t>S&amp;M</t>
  </si>
  <si>
    <t>G&amp;A</t>
  </si>
  <si>
    <t>Operating Expenses</t>
  </si>
  <si>
    <t>Operating Income</t>
  </si>
  <si>
    <t>Interest Income</t>
  </si>
  <si>
    <t>Pretax Income</t>
  </si>
  <si>
    <t>Taxes</t>
  </si>
  <si>
    <t>Net Income</t>
  </si>
  <si>
    <t>EPS</t>
  </si>
  <si>
    <t>Shares</t>
  </si>
  <si>
    <t>Revenue y/y</t>
  </si>
  <si>
    <t>Gross Margin</t>
  </si>
  <si>
    <t>Operating Margin</t>
  </si>
  <si>
    <t>Tax Rate</t>
  </si>
  <si>
    <t>Q116</t>
  </si>
  <si>
    <t>Q216</t>
  </si>
  <si>
    <t>Q316</t>
  </si>
  <si>
    <t>Q416</t>
  </si>
  <si>
    <t>30/9/2017</t>
  </si>
  <si>
    <t>30/9/2016</t>
  </si>
  <si>
    <t>30/6/2016</t>
  </si>
  <si>
    <t>31/3/2016</t>
  </si>
  <si>
    <t>30/6/2017</t>
  </si>
  <si>
    <t>31/3/2017</t>
  </si>
  <si>
    <t>31/12/2016</t>
  </si>
  <si>
    <t>Net Cash</t>
  </si>
  <si>
    <t>Cash</t>
  </si>
  <si>
    <t>Debt</t>
  </si>
  <si>
    <t>31/12/2017</t>
  </si>
  <si>
    <t>Maturity</t>
  </si>
  <si>
    <t>ROIC</t>
  </si>
  <si>
    <t>Discount</t>
  </si>
  <si>
    <t>NPV</t>
  </si>
  <si>
    <t>Value</t>
  </si>
  <si>
    <t>Q118</t>
  </si>
  <si>
    <t>Q218</t>
  </si>
  <si>
    <t>Q318</t>
  </si>
  <si>
    <t>Q418</t>
  </si>
  <si>
    <t>31/3/2018</t>
  </si>
  <si>
    <t>30/6/2018</t>
  </si>
  <si>
    <t>30/9/2018</t>
  </si>
  <si>
    <t>31/12/2018</t>
  </si>
  <si>
    <t>Q115</t>
  </si>
  <si>
    <t>Q215</t>
  </si>
  <si>
    <t>Q315</t>
  </si>
  <si>
    <t>Q415</t>
  </si>
  <si>
    <t>31/3/2015</t>
  </si>
  <si>
    <t>30/6/2015</t>
  </si>
  <si>
    <t>30/9/2015</t>
  </si>
  <si>
    <t>31/12/2015</t>
  </si>
  <si>
    <t>DAU</t>
  </si>
  <si>
    <t>Investor Relations</t>
  </si>
  <si>
    <t>CEO</t>
  </si>
  <si>
    <t>Founder</t>
  </si>
  <si>
    <t>Evan Spiegel</t>
  </si>
  <si>
    <t>Bobby Murphy</t>
  </si>
  <si>
    <t>Snap Inc (SNAP)</t>
  </si>
  <si>
    <t>Price</t>
  </si>
  <si>
    <t>Market Cap</t>
  </si>
  <si>
    <t>EV</t>
  </si>
  <si>
    <t>per share</t>
  </si>
  <si>
    <t>ARPU</t>
  </si>
  <si>
    <t>R&amp;D y/y</t>
  </si>
  <si>
    <t>S&amp;M y/y</t>
  </si>
  <si>
    <t>G&amp;A y/y</t>
  </si>
  <si>
    <t>Intangibles</t>
  </si>
  <si>
    <t>Total assets</t>
  </si>
  <si>
    <t>Total liabilities</t>
  </si>
  <si>
    <t>TWC</t>
  </si>
  <si>
    <t>Equity</t>
  </si>
  <si>
    <t>ROE</t>
  </si>
  <si>
    <t>ROA</t>
  </si>
  <si>
    <t>ROTB</t>
  </si>
  <si>
    <t>ROTWC</t>
  </si>
  <si>
    <t>DAU y/y</t>
  </si>
  <si>
    <t>ARPU y/y</t>
  </si>
  <si>
    <t>NI 12M</t>
  </si>
  <si>
    <t>EDGAR</t>
  </si>
  <si>
    <t>Advertising</t>
  </si>
  <si>
    <t>Advertising y/y</t>
  </si>
  <si>
    <t>Discover</t>
  </si>
  <si>
    <t>31/3/2019</t>
  </si>
  <si>
    <t>30/6/2019</t>
  </si>
  <si>
    <t>30/9/2019</t>
  </si>
  <si>
    <t>31/12/2019</t>
  </si>
  <si>
    <t>Q219</t>
  </si>
  <si>
    <t>Q119</t>
  </si>
  <si>
    <t>Q319</t>
  </si>
  <si>
    <t>Q419</t>
  </si>
  <si>
    <t>410-435</t>
  </si>
  <si>
    <t>540-560</t>
  </si>
  <si>
    <t>Products</t>
  </si>
  <si>
    <t>Snapchat</t>
  </si>
  <si>
    <t>Mobile social media platform</t>
  </si>
  <si>
    <t>Bitmoji TV</t>
  </si>
  <si>
    <t>Animated cartoon series</t>
  </si>
  <si>
    <t>Cameos</t>
  </si>
  <si>
    <t>Creative tool</t>
  </si>
  <si>
    <t>450-470</t>
  </si>
  <si>
    <t>Q120</t>
  </si>
  <si>
    <t>31/3/2020</t>
  </si>
  <si>
    <t>News feed and original video content</t>
  </si>
  <si>
    <t>Lens Studio</t>
  </si>
  <si>
    <t>Augmented reality platform</t>
  </si>
  <si>
    <t>OE y/y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</si>
</sst>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_ ;[Red]\-#,##0\ "/>
    <numFmt numFmtId="165" formatCode="#,##0.0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Arial"/>
      <family val="2"/>
    </font>
    <font>
      <i/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7">
    <xf numFmtId="0" fontId="0" fillId="0" borderId="0" xfId="0"/>
    <xf numFmtId="0" fontId="4" fillId="0" borderId="0" xfId="0" applyFont="1"/>
    <xf numFmtId="4" fontId="4" fillId="0" borderId="0" xfId="0" applyNumberFormat="1" applyFont="1" applyBorder="1"/>
    <xf numFmtId="0" fontId="4" fillId="0" borderId="0" xfId="0" applyFont="1" applyBorder="1"/>
    <xf numFmtId="10" fontId="4" fillId="0" borderId="0" xfId="0" applyNumberFormat="1" applyFont="1"/>
    <xf numFmtId="3" fontId="4" fillId="0" borderId="0" xfId="0" applyNumberFormat="1" applyFont="1" applyBorder="1"/>
    <xf numFmtId="0" fontId="5" fillId="0" borderId="0" xfId="0" applyFont="1"/>
    <xf numFmtId="3" fontId="4" fillId="2" borderId="0" xfId="0" applyNumberFormat="1" applyFont="1" applyFill="1" applyBorder="1"/>
    <xf numFmtId="164" fontId="4" fillId="2" borderId="0" xfId="0" applyNumberFormat="1" applyFont="1" applyFill="1"/>
    <xf numFmtId="0" fontId="6" fillId="0" borderId="0" xfId="0" applyFont="1" applyBorder="1"/>
    <xf numFmtId="164" fontId="6" fillId="2" borderId="0" xfId="0" applyNumberFormat="1" applyFont="1" applyFill="1"/>
    <xf numFmtId="4" fontId="4" fillId="2" borderId="0" xfId="0" applyNumberFormat="1" applyFont="1" applyFill="1" applyBorder="1"/>
    <xf numFmtId="0" fontId="5" fillId="0" borderId="0" xfId="0" applyFont="1" applyBorder="1"/>
    <xf numFmtId="4" fontId="4" fillId="2" borderId="0" xfId="0" applyNumberFormat="1" applyFont="1" applyFill="1"/>
    <xf numFmtId="9" fontId="4" fillId="0" borderId="0" xfId="0" applyNumberFormat="1" applyFont="1"/>
    <xf numFmtId="0" fontId="7" fillId="0" borderId="0" xfId="4" applyFont="1"/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right"/>
    </xf>
    <xf numFmtId="3" fontId="4" fillId="0" borderId="1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65" fontId="4" fillId="0" borderId="0" xfId="0" applyNumberFormat="1" applyFont="1" applyAlignment="1">
      <alignment horizontal="right"/>
    </xf>
    <xf numFmtId="165" fontId="4" fillId="0" borderId="1" xfId="0" applyNumberFormat="1" applyFont="1" applyBorder="1" applyAlignment="1">
      <alignment horizontal="right"/>
    </xf>
    <xf numFmtId="165" fontId="4" fillId="0" borderId="0" xfId="0" applyNumberFormat="1" applyFont="1" applyBorder="1" applyAlignment="1">
      <alignment horizontal="right"/>
    </xf>
    <xf numFmtId="3" fontId="4" fillId="0" borderId="0" xfId="0" applyNumberFormat="1" applyFont="1" applyBorder="1" applyAlignment="1">
      <alignment horizontal="right"/>
    </xf>
    <xf numFmtId="0" fontId="4" fillId="0" borderId="0" xfId="0" applyFont="1" applyBorder="1" applyAlignment="1">
      <alignment horizontal="right"/>
    </xf>
    <xf numFmtId="0" fontId="6" fillId="0" borderId="0" xfId="0" applyFont="1"/>
    <xf numFmtId="165" fontId="6" fillId="0" borderId="0" xfId="0" applyNumberFormat="1" applyFont="1" applyBorder="1" applyAlignment="1">
      <alignment horizontal="right"/>
    </xf>
    <xf numFmtId="3" fontId="6" fillId="0" borderId="1" xfId="0" applyNumberFormat="1" applyFont="1" applyBorder="1" applyAlignment="1">
      <alignment horizontal="right"/>
    </xf>
    <xf numFmtId="3" fontId="6" fillId="0" borderId="0" xfId="0" applyNumberFormat="1" applyFont="1" applyBorder="1" applyAlignment="1">
      <alignment horizontal="right"/>
    </xf>
    <xf numFmtId="2" fontId="4" fillId="0" borderId="0" xfId="0" applyNumberFormat="1" applyFont="1" applyBorder="1" applyAlignment="1">
      <alignment horizontal="right"/>
    </xf>
    <xf numFmtId="9" fontId="4" fillId="0" borderId="0" xfId="0" applyNumberFormat="1" applyFont="1" applyBorder="1" applyAlignment="1">
      <alignment horizontal="right"/>
    </xf>
    <xf numFmtId="9" fontId="4" fillId="0" borderId="1" xfId="0" applyNumberFormat="1" applyFont="1" applyBorder="1" applyAlignment="1">
      <alignment horizontal="right"/>
    </xf>
    <xf numFmtId="9" fontId="4" fillId="0" borderId="0" xfId="0" applyNumberFormat="1" applyFont="1" applyAlignment="1">
      <alignment horizontal="right"/>
    </xf>
    <xf numFmtId="9" fontId="4" fillId="0" borderId="0" xfId="1" applyFont="1" applyBorder="1" applyAlignment="1">
      <alignment horizontal="right"/>
    </xf>
    <xf numFmtId="9" fontId="4" fillId="0" borderId="1" xfId="1" applyFont="1" applyBorder="1" applyAlignment="1">
      <alignment horizontal="right"/>
    </xf>
    <xf numFmtId="9" fontId="4" fillId="0" borderId="0" xfId="1" applyFont="1" applyAlignment="1">
      <alignment horizontal="right"/>
    </xf>
    <xf numFmtId="9" fontId="6" fillId="0" borderId="0" xfId="1" applyNumberFormat="1" applyFont="1" applyBorder="1" applyAlignment="1">
      <alignment horizontal="right"/>
    </xf>
    <xf numFmtId="9" fontId="6" fillId="0" borderId="1" xfId="1" applyNumberFormat="1" applyFont="1" applyBorder="1" applyAlignment="1">
      <alignment horizontal="right"/>
    </xf>
    <xf numFmtId="3" fontId="6" fillId="0" borderId="0" xfId="0" applyNumberFormat="1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1" xfId="0" applyFont="1" applyBorder="1" applyAlignment="1">
      <alignment horizontal="right"/>
    </xf>
    <xf numFmtId="0" fontId="4" fillId="0" borderId="1" xfId="0" applyFont="1" applyBorder="1"/>
    <xf numFmtId="3" fontId="4" fillId="0" borderId="0" xfId="0" applyNumberFormat="1" applyFont="1"/>
    <xf numFmtId="3" fontId="4" fillId="0" borderId="1" xfId="0" applyNumberFormat="1" applyFont="1" applyBorder="1"/>
    <xf numFmtId="4" fontId="4" fillId="2" borderId="0" xfId="0" applyNumberFormat="1" applyFont="1" applyFill="1" applyBorder="1" applyAlignment="1">
      <alignment horizontal="right"/>
    </xf>
    <xf numFmtId="3" fontId="6" fillId="2" borderId="0" xfId="0" applyNumberFormat="1" applyFont="1" applyFill="1" applyBorder="1" applyAlignment="1">
      <alignment horizontal="right"/>
    </xf>
    <xf numFmtId="2" fontId="4" fillId="2" borderId="1" xfId="0" applyNumberFormat="1" applyFont="1" applyFill="1" applyBorder="1" applyAlignment="1">
      <alignment horizontal="right"/>
    </xf>
    <xf numFmtId="2" fontId="4" fillId="2" borderId="0" xfId="0" applyNumberFormat="1" applyFont="1" applyFill="1" applyAlignment="1">
      <alignment horizontal="right"/>
    </xf>
    <xf numFmtId="2" fontId="4" fillId="2" borderId="0" xfId="0" applyNumberFormat="1" applyFont="1" applyFill="1" applyBorder="1" applyAlignment="1">
      <alignment horizontal="right"/>
    </xf>
    <xf numFmtId="3" fontId="6" fillId="2" borderId="1" xfId="0" applyNumberFormat="1" applyFont="1" applyFill="1" applyBorder="1" applyAlignment="1">
      <alignment horizontal="right"/>
    </xf>
    <xf numFmtId="3" fontId="6" fillId="2" borderId="0" xfId="0" applyNumberFormat="1" applyFont="1" applyFill="1" applyAlignment="1">
      <alignment horizontal="right"/>
    </xf>
    <xf numFmtId="4" fontId="4" fillId="2" borderId="1" xfId="0" applyNumberFormat="1" applyFont="1" applyFill="1" applyBorder="1" applyAlignment="1">
      <alignment horizontal="right"/>
    </xf>
    <xf numFmtId="3" fontId="4" fillId="0" borderId="0" xfId="0" applyNumberFormat="1" applyFont="1" applyFill="1" applyAlignment="1">
      <alignment horizontal="right"/>
    </xf>
    <xf numFmtId="0" fontId="4" fillId="0" borderId="0" xfId="0" applyFont="1" applyFill="1" applyAlignment="1">
      <alignment horizontal="right"/>
    </xf>
    <xf numFmtId="165" fontId="4" fillId="0" borderId="0" xfId="0" applyNumberFormat="1" applyFont="1" applyFill="1" applyAlignment="1">
      <alignment horizontal="right"/>
    </xf>
    <xf numFmtId="9" fontId="4" fillId="0" borderId="0" xfId="0" applyNumberFormat="1" applyFont="1" applyFill="1" applyAlignment="1">
      <alignment horizontal="right"/>
    </xf>
    <xf numFmtId="9" fontId="6" fillId="0" borderId="0" xfId="1" applyNumberFormat="1" applyFont="1" applyFill="1" applyBorder="1" applyAlignment="1">
      <alignment horizontal="right"/>
    </xf>
    <xf numFmtId="9" fontId="4" fillId="0" borderId="0" xfId="0" applyNumberFormat="1" applyFont="1" applyFill="1" applyBorder="1" applyAlignment="1">
      <alignment horizontal="right"/>
    </xf>
    <xf numFmtId="3" fontId="4" fillId="2" borderId="1" xfId="0" applyNumberFormat="1" applyFont="1" applyFill="1" applyBorder="1" applyAlignment="1">
      <alignment horizontal="right"/>
    </xf>
    <xf numFmtId="3" fontId="4" fillId="2" borderId="0" xfId="0" applyNumberFormat="1" applyFont="1" applyFill="1" applyAlignment="1">
      <alignment horizontal="right"/>
    </xf>
    <xf numFmtId="3" fontId="4" fillId="2" borderId="0" xfId="0" applyNumberFormat="1" applyFont="1" applyFill="1" applyBorder="1" applyAlignment="1">
      <alignment horizontal="right"/>
    </xf>
    <xf numFmtId="3" fontId="6" fillId="0" borderId="0" xfId="0" applyNumberFormat="1" applyFont="1"/>
    <xf numFmtId="4" fontId="4" fillId="0" borderId="0" xfId="0" applyNumberFormat="1" applyFont="1"/>
    <xf numFmtId="4" fontId="4" fillId="0" borderId="0" xfId="0" applyNumberFormat="1" applyFont="1" applyAlignment="1">
      <alignment horizontal="right"/>
    </xf>
    <xf numFmtId="3" fontId="4" fillId="0" borderId="0" xfId="0" applyNumberFormat="1" applyFont="1" applyFill="1" applyBorder="1" applyAlignment="1">
      <alignment horizontal="right"/>
    </xf>
    <xf numFmtId="0" fontId="5" fillId="0" borderId="0" xfId="0" applyFont="1" applyFill="1" applyBorder="1" applyAlignment="1">
      <alignment horizontal="right"/>
    </xf>
    <xf numFmtId="9" fontId="4" fillId="0" borderId="0" xfId="1" applyFont="1" applyFill="1" applyBorder="1" applyAlignment="1">
      <alignment horizontal="right"/>
    </xf>
    <xf numFmtId="0" fontId="4" fillId="0" borderId="0" xfId="0" applyFont="1" applyFill="1" applyBorder="1" applyAlignment="1">
      <alignment horizontal="right"/>
    </xf>
    <xf numFmtId="3" fontId="6" fillId="0" borderId="0" xfId="0" applyNumberFormat="1" applyFont="1" applyBorder="1"/>
    <xf numFmtId="3" fontId="6" fillId="2" borderId="0" xfId="0" applyNumberFormat="1" applyFont="1" applyFill="1" applyBorder="1"/>
    <xf numFmtId="2" fontId="4" fillId="0" borderId="0" xfId="0" applyNumberFormat="1" applyFont="1" applyBorder="1"/>
    <xf numFmtId="9" fontId="4" fillId="0" borderId="0" xfId="0" applyNumberFormat="1" applyFont="1" applyBorder="1"/>
    <xf numFmtId="9" fontId="4" fillId="0" borderId="0" xfId="1" applyFont="1" applyBorder="1"/>
    <xf numFmtId="9" fontId="6" fillId="0" borderId="0" xfId="1" applyFont="1" applyBorder="1"/>
    <xf numFmtId="2" fontId="4" fillId="2" borderId="0" xfId="0" applyNumberFormat="1" applyFont="1" applyFill="1" applyBorder="1"/>
    <xf numFmtId="3" fontId="4" fillId="2" borderId="0" xfId="0" applyNumberFormat="1" applyFont="1" applyFill="1"/>
    <xf numFmtId="3" fontId="5" fillId="2" borderId="0" xfId="0" applyNumberFormat="1" applyFont="1" applyFill="1" applyBorder="1"/>
    <xf numFmtId="165" fontId="5" fillId="0" borderId="0" xfId="0" applyNumberFormat="1" applyFont="1" applyAlignment="1">
      <alignment horizontal="right"/>
    </xf>
    <xf numFmtId="165" fontId="5" fillId="0" borderId="1" xfId="0" applyNumberFormat="1" applyFont="1" applyBorder="1" applyAlignment="1">
      <alignment horizontal="right"/>
    </xf>
    <xf numFmtId="165" fontId="5" fillId="0" borderId="0" xfId="0" applyNumberFormat="1" applyFont="1" applyBorder="1" applyAlignment="1">
      <alignment horizontal="right"/>
    </xf>
    <xf numFmtId="165" fontId="5" fillId="0" borderId="0" xfId="0" applyNumberFormat="1" applyFont="1" applyFill="1" applyAlignment="1">
      <alignment horizontal="right"/>
    </xf>
    <xf numFmtId="0" fontId="5" fillId="0" borderId="1" xfId="0" applyFont="1" applyBorder="1" applyAlignment="1">
      <alignment horizontal="right"/>
    </xf>
    <xf numFmtId="0" fontId="5" fillId="0" borderId="0" xfId="0" applyFont="1" applyBorder="1" applyAlignment="1">
      <alignment horizontal="right"/>
    </xf>
    <xf numFmtId="0" fontId="5" fillId="0" borderId="0" xfId="0" applyFont="1" applyAlignment="1">
      <alignment horizontal="right"/>
    </xf>
    <xf numFmtId="9" fontId="5" fillId="0" borderId="0" xfId="0" applyNumberFormat="1" applyFont="1" applyBorder="1"/>
    <xf numFmtId="14" fontId="4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</cellXfs>
  <cellStyles count="5">
    <cellStyle name="Followed Hyperlink" xfId="3" builtinId="9" hidden="1"/>
    <cellStyle name="Hyperlink" xfId="2" builtinId="8" hidden="1"/>
    <cellStyle name="Hyperlink" xfId="4" builtinId="8"/>
    <cellStyle name="Normal" xfId="0" builtinId="0"/>
    <cellStyle name="Per 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215900</xdr:colOff>
      <xdr:row>8</xdr:row>
      <xdr:rowOff>12700</xdr:rowOff>
    </xdr:from>
    <xdr:to>
      <xdr:col>6</xdr:col>
      <xdr:colOff>215900</xdr:colOff>
      <xdr:row>58</xdr:row>
      <xdr:rowOff>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>
          <a:off x="6019800" y="1333500"/>
          <a:ext cx="0" cy="8077200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287867</xdr:colOff>
      <xdr:row>1</xdr:row>
      <xdr:rowOff>0</xdr:rowOff>
    </xdr:from>
    <xdr:to>
      <xdr:col>22</xdr:col>
      <xdr:colOff>287867</xdr:colOff>
      <xdr:row>53</xdr:row>
      <xdr:rowOff>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CxnSpPr/>
      </xdr:nvCxnSpPr>
      <xdr:spPr>
        <a:xfrm>
          <a:off x="19287067" y="165100"/>
          <a:ext cx="0" cy="8585200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en.wikipedia.org/wiki/Evan_Spiegel" TargetMode="External"/><Relationship Id="rId2" Type="http://schemas.openxmlformats.org/officeDocument/2006/relationships/hyperlink" Target="https://en.wikipedia.org/wiki/Bobby_Murphy_(businessman)" TargetMode="External"/><Relationship Id="rId1" Type="http://schemas.openxmlformats.org/officeDocument/2006/relationships/hyperlink" Target="https://en.wikipedia.org/wiki/Evan_Spiegel" TargetMode="External"/><Relationship Id="rId5" Type="http://schemas.openxmlformats.org/officeDocument/2006/relationships/drawing" Target="../drawings/drawing1.xml"/><Relationship Id="rId4" Type="http://schemas.openxmlformats.org/officeDocument/2006/relationships/hyperlink" Target="https://investor.snap.com/company-profile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www.sec.gov/cgi-bin/browse-edgar?CIK=SNAP&amp;owner=exclude&amp;action=getcompan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L57"/>
  <sheetViews>
    <sheetView tabSelected="1" workbookViewId="0">
      <pane xSplit="1" ySplit="9" topLeftCell="B10" activePane="bottomRight" state="frozen"/>
      <selection pane="topRight" activeCell="B1" sqref="B1"/>
      <selection pane="bottomLeft" activeCell="A11" sqref="A11"/>
      <selection pane="bottomRight" activeCell="H43" sqref="H43"/>
    </sheetView>
  </sheetViews>
  <sheetFormatPr baseColWidth="10" defaultRowHeight="13" x14ac:dyDescent="0.15"/>
  <cols>
    <col min="1" max="1" width="22" style="1" bestFit="1" customWidth="1"/>
    <col min="2" max="16384" width="10.83203125" style="1"/>
  </cols>
  <sheetData>
    <row r="1" spans="1:22" x14ac:dyDescent="0.15">
      <c r="A1" s="15" t="s">
        <v>59</v>
      </c>
      <c r="B1" s="25" t="s">
        <v>64</v>
      </c>
    </row>
    <row r="2" spans="1:22" x14ac:dyDescent="0.15">
      <c r="B2" s="1" t="s">
        <v>65</v>
      </c>
      <c r="C2" s="2">
        <v>24.54</v>
      </c>
      <c r="D2" s="85">
        <v>44029</v>
      </c>
      <c r="E2" s="3" t="s">
        <v>37</v>
      </c>
      <c r="F2" s="4">
        <v>-5.0000000000000001E-3</v>
      </c>
      <c r="I2" s="42"/>
    </row>
    <row r="3" spans="1:22" x14ac:dyDescent="0.15">
      <c r="A3" s="25" t="s">
        <v>60</v>
      </c>
      <c r="B3" s="1" t="s">
        <v>17</v>
      </c>
      <c r="C3" s="5">
        <f>Reports!V21</f>
        <v>1426.3050000000001</v>
      </c>
      <c r="D3" s="86" t="s">
        <v>107</v>
      </c>
      <c r="E3" s="3" t="s">
        <v>38</v>
      </c>
      <c r="F3" s="4">
        <v>0.02</v>
      </c>
      <c r="G3" s="6"/>
      <c r="I3" s="42"/>
    </row>
    <row r="4" spans="1:22" x14ac:dyDescent="0.15">
      <c r="A4" s="15" t="s">
        <v>62</v>
      </c>
      <c r="B4" s="1" t="s">
        <v>66</v>
      </c>
      <c r="C4" s="7">
        <f>C2*C3</f>
        <v>35001.524700000002</v>
      </c>
      <c r="D4" s="86"/>
      <c r="E4" s="3" t="s">
        <v>39</v>
      </c>
      <c r="F4" s="4">
        <f>7%</f>
        <v>7.0000000000000007E-2</v>
      </c>
      <c r="G4" s="6"/>
      <c r="I4" s="14"/>
    </row>
    <row r="5" spans="1:22" x14ac:dyDescent="0.15">
      <c r="B5" s="1" t="s">
        <v>33</v>
      </c>
      <c r="C5" s="5">
        <f>Reports!V32</f>
        <v>1179</v>
      </c>
      <c r="D5" s="86" t="s">
        <v>107</v>
      </c>
      <c r="E5" s="3" t="s">
        <v>40</v>
      </c>
      <c r="F5" s="8">
        <f>NPV(F4,G26:DR26)</f>
        <v>46447.085389148495</v>
      </c>
      <c r="G5" s="6"/>
      <c r="I5" s="14"/>
    </row>
    <row r="6" spans="1:22" x14ac:dyDescent="0.15">
      <c r="A6" s="25" t="s">
        <v>61</v>
      </c>
      <c r="B6" s="1" t="s">
        <v>67</v>
      </c>
      <c r="C6" s="7">
        <f>C4-C5</f>
        <v>33822.524700000002</v>
      </c>
      <c r="D6" s="86"/>
      <c r="E6" s="9" t="s">
        <v>41</v>
      </c>
      <c r="F6" s="10">
        <f>F5+C5</f>
        <v>47626.085389148495</v>
      </c>
      <c r="I6" s="14"/>
    </row>
    <row r="7" spans="1:22" x14ac:dyDescent="0.15">
      <c r="A7" s="15" t="s">
        <v>62</v>
      </c>
      <c r="B7" s="6" t="s">
        <v>68</v>
      </c>
      <c r="C7" s="11">
        <f>C6/C3</f>
        <v>23.713388580983732</v>
      </c>
      <c r="D7" s="86"/>
      <c r="E7" s="12" t="s">
        <v>68</v>
      </c>
      <c r="F7" s="13">
        <f>F6/C3</f>
        <v>33.391234966678581</v>
      </c>
      <c r="G7" s="14">
        <f>F7/C2-1</f>
        <v>0.36068602146204487</v>
      </c>
    </row>
    <row r="8" spans="1:22" x14ac:dyDescent="0.15">
      <c r="A8" s="15" t="s">
        <v>63</v>
      </c>
    </row>
    <row r="9" spans="1:22" x14ac:dyDescent="0.15">
      <c r="B9" s="1">
        <v>2015</v>
      </c>
      <c r="C9" s="1">
        <v>2016</v>
      </c>
      <c r="D9" s="1">
        <v>2017</v>
      </c>
      <c r="E9" s="1">
        <f>D9+1</f>
        <v>2018</v>
      </c>
      <c r="F9" s="1">
        <f t="shared" ref="F9:V9" si="0">E9+1</f>
        <v>2019</v>
      </c>
      <c r="G9" s="1">
        <f t="shared" si="0"/>
        <v>2020</v>
      </c>
      <c r="H9" s="1">
        <f t="shared" si="0"/>
        <v>2021</v>
      </c>
      <c r="I9" s="1">
        <f t="shared" si="0"/>
        <v>2022</v>
      </c>
      <c r="J9" s="1">
        <f t="shared" si="0"/>
        <v>2023</v>
      </c>
      <c r="K9" s="1">
        <f t="shared" si="0"/>
        <v>2024</v>
      </c>
      <c r="L9" s="1">
        <f t="shared" si="0"/>
        <v>2025</v>
      </c>
      <c r="M9" s="1">
        <f t="shared" si="0"/>
        <v>2026</v>
      </c>
      <c r="N9" s="1">
        <f t="shared" si="0"/>
        <v>2027</v>
      </c>
      <c r="O9" s="1">
        <f t="shared" si="0"/>
        <v>2028</v>
      </c>
      <c r="P9" s="1">
        <f t="shared" si="0"/>
        <v>2029</v>
      </c>
      <c r="Q9" s="1">
        <f t="shared" si="0"/>
        <v>2030</v>
      </c>
      <c r="R9" s="1">
        <f t="shared" si="0"/>
        <v>2031</v>
      </c>
      <c r="S9" s="1">
        <f t="shared" si="0"/>
        <v>2032</v>
      </c>
      <c r="T9" s="1">
        <f t="shared" si="0"/>
        <v>2033</v>
      </c>
      <c r="U9" s="1">
        <f t="shared" si="0"/>
        <v>2034</v>
      </c>
      <c r="V9" s="1">
        <f t="shared" si="0"/>
        <v>2035</v>
      </c>
    </row>
    <row r="10" spans="1:22" x14ac:dyDescent="0.15">
      <c r="A10" s="1" t="s">
        <v>86</v>
      </c>
      <c r="B10" s="5">
        <v>58.662999999999997</v>
      </c>
      <c r="C10" s="5">
        <f>SUM(Reports!F3:I3)</f>
        <v>404.38199999999995</v>
      </c>
      <c r="D10" s="42">
        <f>SUM(Reports!J3:M3)</f>
        <v>824.79300000000001</v>
      </c>
      <c r="E10" s="42">
        <f>SUM(Reports!N3:Q3)</f>
        <v>1180.4259999999999</v>
      </c>
      <c r="F10" s="42">
        <f>SUM(Reports!R3:U3)</f>
        <v>1715.4540000000002</v>
      </c>
    </row>
    <row r="11" spans="1:22" x14ac:dyDescent="0.15">
      <c r="B11" s="5"/>
      <c r="C11" s="5"/>
    </row>
    <row r="12" spans="1:22" s="42" customFormat="1" x14ac:dyDescent="0.15">
      <c r="A12" s="42" t="s">
        <v>58</v>
      </c>
      <c r="B12" s="5">
        <v>107</v>
      </c>
      <c r="C12" s="5">
        <f>Reports!I5</f>
        <v>158</v>
      </c>
      <c r="D12" s="42">
        <f>Reports!M5</f>
        <v>187</v>
      </c>
      <c r="E12" s="42">
        <f>Reports!Q5</f>
        <v>186</v>
      </c>
      <c r="F12" s="42">
        <f>Reports!V5</f>
        <v>229</v>
      </c>
      <c r="G12" s="42">
        <f>F12*1.2</f>
        <v>274.8</v>
      </c>
      <c r="H12" s="42">
        <f t="shared" ref="H12:K12" si="1">G12*1.2</f>
        <v>329.76</v>
      </c>
      <c r="I12" s="42">
        <f t="shared" si="1"/>
        <v>395.71199999999999</v>
      </c>
      <c r="J12" s="42">
        <f t="shared" si="1"/>
        <v>474.85439999999994</v>
      </c>
      <c r="K12" s="42">
        <f t="shared" si="1"/>
        <v>569.82527999999991</v>
      </c>
    </row>
    <row r="13" spans="1:22" s="62" customFormat="1" x14ac:dyDescent="0.15">
      <c r="A13" s="62" t="s">
        <v>69</v>
      </c>
      <c r="B13" s="11">
        <f>B10/B12</f>
        <v>0.54825233644859805</v>
      </c>
      <c r="C13" s="11">
        <f>C10/C12</f>
        <v>2.5593797468354427</v>
      </c>
      <c r="D13" s="11">
        <f>D10/D12</f>
        <v>4.4106577540106953</v>
      </c>
      <c r="E13" s="11">
        <f>E10/E12</f>
        <v>6.3463763440860212</v>
      </c>
      <c r="F13" s="11">
        <f>F10/F12</f>
        <v>7.4910655021834067</v>
      </c>
      <c r="G13" s="62">
        <f>F13*1.15</f>
        <v>8.6147253275109179</v>
      </c>
      <c r="H13" s="62">
        <f t="shared" ref="H13:K13" si="2">G13*1.15</f>
        <v>9.9069341266375552</v>
      </c>
      <c r="I13" s="62">
        <f t="shared" si="2"/>
        <v>11.392974245633187</v>
      </c>
      <c r="J13" s="62">
        <f t="shared" si="2"/>
        <v>13.101920382478164</v>
      </c>
      <c r="K13" s="62">
        <f t="shared" si="2"/>
        <v>15.067208439849887</v>
      </c>
    </row>
    <row r="15" spans="1:22" x14ac:dyDescent="0.15">
      <c r="A15" s="25" t="s">
        <v>4</v>
      </c>
      <c r="B15" s="69">
        <f t="shared" ref="B15:K15" si="3">B13*B12</f>
        <v>58.66299999999999</v>
      </c>
      <c r="C15" s="69">
        <f t="shared" si="3"/>
        <v>404.38199999999995</v>
      </c>
      <c r="D15" s="69">
        <f t="shared" si="3"/>
        <v>824.79300000000001</v>
      </c>
      <c r="E15" s="69">
        <f t="shared" si="3"/>
        <v>1180.4259999999999</v>
      </c>
      <c r="F15" s="69">
        <f t="shared" si="3"/>
        <v>1715.4540000000002</v>
      </c>
      <c r="G15" s="68">
        <f t="shared" si="3"/>
        <v>2367.3265200000005</v>
      </c>
      <c r="H15" s="68">
        <f t="shared" si="3"/>
        <v>3266.9105976000001</v>
      </c>
      <c r="I15" s="68">
        <f t="shared" si="3"/>
        <v>4508.3366246879996</v>
      </c>
      <c r="J15" s="68">
        <f t="shared" si="3"/>
        <v>6221.5045420694387</v>
      </c>
      <c r="K15" s="68">
        <f t="shared" si="3"/>
        <v>8585.676268055824</v>
      </c>
      <c r="L15" s="68">
        <f t="shared" ref="L15:U15" si="4">K15*1.1</f>
        <v>9444.2438948614072</v>
      </c>
      <c r="M15" s="68">
        <f t="shared" si="4"/>
        <v>10388.668284347548</v>
      </c>
      <c r="N15" s="68">
        <f t="shared" si="4"/>
        <v>11427.535112782303</v>
      </c>
      <c r="O15" s="68">
        <f t="shared" si="4"/>
        <v>12570.288624060535</v>
      </c>
      <c r="P15" s="68">
        <f t="shared" si="4"/>
        <v>13827.317486466589</v>
      </c>
      <c r="Q15" s="68">
        <f t="shared" si="4"/>
        <v>15210.049235113249</v>
      </c>
      <c r="R15" s="68">
        <f t="shared" si="4"/>
        <v>16731.054158624574</v>
      </c>
      <c r="S15" s="68">
        <f t="shared" si="4"/>
        <v>18404.159574487032</v>
      </c>
      <c r="T15" s="68">
        <f t="shared" si="4"/>
        <v>20244.575531935738</v>
      </c>
      <c r="U15" s="68">
        <f t="shared" si="4"/>
        <v>22269.033085129315</v>
      </c>
      <c r="V15" s="68"/>
    </row>
    <row r="16" spans="1:22" x14ac:dyDescent="0.15">
      <c r="A16" s="1" t="s">
        <v>5</v>
      </c>
      <c r="B16" s="5">
        <f>182.341</f>
        <v>182.34100000000001</v>
      </c>
      <c r="C16" s="5">
        <f>SUM(Reports!F9:I9)</f>
        <v>451.65</v>
      </c>
      <c r="D16" s="42">
        <f>SUM(Reports!J9:M9)</f>
        <v>717.34599999999989</v>
      </c>
      <c r="E16" s="5">
        <f>SUM(Reports!N9:Q9)</f>
        <v>798.86500000000001</v>
      </c>
      <c r="F16" s="42">
        <f>SUM(Reports!R9:U9)</f>
        <v>895.25900000000001</v>
      </c>
      <c r="G16" s="5">
        <f>G15-G17</f>
        <v>1235.4574200000002</v>
      </c>
      <c r="H16" s="5">
        <f>H15-H17</f>
        <v>1704.9312396</v>
      </c>
      <c r="I16" s="5">
        <f t="shared" ref="I16:Q16" si="5">I15-I17</f>
        <v>2352.8051106479998</v>
      </c>
      <c r="J16" s="5">
        <f>J15-J17</f>
        <v>3246.8710526942391</v>
      </c>
      <c r="K16" s="5">
        <f t="shared" si="5"/>
        <v>4480.6820527180498</v>
      </c>
      <c r="L16" s="5">
        <f t="shared" si="5"/>
        <v>3777.6975579445634</v>
      </c>
      <c r="M16" s="5">
        <f t="shared" si="5"/>
        <v>4155.4673137390191</v>
      </c>
      <c r="N16" s="5">
        <f t="shared" si="5"/>
        <v>4571.0140451129218</v>
      </c>
      <c r="O16" s="5">
        <f t="shared" si="5"/>
        <v>5028.1154496242143</v>
      </c>
      <c r="P16" s="5">
        <f t="shared" si="5"/>
        <v>5530.9269945866363</v>
      </c>
      <c r="Q16" s="5">
        <f t="shared" si="5"/>
        <v>6084.0196940453006</v>
      </c>
      <c r="R16" s="5">
        <f t="shared" ref="R16:U16" si="6">R15-R17</f>
        <v>6692.4216634498298</v>
      </c>
      <c r="S16" s="5">
        <f t="shared" si="6"/>
        <v>7361.6638297948139</v>
      </c>
      <c r="T16" s="5">
        <f t="shared" si="6"/>
        <v>8097.8302127742954</v>
      </c>
      <c r="U16" s="5">
        <f t="shared" si="6"/>
        <v>8907.613234051727</v>
      </c>
      <c r="V16" s="5"/>
    </row>
    <row r="17" spans="1:194" x14ac:dyDescent="0.15">
      <c r="A17" s="1" t="s">
        <v>6</v>
      </c>
      <c r="B17" s="7">
        <f>B15-B16</f>
        <v>-123.67800000000003</v>
      </c>
      <c r="C17" s="76">
        <f>C15-C16</f>
        <v>-47.268000000000029</v>
      </c>
      <c r="D17" s="7">
        <f>D15-D16</f>
        <v>107.44700000000012</v>
      </c>
      <c r="E17" s="7">
        <f>E15-E16</f>
        <v>381.56099999999992</v>
      </c>
      <c r="F17" s="7">
        <f>F15-F16</f>
        <v>820.19500000000016</v>
      </c>
      <c r="G17" s="5">
        <f>G15*F30</f>
        <v>1131.8691000000003</v>
      </c>
      <c r="H17" s="5">
        <f>H15*G30</f>
        <v>1561.979358</v>
      </c>
      <c r="I17" s="5">
        <f>I15*H30</f>
        <v>2155.5315140399998</v>
      </c>
      <c r="J17" s="5">
        <f t="shared" ref="J17:K17" si="7">J15*I30</f>
        <v>2974.6334893751996</v>
      </c>
      <c r="K17" s="5">
        <f t="shared" si="7"/>
        <v>4104.9942153377742</v>
      </c>
      <c r="L17" s="5">
        <f t="shared" ref="L17:Q17" si="8">L15*0.6</f>
        <v>5666.5463369168438</v>
      </c>
      <c r="M17" s="5">
        <f t="shared" si="8"/>
        <v>6233.2009706085291</v>
      </c>
      <c r="N17" s="5">
        <f t="shared" si="8"/>
        <v>6856.5210676693814</v>
      </c>
      <c r="O17" s="5">
        <f t="shared" si="8"/>
        <v>7542.1731744363206</v>
      </c>
      <c r="P17" s="5">
        <f t="shared" si="8"/>
        <v>8296.3904918799526</v>
      </c>
      <c r="Q17" s="5">
        <f t="shared" si="8"/>
        <v>9126.0295410679482</v>
      </c>
      <c r="R17" s="5">
        <f t="shared" ref="R17:U17" si="9">R15*0.6</f>
        <v>10038.632495174745</v>
      </c>
      <c r="S17" s="5">
        <f t="shared" si="9"/>
        <v>11042.495744692218</v>
      </c>
      <c r="T17" s="5">
        <f t="shared" si="9"/>
        <v>12146.745319161442</v>
      </c>
      <c r="U17" s="5">
        <f t="shared" si="9"/>
        <v>13361.419851077588</v>
      </c>
      <c r="V17" s="5"/>
    </row>
    <row r="18" spans="1:194" x14ac:dyDescent="0.15">
      <c r="A18" s="1" t="s">
        <v>7</v>
      </c>
      <c r="B18" s="5">
        <v>82.234999999999999</v>
      </c>
      <c r="C18" s="5">
        <f>SUM(Reports!F11:I11)</f>
        <v>183.56399999999999</v>
      </c>
      <c r="D18" s="42">
        <f>SUM(Reports!J11:M11)</f>
        <v>1534.7380000000001</v>
      </c>
      <c r="E18" s="5">
        <f>SUM(Reports!N11:Q11)</f>
        <v>772.18499999999995</v>
      </c>
      <c r="F18" s="42">
        <f>SUM(Reports!R11:U11)</f>
        <v>884.38400000000001</v>
      </c>
      <c r="G18" s="5">
        <f>F18*1.2</f>
        <v>1061.2608</v>
      </c>
      <c r="H18" s="5">
        <f t="shared" ref="H18:K18" si="10">G18*1.2</f>
        <v>1273.51296</v>
      </c>
      <c r="I18" s="5">
        <f t="shared" si="10"/>
        <v>1528.2155519999999</v>
      </c>
      <c r="J18" s="5">
        <f t="shared" si="10"/>
        <v>1833.8586623999997</v>
      </c>
      <c r="K18" s="5">
        <f t="shared" si="10"/>
        <v>2200.6303948799996</v>
      </c>
      <c r="L18" s="5">
        <f>K18*1.05</f>
        <v>2310.6619146239996</v>
      </c>
      <c r="M18" s="5">
        <f t="shared" ref="M18:Q18" si="11">L18*1.05</f>
        <v>2426.1950103551994</v>
      </c>
      <c r="N18" s="5">
        <f t="shared" si="11"/>
        <v>2547.5047608729597</v>
      </c>
      <c r="O18" s="5">
        <f t="shared" si="11"/>
        <v>2674.8799989166077</v>
      </c>
      <c r="P18" s="5">
        <f t="shared" si="11"/>
        <v>2808.6239988624384</v>
      </c>
      <c r="Q18" s="5">
        <f t="shared" si="11"/>
        <v>2949.0551988055604</v>
      </c>
      <c r="R18" s="5">
        <f t="shared" ref="R18:U18" si="12">Q18*1.05</f>
        <v>3096.5079587458386</v>
      </c>
      <c r="S18" s="5">
        <f t="shared" si="12"/>
        <v>3251.3333566831307</v>
      </c>
      <c r="T18" s="5">
        <f t="shared" si="12"/>
        <v>3413.9000245172874</v>
      </c>
      <c r="U18" s="5">
        <f t="shared" si="12"/>
        <v>3584.5950257431518</v>
      </c>
      <c r="V18" s="5"/>
    </row>
    <row r="19" spans="1:194" x14ac:dyDescent="0.15">
      <c r="A19" s="1" t="s">
        <v>8</v>
      </c>
      <c r="B19" s="5">
        <v>27.216000000000001</v>
      </c>
      <c r="C19" s="5">
        <f>SUM(Reports!F12:I12)</f>
        <v>124.18900000000002</v>
      </c>
      <c r="D19" s="42">
        <f>SUM(Reports!J12:M12)</f>
        <v>522.55799999999999</v>
      </c>
      <c r="E19" s="5">
        <f>SUM(Reports!N12:Q12)</f>
        <v>400.82400000000001</v>
      </c>
      <c r="F19" s="42">
        <f>SUM(Reports!R12:U12)</f>
        <v>458.38600000000002</v>
      </c>
      <c r="G19" s="5">
        <f t="shared" ref="G19:K19" si="13">F19*1.1</f>
        <v>504.22460000000007</v>
      </c>
      <c r="H19" s="5">
        <f t="shared" si="13"/>
        <v>554.64706000000012</v>
      </c>
      <c r="I19" s="5">
        <f t="shared" si="13"/>
        <v>610.11176600000022</v>
      </c>
      <c r="J19" s="5">
        <f t="shared" si="13"/>
        <v>671.12294260000033</v>
      </c>
      <c r="K19" s="5">
        <f t="shared" si="13"/>
        <v>738.23523686000044</v>
      </c>
      <c r="L19" s="5">
        <f t="shared" ref="L19:U19" si="14">K19*1.02</f>
        <v>752.99994159720052</v>
      </c>
      <c r="M19" s="5">
        <f t="shared" si="14"/>
        <v>768.05994042914449</v>
      </c>
      <c r="N19" s="5">
        <f t="shared" si="14"/>
        <v>783.4211392377274</v>
      </c>
      <c r="O19" s="5">
        <f t="shared" si="14"/>
        <v>799.08956202248191</v>
      </c>
      <c r="P19" s="5">
        <f t="shared" si="14"/>
        <v>815.07135326293155</v>
      </c>
      <c r="Q19" s="5">
        <f t="shared" si="14"/>
        <v>831.37278032819017</v>
      </c>
      <c r="R19" s="5">
        <f t="shared" si="14"/>
        <v>848.00023593475396</v>
      </c>
      <c r="S19" s="5">
        <f t="shared" si="14"/>
        <v>864.96024065344909</v>
      </c>
      <c r="T19" s="5">
        <f t="shared" si="14"/>
        <v>882.25944546651806</v>
      </c>
      <c r="U19" s="5">
        <f t="shared" si="14"/>
        <v>899.90463437584845</v>
      </c>
      <c r="V19" s="5"/>
    </row>
    <row r="20" spans="1:194" x14ac:dyDescent="0.15">
      <c r="A20" s="1" t="s">
        <v>9</v>
      </c>
      <c r="B20" s="5">
        <v>148.6</v>
      </c>
      <c r="C20" s="5">
        <f>SUM(Reports!F13:I13)</f>
        <v>165.11599999999999</v>
      </c>
      <c r="D20" s="42">
        <f>SUM(Reports!J13:M13)</f>
        <v>1535.5150000000001</v>
      </c>
      <c r="E20" s="5">
        <f>SUM(Reports!N13:Q13)</f>
        <v>477.02199999999999</v>
      </c>
      <c r="F20" s="42">
        <f>SUM(Reports!R13:U13)</f>
        <v>581.29700000000003</v>
      </c>
      <c r="G20" s="5">
        <f>F20*1.15</f>
        <v>668.49154999999996</v>
      </c>
      <c r="H20" s="5">
        <f t="shared" ref="H20:K20" si="15">G20*1.15</f>
        <v>768.7652824999999</v>
      </c>
      <c r="I20" s="5">
        <f t="shared" si="15"/>
        <v>884.08007487499981</v>
      </c>
      <c r="J20" s="5">
        <f t="shared" si="15"/>
        <v>1016.6920861062497</v>
      </c>
      <c r="K20" s="5">
        <f t="shared" si="15"/>
        <v>1169.1958990221869</v>
      </c>
      <c r="L20" s="5">
        <f t="shared" ref="L20:U20" si="16">K20*1.01</f>
        <v>1180.8878580124087</v>
      </c>
      <c r="M20" s="5">
        <f t="shared" si="16"/>
        <v>1192.6967365925329</v>
      </c>
      <c r="N20" s="5">
        <f t="shared" si="16"/>
        <v>1204.6237039584582</v>
      </c>
      <c r="O20" s="5">
        <f t="shared" si="16"/>
        <v>1216.6699409980429</v>
      </c>
      <c r="P20" s="5">
        <f t="shared" si="16"/>
        <v>1228.8366404080234</v>
      </c>
      <c r="Q20" s="5">
        <f t="shared" si="16"/>
        <v>1241.1250068121037</v>
      </c>
      <c r="R20" s="5">
        <f t="shared" si="16"/>
        <v>1253.5362568802248</v>
      </c>
      <c r="S20" s="5">
        <f t="shared" si="16"/>
        <v>1266.0716194490269</v>
      </c>
      <c r="T20" s="5">
        <f t="shared" si="16"/>
        <v>1278.7323356435172</v>
      </c>
      <c r="U20" s="5">
        <f t="shared" si="16"/>
        <v>1291.5196589999523</v>
      </c>
      <c r="V20" s="5"/>
    </row>
    <row r="21" spans="1:194" x14ac:dyDescent="0.15">
      <c r="A21" s="1" t="s">
        <v>10</v>
      </c>
      <c r="B21" s="7">
        <f>SUM(B18:B20)</f>
        <v>258.05099999999999</v>
      </c>
      <c r="C21" s="7">
        <f>SUM(C18:C20)</f>
        <v>472.86900000000003</v>
      </c>
      <c r="D21" s="7">
        <f>SUM(D18:D20)</f>
        <v>3592.8110000000006</v>
      </c>
      <c r="E21" s="7">
        <f>SUM(E18:E20)</f>
        <v>1650.0309999999999</v>
      </c>
      <c r="F21" s="7">
        <f>SUM(F18:F20)</f>
        <v>1924.067</v>
      </c>
      <c r="G21" s="5">
        <f t="shared" ref="G21" si="17">SUM(G18:G20)</f>
        <v>2233.9769500000002</v>
      </c>
      <c r="H21" s="5">
        <f t="shared" ref="H21" si="18">SUM(H18:H20)</f>
        <v>2596.9253025000003</v>
      </c>
      <c r="I21" s="5">
        <f t="shared" ref="I21:Q21" si="19">SUM(I18:I20)</f>
        <v>3022.4073928749999</v>
      </c>
      <c r="J21" s="5">
        <f t="shared" si="19"/>
        <v>3521.6736911062499</v>
      </c>
      <c r="K21" s="5">
        <f t="shared" si="19"/>
        <v>4108.0615307621865</v>
      </c>
      <c r="L21" s="5">
        <f t="shared" si="19"/>
        <v>4244.5497142336089</v>
      </c>
      <c r="M21" s="5">
        <f t="shared" si="19"/>
        <v>4386.9516873768771</v>
      </c>
      <c r="N21" s="5">
        <f t="shared" si="19"/>
        <v>4535.5496040691451</v>
      </c>
      <c r="O21" s="5">
        <f t="shared" si="19"/>
        <v>4690.6395019371321</v>
      </c>
      <c r="P21" s="5">
        <f t="shared" si="19"/>
        <v>4852.5319925333933</v>
      </c>
      <c r="Q21" s="5">
        <f t="shared" si="19"/>
        <v>5021.5529859458538</v>
      </c>
      <c r="R21" s="5">
        <f t="shared" ref="R21:U21" si="20">SUM(R18:R20)</f>
        <v>5198.0444515608178</v>
      </c>
      <c r="S21" s="5">
        <f t="shared" si="20"/>
        <v>5382.3652167856071</v>
      </c>
      <c r="T21" s="5">
        <f t="shared" si="20"/>
        <v>5574.8918056273224</v>
      </c>
      <c r="U21" s="5">
        <f t="shared" si="20"/>
        <v>5776.0193191189528</v>
      </c>
      <c r="V21" s="5"/>
    </row>
    <row r="22" spans="1:194" x14ac:dyDescent="0.15">
      <c r="A22" s="1" t="s">
        <v>11</v>
      </c>
      <c r="B22" s="7">
        <f>B17-B21</f>
        <v>-381.72900000000004</v>
      </c>
      <c r="C22" s="7">
        <f>C17-C21</f>
        <v>-520.13700000000006</v>
      </c>
      <c r="D22" s="7">
        <f>D17-D21</f>
        <v>-3485.3640000000005</v>
      </c>
      <c r="E22" s="7">
        <f>E17-E21</f>
        <v>-1268.47</v>
      </c>
      <c r="F22" s="7">
        <f>F17-F21</f>
        <v>-1103.8719999999998</v>
      </c>
      <c r="G22" s="5">
        <f t="shared" ref="G22" si="21">G17-G21</f>
        <v>-1102.1078499999999</v>
      </c>
      <c r="H22" s="5">
        <f t="shared" ref="H22" si="22">H17-H21</f>
        <v>-1034.9459445000002</v>
      </c>
      <c r="I22" s="5">
        <f t="shared" ref="I22:Q22" si="23">I17-I21</f>
        <v>-866.87587883500009</v>
      </c>
      <c r="J22" s="5">
        <f t="shared" si="23"/>
        <v>-547.04020173105027</v>
      </c>
      <c r="K22" s="5">
        <f t="shared" si="23"/>
        <v>-3.0673154244122998</v>
      </c>
      <c r="L22" s="5">
        <f t="shared" si="23"/>
        <v>1421.9966226832348</v>
      </c>
      <c r="M22" s="5">
        <f t="shared" si="23"/>
        <v>1846.249283231652</v>
      </c>
      <c r="N22" s="5">
        <f t="shared" si="23"/>
        <v>2320.9714636002363</v>
      </c>
      <c r="O22" s="5">
        <f t="shared" si="23"/>
        <v>2851.5336724991885</v>
      </c>
      <c r="P22" s="5">
        <f t="shared" si="23"/>
        <v>3443.8584993465593</v>
      </c>
      <c r="Q22" s="5">
        <f t="shared" si="23"/>
        <v>4104.4765551220944</v>
      </c>
      <c r="R22" s="5">
        <f t="shared" ref="R22:U22" si="24">R17-R21</f>
        <v>4840.5880436139269</v>
      </c>
      <c r="S22" s="5">
        <f t="shared" si="24"/>
        <v>5660.130527906611</v>
      </c>
      <c r="T22" s="5">
        <f t="shared" si="24"/>
        <v>6571.8535135341199</v>
      </c>
      <c r="U22" s="5">
        <f t="shared" si="24"/>
        <v>7585.4005319586349</v>
      </c>
      <c r="V22" s="5"/>
    </row>
    <row r="23" spans="1:194" x14ac:dyDescent="0.15">
      <c r="A23" s="1" t="s">
        <v>12</v>
      </c>
      <c r="B23" s="5">
        <f>1.399-0.152</f>
        <v>1.2470000000000001</v>
      </c>
      <c r="C23" s="5">
        <f>SUM(Reports!F16:I16)</f>
        <v>-1.3050000000000002</v>
      </c>
      <c r="D23" s="42">
        <f>SUM(Reports!J16:M16)</f>
        <v>22.128999999999998</v>
      </c>
      <c r="E23" s="5">
        <f>SUM(Reports!N16:Q16)</f>
        <v>15.086000000000002</v>
      </c>
      <c r="F23" s="42">
        <f>SUM(Reports!R16:U16)</f>
        <v>68.655000000000001</v>
      </c>
      <c r="G23" s="5">
        <f>F40*($F$3)</f>
        <v>24.17464</v>
      </c>
      <c r="H23" s="5">
        <f>G40*($F$3)</f>
        <v>2.6085411818287367</v>
      </c>
      <c r="I23" s="5">
        <f t="shared" ref="I23:U23" si="25">H40*($F$3)</f>
        <v>-18.045327023654988</v>
      </c>
      <c r="J23" s="5">
        <f t="shared" si="25"/>
        <v>-35.743751140828088</v>
      </c>
      <c r="K23" s="5">
        <f t="shared" si="25"/>
        <v>-45.65107833965002</v>
      </c>
      <c r="L23" s="5">
        <f t="shared" si="25"/>
        <v>-46.479291033639086</v>
      </c>
      <c r="M23" s="5">
        <f t="shared" si="25"/>
        <v>-23.095496395595955</v>
      </c>
      <c r="N23" s="5">
        <f t="shared" si="25"/>
        <v>7.8981179806169983</v>
      </c>
      <c r="O23" s="5">
        <f t="shared" si="25"/>
        <v>47.488900867491502</v>
      </c>
      <c r="P23" s="5">
        <f t="shared" si="25"/>
        <v>96.772284614725066</v>
      </c>
      <c r="Q23" s="5">
        <f t="shared" si="25"/>
        <v>156.96300794206692</v>
      </c>
      <c r="R23" s="5">
        <f t="shared" si="25"/>
        <v>229.40748051415767</v>
      </c>
      <c r="S23" s="5">
        <f t="shared" si="25"/>
        <v>315.59740442433508</v>
      </c>
      <c r="T23" s="5">
        <f t="shared" si="25"/>
        <v>417.18477927396117</v>
      </c>
      <c r="U23" s="5">
        <f t="shared" si="25"/>
        <v>535.99843025169855</v>
      </c>
      <c r="V23" s="5"/>
    </row>
    <row r="24" spans="1:194" x14ac:dyDescent="0.15">
      <c r="A24" s="1" t="s">
        <v>13</v>
      </c>
      <c r="B24" s="7">
        <f>B22+B23</f>
        <v>-380.48200000000003</v>
      </c>
      <c r="C24" s="7">
        <f>C22+C23</f>
        <v>-521.44200000000001</v>
      </c>
      <c r="D24" s="7">
        <f>D22+D23</f>
        <v>-3463.2350000000006</v>
      </c>
      <c r="E24" s="7">
        <f>E22+E23</f>
        <v>-1253.384</v>
      </c>
      <c r="F24" s="7">
        <f>F22+F23</f>
        <v>-1035.2169999999999</v>
      </c>
      <c r="G24" s="5">
        <f t="shared" ref="G24" si="26">G22+G23</f>
        <v>-1077.9332099999999</v>
      </c>
      <c r="H24" s="5">
        <f t="shared" ref="H24" si="27">H22+H23</f>
        <v>-1032.3374033181715</v>
      </c>
      <c r="I24" s="5">
        <f t="shared" ref="I24:Q24" si="28">I22+I23</f>
        <v>-884.92120585865507</v>
      </c>
      <c r="J24" s="5">
        <f t="shared" si="28"/>
        <v>-582.78395287187834</v>
      </c>
      <c r="K24" s="5">
        <f t="shared" si="28"/>
        <v>-48.71839376406232</v>
      </c>
      <c r="L24" s="5">
        <f t="shared" si="28"/>
        <v>1375.5173316495957</v>
      </c>
      <c r="M24" s="5">
        <f t="shared" si="28"/>
        <v>1823.153786836056</v>
      </c>
      <c r="N24" s="5">
        <f t="shared" si="28"/>
        <v>2328.8695815808533</v>
      </c>
      <c r="O24" s="5">
        <f t="shared" si="28"/>
        <v>2899.0225733666798</v>
      </c>
      <c r="P24" s="5">
        <f t="shared" si="28"/>
        <v>3540.6307839612841</v>
      </c>
      <c r="Q24" s="5">
        <f t="shared" si="28"/>
        <v>4261.4395630641611</v>
      </c>
      <c r="R24" s="5">
        <f t="shared" ref="R24:U24" si="29">R22+R23</f>
        <v>5069.9955241280841</v>
      </c>
      <c r="S24" s="5">
        <f t="shared" si="29"/>
        <v>5975.7279323309458</v>
      </c>
      <c r="T24" s="5">
        <f t="shared" si="29"/>
        <v>6989.0382928080808</v>
      </c>
      <c r="U24" s="5">
        <f t="shared" si="29"/>
        <v>8121.3989622103336</v>
      </c>
      <c r="V24" s="5"/>
    </row>
    <row r="25" spans="1:194" x14ac:dyDescent="0.15">
      <c r="A25" s="1" t="s">
        <v>14</v>
      </c>
      <c r="B25" s="5">
        <v>-7.5890000000000004</v>
      </c>
      <c r="C25" s="5">
        <f>SUM(Reports!F18:I18)</f>
        <v>-6.9969999999999999</v>
      </c>
      <c r="D25" s="42">
        <f>SUM(Reports!J18:M18)</f>
        <v>-18.340000000000003</v>
      </c>
      <c r="E25" s="5">
        <f>SUM(Reports!N18:Q18)</f>
        <v>2.5470000000000002</v>
      </c>
      <c r="F25" s="5">
        <f>SUM(Reports!R18:U18)</f>
        <v>0.35700000000000021</v>
      </c>
      <c r="G25" s="5">
        <f t="shared" ref="G25" si="30">G24*F32</f>
        <v>0.3717309085631324</v>
      </c>
      <c r="H25" s="5">
        <f>H24*G32</f>
        <v>0.35600695601462057</v>
      </c>
      <c r="I25" s="5">
        <v>0</v>
      </c>
      <c r="J25" s="5">
        <f t="shared" ref="J25:U25" si="31">J24*0.15</f>
        <v>-87.417592930781751</v>
      </c>
      <c r="K25" s="5">
        <f t="shared" si="31"/>
        <v>-7.307759064609348</v>
      </c>
      <c r="L25" s="5">
        <f t="shared" si="31"/>
        <v>206.32759974743934</v>
      </c>
      <c r="M25" s="5">
        <f t="shared" si="31"/>
        <v>273.47306802540839</v>
      </c>
      <c r="N25" s="5">
        <f t="shared" si="31"/>
        <v>349.33043723712797</v>
      </c>
      <c r="O25" s="5">
        <f t="shared" si="31"/>
        <v>434.85338600500194</v>
      </c>
      <c r="P25" s="5">
        <f t="shared" si="31"/>
        <v>531.09461759419264</v>
      </c>
      <c r="Q25" s="5">
        <f t="shared" si="31"/>
        <v>639.21593445962412</v>
      </c>
      <c r="R25" s="5">
        <f t="shared" si="31"/>
        <v>760.49932861921263</v>
      </c>
      <c r="S25" s="5">
        <f t="shared" si="31"/>
        <v>896.35918984964189</v>
      </c>
      <c r="T25" s="5">
        <f t="shared" si="31"/>
        <v>1048.355743921212</v>
      </c>
      <c r="U25" s="5">
        <f t="shared" si="31"/>
        <v>1218.2098443315499</v>
      </c>
      <c r="V25" s="5"/>
    </row>
    <row r="26" spans="1:194" s="25" customFormat="1" x14ac:dyDescent="0.15">
      <c r="A26" s="25" t="s">
        <v>15</v>
      </c>
      <c r="B26" s="69">
        <f>B24-B25</f>
        <v>-372.89300000000003</v>
      </c>
      <c r="C26" s="69">
        <f>C24-C25</f>
        <v>-514.44500000000005</v>
      </c>
      <c r="D26" s="69">
        <f>D24-D25</f>
        <v>-3444.8950000000004</v>
      </c>
      <c r="E26" s="69">
        <f>E24-E25</f>
        <v>-1255.931</v>
      </c>
      <c r="F26" s="69">
        <f>F24-F25</f>
        <v>-1035.5739999999998</v>
      </c>
      <c r="G26" s="69">
        <f t="shared" ref="G26" si="32">G24-G25</f>
        <v>-1078.3049409085631</v>
      </c>
      <c r="H26" s="69">
        <f t="shared" ref="H26" si="33">H24-H25</f>
        <v>-1032.6934102741861</v>
      </c>
      <c r="I26" s="69">
        <f t="shared" ref="I26:Q26" si="34">I24-I25</f>
        <v>-884.92120585865507</v>
      </c>
      <c r="J26" s="69">
        <f t="shared" si="34"/>
        <v>-495.36635994109656</v>
      </c>
      <c r="K26" s="69">
        <f t="shared" si="34"/>
        <v>-41.41063469945297</v>
      </c>
      <c r="L26" s="69">
        <f t="shared" si="34"/>
        <v>1169.1897319021564</v>
      </c>
      <c r="M26" s="69">
        <f t="shared" si="34"/>
        <v>1549.6807188106477</v>
      </c>
      <c r="N26" s="69">
        <f t="shared" si="34"/>
        <v>1979.5391443437252</v>
      </c>
      <c r="O26" s="69">
        <f t="shared" si="34"/>
        <v>2464.1691873616778</v>
      </c>
      <c r="P26" s="69">
        <f t="shared" si="34"/>
        <v>3009.5361663670915</v>
      </c>
      <c r="Q26" s="69">
        <f t="shared" si="34"/>
        <v>3622.2236286045372</v>
      </c>
      <c r="R26" s="69">
        <f t="shared" ref="R26:U26" si="35">R24-R25</f>
        <v>4309.4961955088711</v>
      </c>
      <c r="S26" s="69">
        <f t="shared" si="35"/>
        <v>5079.3687424813043</v>
      </c>
      <c r="T26" s="69">
        <f t="shared" si="35"/>
        <v>5940.682548886869</v>
      </c>
      <c r="U26" s="69">
        <f t="shared" si="35"/>
        <v>6903.1891178787837</v>
      </c>
      <c r="V26" s="69">
        <f t="shared" ref="V26" si="36">U26*($F$2+1)</f>
        <v>6868.6731722893901</v>
      </c>
      <c r="W26" s="69">
        <f>V26*($F$2+1)</f>
        <v>6834.3298064279434</v>
      </c>
      <c r="X26" s="69">
        <f t="shared" ref="X26:CI26" si="37">W26*($F$2+1)</f>
        <v>6800.1581573958038</v>
      </c>
      <c r="Y26" s="69">
        <f t="shared" si="37"/>
        <v>6766.1573666088243</v>
      </c>
      <c r="Z26" s="69">
        <f t="shared" si="37"/>
        <v>6732.3265797757804</v>
      </c>
      <c r="AA26" s="69">
        <f t="shared" si="37"/>
        <v>6698.664946876901</v>
      </c>
      <c r="AB26" s="69">
        <f t="shared" si="37"/>
        <v>6665.1716221425168</v>
      </c>
      <c r="AC26" s="69">
        <f t="shared" si="37"/>
        <v>6631.8457640318038</v>
      </c>
      <c r="AD26" s="69">
        <f t="shared" si="37"/>
        <v>6598.6865352116447</v>
      </c>
      <c r="AE26" s="69">
        <f t="shared" si="37"/>
        <v>6565.6931025355861</v>
      </c>
      <c r="AF26" s="69">
        <f t="shared" si="37"/>
        <v>6532.864637022908</v>
      </c>
      <c r="AG26" s="69">
        <f t="shared" si="37"/>
        <v>6500.2003138377931</v>
      </c>
      <c r="AH26" s="69">
        <f t="shared" si="37"/>
        <v>6467.6993122686044</v>
      </c>
      <c r="AI26" s="69">
        <f t="shared" si="37"/>
        <v>6435.3608157072613</v>
      </c>
      <c r="AJ26" s="69">
        <f t="shared" si="37"/>
        <v>6403.1840116287249</v>
      </c>
      <c r="AK26" s="69">
        <f t="shared" si="37"/>
        <v>6371.1680915705811</v>
      </c>
      <c r="AL26" s="69">
        <f t="shared" si="37"/>
        <v>6339.3122511127285</v>
      </c>
      <c r="AM26" s="69">
        <f t="shared" si="37"/>
        <v>6307.6156898571644</v>
      </c>
      <c r="AN26" s="69">
        <f t="shared" si="37"/>
        <v>6276.077611407879</v>
      </c>
      <c r="AO26" s="69">
        <f t="shared" si="37"/>
        <v>6244.6972233508395</v>
      </c>
      <c r="AP26" s="69">
        <f t="shared" si="37"/>
        <v>6213.4737372340851</v>
      </c>
      <c r="AQ26" s="69">
        <f t="shared" si="37"/>
        <v>6182.406368547915</v>
      </c>
      <c r="AR26" s="69">
        <f t="shared" si="37"/>
        <v>6151.4943367051756</v>
      </c>
      <c r="AS26" s="69">
        <f t="shared" si="37"/>
        <v>6120.7368650216495</v>
      </c>
      <c r="AT26" s="69">
        <f t="shared" si="37"/>
        <v>6090.1331806965409</v>
      </c>
      <c r="AU26" s="69">
        <f t="shared" si="37"/>
        <v>6059.6825147930585</v>
      </c>
      <c r="AV26" s="69">
        <f t="shared" si="37"/>
        <v>6029.3841022190936</v>
      </c>
      <c r="AW26" s="69">
        <f t="shared" si="37"/>
        <v>5999.2371817079984</v>
      </c>
      <c r="AX26" s="69">
        <f t="shared" si="37"/>
        <v>5969.2409957994587</v>
      </c>
      <c r="AY26" s="69">
        <f t="shared" si="37"/>
        <v>5939.3947908204618</v>
      </c>
      <c r="AZ26" s="69">
        <f t="shared" si="37"/>
        <v>5909.6978168663591</v>
      </c>
      <c r="BA26" s="69">
        <f t="shared" si="37"/>
        <v>5880.1493277820273</v>
      </c>
      <c r="BB26" s="69">
        <f t="shared" si="37"/>
        <v>5850.748581143117</v>
      </c>
      <c r="BC26" s="69">
        <f t="shared" si="37"/>
        <v>5821.4948382374014</v>
      </c>
      <c r="BD26" s="69">
        <f t="shared" si="37"/>
        <v>5792.3873640462143</v>
      </c>
      <c r="BE26" s="69">
        <f t="shared" si="37"/>
        <v>5763.4254272259832</v>
      </c>
      <c r="BF26" s="69">
        <f t="shared" si="37"/>
        <v>5734.6083000898534</v>
      </c>
      <c r="BG26" s="69">
        <f t="shared" si="37"/>
        <v>5705.9352585894039</v>
      </c>
      <c r="BH26" s="69">
        <f t="shared" si="37"/>
        <v>5677.4055822964565</v>
      </c>
      <c r="BI26" s="69">
        <f t="shared" si="37"/>
        <v>5649.0185543849739</v>
      </c>
      <c r="BJ26" s="69">
        <f t="shared" si="37"/>
        <v>5620.7734616130492</v>
      </c>
      <c r="BK26" s="69">
        <f t="shared" si="37"/>
        <v>5592.6695943049835</v>
      </c>
      <c r="BL26" s="69">
        <f t="shared" si="37"/>
        <v>5564.7062463334587</v>
      </c>
      <c r="BM26" s="69">
        <f t="shared" si="37"/>
        <v>5536.8827151017913</v>
      </c>
      <c r="BN26" s="69">
        <f t="shared" si="37"/>
        <v>5509.1983015262822</v>
      </c>
      <c r="BO26" s="69">
        <f t="shared" si="37"/>
        <v>5481.6523100186505</v>
      </c>
      <c r="BP26" s="69">
        <f t="shared" si="37"/>
        <v>5454.2440484685576</v>
      </c>
      <c r="BQ26" s="69">
        <f t="shared" si="37"/>
        <v>5426.9728282262149</v>
      </c>
      <c r="BR26" s="69">
        <f t="shared" si="37"/>
        <v>5399.8379640850835</v>
      </c>
      <c r="BS26" s="69">
        <f t="shared" si="37"/>
        <v>5372.8387742646582</v>
      </c>
      <c r="BT26" s="69">
        <f t="shared" si="37"/>
        <v>5345.9745803933347</v>
      </c>
      <c r="BU26" s="69">
        <f t="shared" si="37"/>
        <v>5319.244707491368</v>
      </c>
      <c r="BV26" s="69">
        <f t="shared" si="37"/>
        <v>5292.6484839539107</v>
      </c>
      <c r="BW26" s="69">
        <f t="shared" si="37"/>
        <v>5266.1852415341409</v>
      </c>
      <c r="BX26" s="69">
        <f t="shared" si="37"/>
        <v>5239.85431532647</v>
      </c>
      <c r="BY26" s="69">
        <f t="shared" si="37"/>
        <v>5213.6550437498372</v>
      </c>
      <c r="BZ26" s="69">
        <f t="shared" si="37"/>
        <v>5187.5867685310877</v>
      </c>
      <c r="CA26" s="69">
        <f t="shared" si="37"/>
        <v>5161.6488346884325</v>
      </c>
      <c r="CB26" s="69">
        <f t="shared" si="37"/>
        <v>5135.8405905149903</v>
      </c>
      <c r="CC26" s="69">
        <f t="shared" si="37"/>
        <v>5110.1613875624153</v>
      </c>
      <c r="CD26" s="69">
        <f t="shared" si="37"/>
        <v>5084.6105806246032</v>
      </c>
      <c r="CE26" s="69">
        <f t="shared" si="37"/>
        <v>5059.1875277214804</v>
      </c>
      <c r="CF26" s="69">
        <f t="shared" si="37"/>
        <v>5033.8915900828733</v>
      </c>
      <c r="CG26" s="69">
        <f t="shared" si="37"/>
        <v>5008.7221321324587</v>
      </c>
      <c r="CH26" s="69">
        <f t="shared" si="37"/>
        <v>4983.6785214717966</v>
      </c>
      <c r="CI26" s="69">
        <f t="shared" si="37"/>
        <v>4958.7601288644373</v>
      </c>
      <c r="CJ26" s="69">
        <f t="shared" ref="CJ26:DR26" si="38">CI26*($F$2+1)</f>
        <v>4933.9663282201154</v>
      </c>
      <c r="CK26" s="69">
        <f t="shared" si="38"/>
        <v>4909.2964965790152</v>
      </c>
      <c r="CL26" s="69">
        <f t="shared" si="38"/>
        <v>4884.7500140961201</v>
      </c>
      <c r="CM26" s="69">
        <f t="shared" si="38"/>
        <v>4860.3262640256398</v>
      </c>
      <c r="CN26" s="69">
        <f t="shared" si="38"/>
        <v>4836.024632705512</v>
      </c>
      <c r="CO26" s="69">
        <f t="shared" si="38"/>
        <v>4811.8445095419847</v>
      </c>
      <c r="CP26" s="69">
        <f t="shared" si="38"/>
        <v>4787.7852869942744</v>
      </c>
      <c r="CQ26" s="69">
        <f t="shared" si="38"/>
        <v>4763.8463605593033</v>
      </c>
      <c r="CR26" s="69">
        <f t="shared" si="38"/>
        <v>4740.0271287565065</v>
      </c>
      <c r="CS26" s="69">
        <f t="shared" si="38"/>
        <v>4716.3269931127243</v>
      </c>
      <c r="CT26" s="69">
        <f t="shared" si="38"/>
        <v>4692.7453581471609</v>
      </c>
      <c r="CU26" s="69">
        <f t="shared" si="38"/>
        <v>4669.2816313564254</v>
      </c>
      <c r="CV26" s="69">
        <f t="shared" si="38"/>
        <v>4645.9352231996436</v>
      </c>
      <c r="CW26" s="69">
        <f t="shared" si="38"/>
        <v>4622.7055470836458</v>
      </c>
      <c r="CX26" s="69">
        <f t="shared" si="38"/>
        <v>4599.592019348228</v>
      </c>
      <c r="CY26" s="69">
        <f t="shared" si="38"/>
        <v>4576.5940592514871</v>
      </c>
      <c r="CZ26" s="69">
        <f t="shared" si="38"/>
        <v>4553.7110889552296</v>
      </c>
      <c r="DA26" s="69">
        <f t="shared" si="38"/>
        <v>4530.9425335104534</v>
      </c>
      <c r="DB26" s="69">
        <f t="shared" si="38"/>
        <v>4508.2878208429011</v>
      </c>
      <c r="DC26" s="69">
        <f t="shared" si="38"/>
        <v>4485.746381738687</v>
      </c>
      <c r="DD26" s="69">
        <f t="shared" si="38"/>
        <v>4463.3176498299936</v>
      </c>
      <c r="DE26" s="69">
        <f t="shared" si="38"/>
        <v>4441.0010615808433</v>
      </c>
      <c r="DF26" s="69">
        <f t="shared" si="38"/>
        <v>4418.7960562729386</v>
      </c>
      <c r="DG26" s="69">
        <f t="shared" si="38"/>
        <v>4396.702075991574</v>
      </c>
      <c r="DH26" s="69">
        <f t="shared" si="38"/>
        <v>4374.7185656116162</v>
      </c>
      <c r="DI26" s="69">
        <f t="shared" si="38"/>
        <v>4352.8449727835578</v>
      </c>
      <c r="DJ26" s="69">
        <f t="shared" si="38"/>
        <v>4331.0807479196401</v>
      </c>
      <c r="DK26" s="69">
        <f t="shared" si="38"/>
        <v>4309.425344180042</v>
      </c>
      <c r="DL26" s="69">
        <f t="shared" si="38"/>
        <v>4287.8782174591415</v>
      </c>
      <c r="DM26" s="69">
        <f t="shared" si="38"/>
        <v>4266.4388263718456</v>
      </c>
      <c r="DN26" s="69">
        <f t="shared" si="38"/>
        <v>4245.1066322399865</v>
      </c>
      <c r="DO26" s="69">
        <f t="shared" si="38"/>
        <v>4223.881099078787</v>
      </c>
      <c r="DP26" s="69">
        <f t="shared" si="38"/>
        <v>4202.761693583393</v>
      </c>
      <c r="DQ26" s="69">
        <f t="shared" si="38"/>
        <v>4181.7478851154765</v>
      </c>
      <c r="DR26" s="69">
        <f t="shared" si="38"/>
        <v>4160.8391456898989</v>
      </c>
      <c r="DS26" s="69">
        <f t="shared" ref="DS26" si="39">DR26*($F$2+1)</f>
        <v>4140.0349499614495</v>
      </c>
      <c r="DT26" s="69">
        <f t="shared" ref="DT26" si="40">DS26*($F$2+1)</f>
        <v>4119.3347752116424</v>
      </c>
      <c r="DU26" s="69">
        <f t="shared" ref="DU26" si="41">DT26*($F$2+1)</f>
        <v>4098.7381013355844</v>
      </c>
      <c r="DV26" s="69">
        <f t="shared" ref="DV26" si="42">DU26*($F$2+1)</f>
        <v>4078.2444108289064</v>
      </c>
      <c r="DW26" s="69">
        <f t="shared" ref="DW26" si="43">DV26*($F$2+1)</f>
        <v>4057.8531887747617</v>
      </c>
      <c r="DX26" s="69">
        <f t="shared" ref="DX26" si="44">DW26*($F$2+1)</f>
        <v>4037.5639228308878</v>
      </c>
      <c r="DY26" s="69">
        <f t="shared" ref="DY26" si="45">DX26*($F$2+1)</f>
        <v>4017.3761032167336</v>
      </c>
      <c r="DZ26" s="69">
        <f t="shared" ref="DZ26" si="46">DY26*($F$2+1)</f>
        <v>3997.28922270065</v>
      </c>
      <c r="EA26" s="69">
        <f t="shared" ref="EA26" si="47">DZ26*($F$2+1)</f>
        <v>3977.3027765871466</v>
      </c>
      <c r="EB26" s="69">
        <f t="shared" ref="EB26" si="48">EA26*($F$2+1)</f>
        <v>3957.416262704211</v>
      </c>
      <c r="EC26" s="69">
        <f t="shared" ref="EC26" si="49">EB26*($F$2+1)</f>
        <v>3937.6291813906901</v>
      </c>
      <c r="ED26" s="69">
        <f t="shared" ref="ED26" si="50">EC26*($F$2+1)</f>
        <v>3917.9410354837364</v>
      </c>
      <c r="EE26" s="69">
        <f t="shared" ref="EE26" si="51">ED26*($F$2+1)</f>
        <v>3898.3513303063178</v>
      </c>
      <c r="EF26" s="69">
        <f t="shared" ref="EF26" si="52">EE26*($F$2+1)</f>
        <v>3878.8595736547863</v>
      </c>
      <c r="EG26" s="69">
        <f t="shared" ref="EG26" si="53">EF26*($F$2+1)</f>
        <v>3859.4652757865124</v>
      </c>
      <c r="EH26" s="69">
        <f t="shared" ref="EH26" si="54">EG26*($F$2+1)</f>
        <v>3840.1679494075797</v>
      </c>
      <c r="EI26" s="69">
        <f t="shared" ref="EI26" si="55">EH26*($F$2+1)</f>
        <v>3820.9671096605416</v>
      </c>
      <c r="EJ26" s="69">
        <f t="shared" ref="EJ26" si="56">EI26*($F$2+1)</f>
        <v>3801.862274112239</v>
      </c>
      <c r="EK26" s="69">
        <f t="shared" ref="EK26" si="57">EJ26*($F$2+1)</f>
        <v>3782.8529627416779</v>
      </c>
      <c r="EL26" s="69">
        <f t="shared" ref="EL26" si="58">EK26*($F$2+1)</f>
        <v>3763.9386979279693</v>
      </c>
      <c r="EM26" s="69">
        <f t="shared" ref="EM26" si="59">EL26*($F$2+1)</f>
        <v>3745.1190044383293</v>
      </c>
      <c r="EN26" s="69">
        <f t="shared" ref="EN26" si="60">EM26*($F$2+1)</f>
        <v>3726.3934094161377</v>
      </c>
      <c r="EO26" s="69">
        <f t="shared" ref="EO26" si="61">EN26*($F$2+1)</f>
        <v>3707.761442369057</v>
      </c>
      <c r="EP26" s="69">
        <f t="shared" ref="EP26" si="62">EO26*($F$2+1)</f>
        <v>3689.2226351572117</v>
      </c>
      <c r="EQ26" s="69">
        <f t="shared" ref="EQ26" si="63">EP26*($F$2+1)</f>
        <v>3670.7765219814255</v>
      </c>
      <c r="ER26" s="69">
        <f t="shared" ref="ER26" si="64">EQ26*($F$2+1)</f>
        <v>3652.4226393715185</v>
      </c>
      <c r="ES26" s="69">
        <f t="shared" ref="ES26" si="65">ER26*($F$2+1)</f>
        <v>3634.1605261746608</v>
      </c>
      <c r="ET26" s="69">
        <f t="shared" ref="ET26" si="66">ES26*($F$2+1)</f>
        <v>3615.9897235437875</v>
      </c>
      <c r="EU26" s="69">
        <f t="shared" ref="EU26" si="67">ET26*($F$2+1)</f>
        <v>3597.9097749260686</v>
      </c>
      <c r="EV26" s="69">
        <f t="shared" ref="EV26" si="68">EU26*($F$2+1)</f>
        <v>3579.9202260514385</v>
      </c>
      <c r="EW26" s="69">
        <f t="shared" ref="EW26" si="69">EV26*($F$2+1)</f>
        <v>3562.0206249211815</v>
      </c>
      <c r="EX26" s="69">
        <f t="shared" ref="EX26" si="70">EW26*($F$2+1)</f>
        <v>3544.2105217965754</v>
      </c>
      <c r="EY26" s="69">
        <f t="shared" ref="EY26" si="71">EX26*($F$2+1)</f>
        <v>3526.4894691875925</v>
      </c>
      <c r="EZ26" s="69">
        <f t="shared" ref="EZ26" si="72">EY26*($F$2+1)</f>
        <v>3508.8570218416544</v>
      </c>
      <c r="FA26" s="69">
        <f t="shared" ref="FA26" si="73">EZ26*($F$2+1)</f>
        <v>3491.312736732446</v>
      </c>
      <c r="FB26" s="69">
        <f t="shared" ref="FB26" si="74">FA26*($F$2+1)</f>
        <v>3473.8561730487836</v>
      </c>
      <c r="FC26" s="69">
        <f t="shared" ref="FC26" si="75">FB26*($F$2+1)</f>
        <v>3456.4868921835396</v>
      </c>
      <c r="FD26" s="69">
        <f t="shared" ref="FD26" si="76">FC26*($F$2+1)</f>
        <v>3439.204457722622</v>
      </c>
      <c r="FE26" s="69">
        <f t="shared" ref="FE26" si="77">FD26*($F$2+1)</f>
        <v>3422.0084354340088</v>
      </c>
      <c r="FF26" s="69">
        <f t="shared" ref="FF26" si="78">FE26*($F$2+1)</f>
        <v>3404.8983932568385</v>
      </c>
      <c r="FG26" s="69">
        <f t="shared" ref="FG26" si="79">FF26*($F$2+1)</f>
        <v>3387.8739012905544</v>
      </c>
      <c r="FH26" s="69">
        <f t="shared" ref="FH26" si="80">FG26*($F$2+1)</f>
        <v>3370.9345317841016</v>
      </c>
      <c r="FI26" s="69">
        <f t="shared" ref="FI26" si="81">FH26*($F$2+1)</f>
        <v>3354.079859125181</v>
      </c>
      <c r="FJ26" s="69">
        <f t="shared" ref="FJ26" si="82">FI26*($F$2+1)</f>
        <v>3337.3094598295552</v>
      </c>
      <c r="FK26" s="69">
        <f t="shared" ref="FK26" si="83">FJ26*($F$2+1)</f>
        <v>3320.6229125304076</v>
      </c>
      <c r="FL26" s="69">
        <f t="shared" ref="FL26" si="84">FK26*($F$2+1)</f>
        <v>3304.0197979677555</v>
      </c>
      <c r="FM26" s="69">
        <f t="shared" ref="FM26" si="85">FL26*($F$2+1)</f>
        <v>3287.4996989779165</v>
      </c>
      <c r="FN26" s="69">
        <f t="shared" ref="FN26" si="86">FM26*($F$2+1)</f>
        <v>3271.062200483027</v>
      </c>
      <c r="FO26" s="69">
        <f t="shared" ref="FO26" si="87">FN26*($F$2+1)</f>
        <v>3254.7068894806121</v>
      </c>
      <c r="FP26" s="69">
        <f t="shared" ref="FP26" si="88">FO26*($F$2+1)</f>
        <v>3238.433355033209</v>
      </c>
      <c r="FQ26" s="69">
        <f t="shared" ref="FQ26" si="89">FP26*($F$2+1)</f>
        <v>3222.2411882580427</v>
      </c>
      <c r="FR26" s="69">
        <f t="shared" ref="FR26" si="90">FQ26*($F$2+1)</f>
        <v>3206.1299823167524</v>
      </c>
      <c r="FS26" s="69">
        <f t="shared" ref="FS26" si="91">FR26*($F$2+1)</f>
        <v>3190.0993324051688</v>
      </c>
      <c r="FT26" s="69">
        <f t="shared" ref="FT26" si="92">FS26*($F$2+1)</f>
        <v>3174.1488357431431</v>
      </c>
      <c r="FU26" s="69">
        <f t="shared" ref="FU26" si="93">FT26*($F$2+1)</f>
        <v>3158.2780915644275</v>
      </c>
      <c r="FV26" s="69">
        <f t="shared" ref="FV26" si="94">FU26*($F$2+1)</f>
        <v>3142.4867011066053</v>
      </c>
      <c r="FW26" s="69">
        <f t="shared" ref="FW26" si="95">FV26*($F$2+1)</f>
        <v>3126.7742676010721</v>
      </c>
      <c r="FX26" s="69">
        <f t="shared" ref="FX26" si="96">FW26*($F$2+1)</f>
        <v>3111.1403962630666</v>
      </c>
      <c r="FY26" s="69">
        <f t="shared" ref="FY26" si="97">FX26*($F$2+1)</f>
        <v>3095.5846942817511</v>
      </c>
      <c r="FZ26" s="69">
        <f t="shared" ref="FZ26" si="98">FY26*($F$2+1)</f>
        <v>3080.1067708103424</v>
      </c>
      <c r="GA26" s="69">
        <f t="shared" ref="GA26" si="99">FZ26*($F$2+1)</f>
        <v>3064.7062369562905</v>
      </c>
      <c r="GB26" s="69">
        <f t="shared" ref="GB26" si="100">GA26*($F$2+1)</f>
        <v>3049.3827057715089</v>
      </c>
      <c r="GC26" s="69">
        <f t="shared" ref="GC26" si="101">GB26*($F$2+1)</f>
        <v>3034.1357922426514</v>
      </c>
      <c r="GD26" s="69">
        <f t="shared" ref="GD26" si="102">GC26*($F$2+1)</f>
        <v>3018.9651132814383</v>
      </c>
      <c r="GE26" s="69">
        <f t="shared" ref="GE26" si="103">GD26*($F$2+1)</f>
        <v>3003.8702877150313</v>
      </c>
      <c r="GF26" s="69">
        <f t="shared" ref="GF26" si="104">GE26*($F$2+1)</f>
        <v>2988.8509362764562</v>
      </c>
      <c r="GG26" s="69">
        <f t="shared" ref="GG26" si="105">GF26*($F$2+1)</f>
        <v>2973.9066815950737</v>
      </c>
      <c r="GH26" s="69">
        <f t="shared" ref="GH26" si="106">GG26*($F$2+1)</f>
        <v>2959.0371481870984</v>
      </c>
      <c r="GI26" s="69">
        <f t="shared" ref="GI26" si="107">GH26*($F$2+1)</f>
        <v>2944.2419624461627</v>
      </c>
      <c r="GJ26" s="69">
        <f t="shared" ref="GJ26" si="108">GI26*($F$2+1)</f>
        <v>2929.5207526339318</v>
      </c>
      <c r="GK26" s="69">
        <f t="shared" ref="GK26" si="109">GJ26*($F$2+1)</f>
        <v>2914.8731488707622</v>
      </c>
      <c r="GL26" s="69">
        <f t="shared" ref="GL26" si="110">GK26*($F$2+1)</f>
        <v>2900.2987831264086</v>
      </c>
    </row>
    <row r="27" spans="1:194" x14ac:dyDescent="0.15">
      <c r="A27" s="1" t="s">
        <v>16</v>
      </c>
      <c r="B27" s="74">
        <f>B26/B28</f>
        <v>-0.51</v>
      </c>
      <c r="C27" s="74">
        <f>C26/C28</f>
        <v>-0.60542528465091661</v>
      </c>
      <c r="D27" s="74">
        <f>D26/D28</f>
        <v>-2.7559553707910114</v>
      </c>
      <c r="E27" s="74">
        <f>E26/E28</f>
        <v>-0.94797404702994592</v>
      </c>
      <c r="F27" s="74">
        <f>F26/F28</f>
        <v>-0.73470027718675646</v>
      </c>
      <c r="G27" s="70">
        <f t="shared" ref="G27" si="111">G26/G28</f>
        <v>-0.76501625086895819</v>
      </c>
      <c r="H27" s="70">
        <f t="shared" ref="H27" si="112">H26/H28</f>
        <v>-0.73265660858362758</v>
      </c>
      <c r="I27" s="70">
        <f t="shared" ref="I27:Q27" si="113">I26/I28</f>
        <v>-0.62781786258904992</v>
      </c>
      <c r="J27" s="70">
        <f t="shared" si="113"/>
        <v>-0.35144354914059089</v>
      </c>
      <c r="K27" s="70">
        <f t="shared" si="113"/>
        <v>-2.9379266756569419E-2</v>
      </c>
      <c r="L27" s="70">
        <f t="shared" si="113"/>
        <v>0.82949554557416849</v>
      </c>
      <c r="M27" s="70">
        <f t="shared" si="113"/>
        <v>1.0994393965676572</v>
      </c>
      <c r="N27" s="70">
        <f t="shared" si="113"/>
        <v>1.4044075633912882</v>
      </c>
      <c r="O27" s="70">
        <f t="shared" si="113"/>
        <v>1.748234104940535</v>
      </c>
      <c r="P27" s="70">
        <f t="shared" si="113"/>
        <v>2.1351511872965823</v>
      </c>
      <c r="Q27" s="70">
        <f t="shared" si="113"/>
        <v>2.5698295862663341</v>
      </c>
      <c r="R27" s="70">
        <f t="shared" ref="R27:U27" si="114">R26/R28</f>
        <v>3.0574232738323293</v>
      </c>
      <c r="S27" s="70">
        <f t="shared" si="114"/>
        <v>3.6036184985667483</v>
      </c>
      <c r="T27" s="70">
        <f t="shared" si="114"/>
        <v>4.214687811151796</v>
      </c>
      <c r="U27" s="70">
        <f t="shared" si="114"/>
        <v>4.8975495313499025</v>
      </c>
      <c r="V27" s="70"/>
    </row>
    <row r="28" spans="1:194" x14ac:dyDescent="0.15">
      <c r="A28" s="1" t="s">
        <v>17</v>
      </c>
      <c r="B28" s="5">
        <f>B26/-0.51</f>
        <v>731.1627450980393</v>
      </c>
      <c r="C28" s="5">
        <f>Reports!I21</f>
        <v>849.72499999999991</v>
      </c>
      <c r="D28" s="5">
        <f>Reports!M21</f>
        <v>1249.9821428571429</v>
      </c>
      <c r="E28" s="5">
        <f>Reports!Q21</f>
        <v>1324.8579999999999</v>
      </c>
      <c r="F28" s="5">
        <f>Reports!U21</f>
        <v>1409.519</v>
      </c>
      <c r="G28" s="5">
        <f t="shared" ref="G28" si="115">F28</f>
        <v>1409.519</v>
      </c>
      <c r="H28" s="5">
        <f t="shared" ref="H28" si="116">G28</f>
        <v>1409.519</v>
      </c>
      <c r="I28" s="5">
        <f t="shared" ref="I28" si="117">H28</f>
        <v>1409.519</v>
      </c>
      <c r="J28" s="5">
        <f t="shared" ref="J28" si="118">I28</f>
        <v>1409.519</v>
      </c>
      <c r="K28" s="5">
        <f t="shared" ref="K28" si="119">J28</f>
        <v>1409.519</v>
      </c>
      <c r="L28" s="5">
        <f t="shared" ref="L28" si="120">K28</f>
        <v>1409.519</v>
      </c>
      <c r="M28" s="5">
        <f t="shared" ref="M28" si="121">L28</f>
        <v>1409.519</v>
      </c>
      <c r="N28" s="5">
        <f t="shared" ref="N28" si="122">M28</f>
        <v>1409.519</v>
      </c>
      <c r="O28" s="5">
        <f t="shared" ref="O28" si="123">N28</f>
        <v>1409.519</v>
      </c>
      <c r="P28" s="5">
        <f t="shared" ref="P28" si="124">O28</f>
        <v>1409.519</v>
      </c>
      <c r="Q28" s="5">
        <f t="shared" ref="Q28:U28" si="125">P28</f>
        <v>1409.519</v>
      </c>
      <c r="R28" s="5">
        <f t="shared" si="125"/>
        <v>1409.519</v>
      </c>
      <c r="S28" s="5">
        <f t="shared" si="125"/>
        <v>1409.519</v>
      </c>
      <c r="T28" s="5">
        <f t="shared" si="125"/>
        <v>1409.519</v>
      </c>
      <c r="U28" s="5">
        <f t="shared" si="125"/>
        <v>1409.519</v>
      </c>
      <c r="V28" s="5"/>
    </row>
    <row r="29" spans="1:194" x14ac:dyDescent="0.15"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</row>
    <row r="30" spans="1:194" x14ac:dyDescent="0.15">
      <c r="A30" s="1" t="s">
        <v>19</v>
      </c>
      <c r="B30" s="71">
        <f t="shared" ref="B30:Q30" si="126">IFERROR(B17/B15,0)</f>
        <v>-2.1082794947411494</v>
      </c>
      <c r="C30" s="71">
        <f t="shared" si="126"/>
        <v>-0.11688947579269116</v>
      </c>
      <c r="D30" s="71">
        <f t="shared" si="126"/>
        <v>0.1302714741759449</v>
      </c>
      <c r="E30" s="71">
        <f t="shared" si="126"/>
        <v>0.32324008451186265</v>
      </c>
      <c r="F30" s="71">
        <f>IFERROR(F17/F15,0)</f>
        <v>0.47812124370574793</v>
      </c>
      <c r="G30" s="71">
        <f t="shared" si="126"/>
        <v>0.47812124370574788</v>
      </c>
      <c r="H30" s="71">
        <f t="shared" si="126"/>
        <v>0.47812124370574788</v>
      </c>
      <c r="I30" s="71">
        <f t="shared" si="126"/>
        <v>0.47812124370574788</v>
      </c>
      <c r="J30" s="71">
        <f>IFERROR(J17/J15,0)</f>
        <v>0.47812124370574788</v>
      </c>
      <c r="K30" s="71">
        <f t="shared" si="126"/>
        <v>0.47812124370574782</v>
      </c>
      <c r="L30" s="71">
        <f t="shared" si="126"/>
        <v>0.6</v>
      </c>
      <c r="M30" s="71">
        <f t="shared" si="126"/>
        <v>0.6</v>
      </c>
      <c r="N30" s="71">
        <f t="shared" si="126"/>
        <v>0.6</v>
      </c>
      <c r="O30" s="71">
        <f t="shared" si="126"/>
        <v>0.6</v>
      </c>
      <c r="P30" s="71">
        <f t="shared" si="126"/>
        <v>0.6</v>
      </c>
      <c r="Q30" s="71">
        <f t="shared" si="126"/>
        <v>0.6</v>
      </c>
      <c r="R30" s="71">
        <f t="shared" ref="R30:U30" si="127">IFERROR(R17/R15,0)</f>
        <v>0.6</v>
      </c>
      <c r="S30" s="71">
        <f t="shared" si="127"/>
        <v>0.6</v>
      </c>
      <c r="T30" s="71">
        <f t="shared" si="127"/>
        <v>0.6</v>
      </c>
      <c r="U30" s="71">
        <f t="shared" si="127"/>
        <v>0.6</v>
      </c>
      <c r="V30" s="71"/>
    </row>
    <row r="31" spans="1:194" x14ac:dyDescent="0.15">
      <c r="A31" s="1" t="s">
        <v>20</v>
      </c>
      <c r="B31" s="72">
        <f t="shared" ref="B31:Q31" si="128">IFERROR(B22/B15,0)</f>
        <v>-6.5071510151202654</v>
      </c>
      <c r="C31" s="72">
        <f t="shared" si="128"/>
        <v>-1.2862516135733049</v>
      </c>
      <c r="D31" s="72">
        <f t="shared" si="128"/>
        <v>-4.225743913927495</v>
      </c>
      <c r="E31" s="72">
        <f t="shared" si="128"/>
        <v>-1.0745866322835993</v>
      </c>
      <c r="F31" s="72">
        <f t="shared" si="128"/>
        <v>-0.64348679708112244</v>
      </c>
      <c r="G31" s="72">
        <f t="shared" si="128"/>
        <v>-0.46554957277291836</v>
      </c>
      <c r="H31" s="72">
        <f t="shared" si="128"/>
        <v>-0.31679653102852334</v>
      </c>
      <c r="I31" s="72">
        <f t="shared" si="128"/>
        <v>-0.19228286416944129</v>
      </c>
      <c r="J31" s="72">
        <f t="shared" si="128"/>
        <v>-8.7927316942710138E-2</v>
      </c>
      <c r="K31" s="72">
        <f t="shared" si="128"/>
        <v>-3.5725961807163214E-4</v>
      </c>
      <c r="L31" s="72">
        <f t="shared" si="128"/>
        <v>0.15056754553500468</v>
      </c>
      <c r="M31" s="72">
        <f t="shared" si="128"/>
        <v>0.17771760852287183</v>
      </c>
      <c r="N31" s="72">
        <f t="shared" si="128"/>
        <v>0.20310342000210588</v>
      </c>
      <c r="O31" s="72">
        <f t="shared" si="128"/>
        <v>0.22684711208946512</v>
      </c>
      <c r="P31" s="72">
        <f t="shared" si="128"/>
        <v>0.24906193863829459</v>
      </c>
      <c r="Q31" s="72">
        <f t="shared" si="128"/>
        <v>0.26985294338473809</v>
      </c>
      <c r="R31" s="72">
        <f t="shared" ref="R31:U31" si="129">IFERROR(R22/R15,0)</f>
        <v>0.28931757662852858</v>
      </c>
      <c r="S31" s="72">
        <f t="shared" si="129"/>
        <v>0.30754626447344158</v>
      </c>
      <c r="T31" s="72">
        <f t="shared" si="129"/>
        <v>0.32462293433453554</v>
      </c>
      <c r="U31" s="72">
        <f t="shared" si="129"/>
        <v>0.34062550012662962</v>
      </c>
      <c r="V31" s="72"/>
    </row>
    <row r="32" spans="1:194" x14ac:dyDescent="0.15">
      <c r="A32" s="1" t="s">
        <v>21</v>
      </c>
      <c r="B32" s="72">
        <f t="shared" ref="B32:Q32" si="130">IFERROR(B25/B24,0)</f>
        <v>1.9945753018539642E-2</v>
      </c>
      <c r="C32" s="72">
        <f t="shared" si="130"/>
        <v>1.3418558535752778E-2</v>
      </c>
      <c r="D32" s="72">
        <f t="shared" si="130"/>
        <v>5.2956267766986649E-3</v>
      </c>
      <c r="E32" s="72">
        <f t="shared" si="130"/>
        <v>-2.0320987023928821E-3</v>
      </c>
      <c r="F32" s="72">
        <f t="shared" si="130"/>
        <v>-3.4485523325061341E-4</v>
      </c>
      <c r="G32" s="72">
        <f t="shared" si="130"/>
        <v>-3.4485523325061341E-4</v>
      </c>
      <c r="H32" s="72">
        <f t="shared" si="130"/>
        <v>-3.4485523325061341E-4</v>
      </c>
      <c r="I32" s="72">
        <f t="shared" si="130"/>
        <v>0</v>
      </c>
      <c r="J32" s="72">
        <f t="shared" si="130"/>
        <v>0.15</v>
      </c>
      <c r="K32" s="72">
        <f t="shared" si="130"/>
        <v>0.15</v>
      </c>
      <c r="L32" s="72">
        <f t="shared" si="130"/>
        <v>0.15</v>
      </c>
      <c r="M32" s="72">
        <f t="shared" si="130"/>
        <v>0.15</v>
      </c>
      <c r="N32" s="72">
        <f t="shared" si="130"/>
        <v>0.15</v>
      </c>
      <c r="O32" s="72">
        <f t="shared" si="130"/>
        <v>0.15</v>
      </c>
      <c r="P32" s="72">
        <f t="shared" si="130"/>
        <v>0.15</v>
      </c>
      <c r="Q32" s="72">
        <f t="shared" si="130"/>
        <v>0.15</v>
      </c>
      <c r="R32" s="72">
        <f t="shared" ref="R32:U32" si="131">IFERROR(R25/R24,0)</f>
        <v>0.15</v>
      </c>
      <c r="S32" s="72">
        <f t="shared" si="131"/>
        <v>0.15</v>
      </c>
      <c r="T32" s="72">
        <f t="shared" si="131"/>
        <v>0.15</v>
      </c>
      <c r="U32" s="72">
        <f t="shared" si="131"/>
        <v>0.15</v>
      </c>
      <c r="V32" s="72"/>
    </row>
    <row r="33" spans="1:22" x14ac:dyDescent="0.15"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</row>
    <row r="34" spans="1:22" x14ac:dyDescent="0.15">
      <c r="A34" s="25" t="s">
        <v>18</v>
      </c>
      <c r="B34" s="9"/>
      <c r="C34" s="73">
        <f t="shared" ref="C34:U34" si="132">C15/B15-1</f>
        <v>5.8933058316144766</v>
      </c>
      <c r="D34" s="73">
        <f t="shared" si="132"/>
        <v>1.0396382628306902</v>
      </c>
      <c r="E34" s="73">
        <f t="shared" si="132"/>
        <v>0.4311784896331563</v>
      </c>
      <c r="F34" s="73">
        <f>F15/E15-1</f>
        <v>0.45324992841567391</v>
      </c>
      <c r="G34" s="73">
        <f t="shared" si="132"/>
        <v>0.38000000000000012</v>
      </c>
      <c r="H34" s="73">
        <f t="shared" si="132"/>
        <v>0.37999999999999967</v>
      </c>
      <c r="I34" s="73">
        <f t="shared" si="132"/>
        <v>0.37999999999999989</v>
      </c>
      <c r="J34" s="73">
        <f t="shared" si="132"/>
        <v>0.37999999999999989</v>
      </c>
      <c r="K34" s="73">
        <f t="shared" si="132"/>
        <v>0.37999999999999989</v>
      </c>
      <c r="L34" s="73">
        <f t="shared" si="132"/>
        <v>0.10000000000000009</v>
      </c>
      <c r="M34" s="73">
        <f t="shared" si="132"/>
        <v>0.10000000000000009</v>
      </c>
      <c r="N34" s="73">
        <f t="shared" si="132"/>
        <v>0.10000000000000009</v>
      </c>
      <c r="O34" s="73">
        <f t="shared" si="132"/>
        <v>0.10000000000000009</v>
      </c>
      <c r="P34" s="73">
        <f t="shared" si="132"/>
        <v>0.10000000000000009</v>
      </c>
      <c r="Q34" s="73">
        <f t="shared" si="132"/>
        <v>0.10000000000000009</v>
      </c>
      <c r="R34" s="73">
        <f t="shared" si="132"/>
        <v>0.10000000000000009</v>
      </c>
      <c r="S34" s="73">
        <f t="shared" si="132"/>
        <v>0.10000000000000009</v>
      </c>
      <c r="T34" s="73">
        <f t="shared" si="132"/>
        <v>0.10000000000000009</v>
      </c>
      <c r="U34" s="73">
        <f t="shared" si="132"/>
        <v>0.10000000000000009</v>
      </c>
      <c r="V34" s="73"/>
    </row>
    <row r="35" spans="1:22" x14ac:dyDescent="0.15">
      <c r="A35" s="1" t="s">
        <v>70</v>
      </c>
      <c r="B35" s="3"/>
      <c r="C35" s="71">
        <f>C18/B18-1</f>
        <v>1.2321882410165985</v>
      </c>
      <c r="D35" s="71">
        <f>D18/C18-1</f>
        <v>7.3607788019437361</v>
      </c>
      <c r="E35" s="71">
        <f t="shared" ref="E35:U35" si="133">E18/D18-1</f>
        <v>-0.49686200511097012</v>
      </c>
      <c r="F35" s="71">
        <f t="shared" si="133"/>
        <v>0.14530067276624137</v>
      </c>
      <c r="G35" s="71">
        <f t="shared" si="133"/>
        <v>0.19999999999999996</v>
      </c>
      <c r="H35" s="71">
        <f t="shared" si="133"/>
        <v>0.19999999999999996</v>
      </c>
      <c r="I35" s="71">
        <f t="shared" si="133"/>
        <v>0.19999999999999996</v>
      </c>
      <c r="J35" s="71">
        <f t="shared" si="133"/>
        <v>0.19999999999999996</v>
      </c>
      <c r="K35" s="71">
        <f t="shared" si="133"/>
        <v>0.19999999999999996</v>
      </c>
      <c r="L35" s="71">
        <f t="shared" si="133"/>
        <v>5.0000000000000044E-2</v>
      </c>
      <c r="M35" s="71">
        <f t="shared" si="133"/>
        <v>5.0000000000000044E-2</v>
      </c>
      <c r="N35" s="71">
        <f t="shared" si="133"/>
        <v>5.0000000000000044E-2</v>
      </c>
      <c r="O35" s="71">
        <f t="shared" si="133"/>
        <v>5.0000000000000044E-2</v>
      </c>
      <c r="P35" s="71">
        <f t="shared" si="133"/>
        <v>5.0000000000000044E-2</v>
      </c>
      <c r="Q35" s="71">
        <f t="shared" si="133"/>
        <v>5.0000000000000044E-2</v>
      </c>
      <c r="R35" s="71">
        <f t="shared" si="133"/>
        <v>5.0000000000000044E-2</v>
      </c>
      <c r="S35" s="71">
        <f t="shared" si="133"/>
        <v>5.0000000000000044E-2</v>
      </c>
      <c r="T35" s="71">
        <f t="shared" si="133"/>
        <v>5.0000000000000044E-2</v>
      </c>
      <c r="U35" s="71">
        <f t="shared" si="133"/>
        <v>5.0000000000000044E-2</v>
      </c>
      <c r="V35" s="3"/>
    </row>
    <row r="36" spans="1:22" x14ac:dyDescent="0.15">
      <c r="A36" s="1" t="s">
        <v>71</v>
      </c>
      <c r="C36" s="71">
        <f t="shared" ref="C36" si="134">C19/B19-1</f>
        <v>3.5630878894767788</v>
      </c>
      <c r="D36" s="71">
        <f t="shared" ref="D36:U37" si="135">D19/C19-1</f>
        <v>3.2077639726545826</v>
      </c>
      <c r="E36" s="71">
        <f t="shared" si="135"/>
        <v>-0.23295787261892453</v>
      </c>
      <c r="F36" s="71">
        <f t="shared" si="135"/>
        <v>0.14360916511985322</v>
      </c>
      <c r="G36" s="71">
        <f t="shared" si="135"/>
        <v>0.10000000000000009</v>
      </c>
      <c r="H36" s="71">
        <f t="shared" si="135"/>
        <v>0.10000000000000009</v>
      </c>
      <c r="I36" s="71">
        <f t="shared" si="135"/>
        <v>0.10000000000000009</v>
      </c>
      <c r="J36" s="71">
        <f t="shared" si="135"/>
        <v>0.10000000000000009</v>
      </c>
      <c r="K36" s="71">
        <f t="shared" si="135"/>
        <v>0.10000000000000009</v>
      </c>
      <c r="L36" s="71">
        <f t="shared" si="135"/>
        <v>2.0000000000000018E-2</v>
      </c>
      <c r="M36" s="71">
        <f t="shared" si="135"/>
        <v>2.0000000000000018E-2</v>
      </c>
      <c r="N36" s="71">
        <f t="shared" si="135"/>
        <v>2.0000000000000018E-2</v>
      </c>
      <c r="O36" s="71">
        <f t="shared" si="135"/>
        <v>2.0000000000000018E-2</v>
      </c>
      <c r="P36" s="71">
        <f t="shared" si="135"/>
        <v>2.0000000000000018E-2</v>
      </c>
      <c r="Q36" s="71">
        <f t="shared" si="135"/>
        <v>2.0000000000000018E-2</v>
      </c>
      <c r="R36" s="71">
        <f t="shared" si="135"/>
        <v>2.0000000000000018E-2</v>
      </c>
      <c r="S36" s="71">
        <f t="shared" si="135"/>
        <v>2.0000000000000018E-2</v>
      </c>
      <c r="T36" s="71">
        <f t="shared" si="135"/>
        <v>2.0000000000000018E-2</v>
      </c>
      <c r="U36" s="71">
        <f t="shared" si="135"/>
        <v>2.0000000000000018E-2</v>
      </c>
    </row>
    <row r="37" spans="1:22" x14ac:dyDescent="0.15">
      <c r="A37" s="1" t="s">
        <v>72</v>
      </c>
      <c r="C37" s="71">
        <f t="shared" ref="C37" si="136">C20/B20-1</f>
        <v>0.11114401076716018</v>
      </c>
      <c r="D37" s="71">
        <f t="shared" si="135"/>
        <v>8.2996136049807419</v>
      </c>
      <c r="E37" s="71">
        <f t="shared" si="135"/>
        <v>-0.68934070979443374</v>
      </c>
      <c r="F37" s="71">
        <f t="shared" si="135"/>
        <v>0.2185957880349334</v>
      </c>
      <c r="G37" s="71">
        <f t="shared" si="135"/>
        <v>0.14999999999999991</v>
      </c>
      <c r="H37" s="71">
        <f t="shared" si="135"/>
        <v>0.14999999999999991</v>
      </c>
      <c r="I37" s="71">
        <f t="shared" si="135"/>
        <v>0.14999999999999991</v>
      </c>
      <c r="J37" s="71">
        <f t="shared" si="135"/>
        <v>0.14999999999999991</v>
      </c>
      <c r="K37" s="71">
        <f t="shared" si="135"/>
        <v>0.14999999999999991</v>
      </c>
      <c r="L37" s="71">
        <f t="shared" si="135"/>
        <v>1.0000000000000009E-2</v>
      </c>
      <c r="M37" s="71">
        <f t="shared" si="135"/>
        <v>1.0000000000000009E-2</v>
      </c>
      <c r="N37" s="71">
        <f t="shared" si="135"/>
        <v>1.0000000000000009E-2</v>
      </c>
      <c r="O37" s="71">
        <f t="shared" si="135"/>
        <v>1.0000000000000009E-2</v>
      </c>
      <c r="P37" s="71">
        <f t="shared" si="135"/>
        <v>1.0000000000000009E-2</v>
      </c>
      <c r="Q37" s="71">
        <f t="shared" si="135"/>
        <v>1.0000000000000009E-2</v>
      </c>
      <c r="R37" s="71">
        <f t="shared" si="135"/>
        <v>1.0000000000000009E-2</v>
      </c>
      <c r="S37" s="71">
        <f t="shared" si="135"/>
        <v>1.0000000000000009E-2</v>
      </c>
      <c r="T37" s="71">
        <f t="shared" si="135"/>
        <v>1.0000000000000009E-2</v>
      </c>
      <c r="U37" s="71">
        <f t="shared" si="135"/>
        <v>1.0000000000000009E-2</v>
      </c>
    </row>
    <row r="38" spans="1:22" s="6" customFormat="1" x14ac:dyDescent="0.15">
      <c r="A38" s="6" t="s">
        <v>112</v>
      </c>
      <c r="C38" s="84">
        <f>C21/B21-1</f>
        <v>0.83246335026797058</v>
      </c>
      <c r="D38" s="84">
        <f t="shared" ref="D38:Q38" si="137">D21/C21-1</f>
        <v>6.5978992067570523</v>
      </c>
      <c r="E38" s="84">
        <f t="shared" si="137"/>
        <v>-0.54074094072858281</v>
      </c>
      <c r="F38" s="84">
        <f t="shared" si="137"/>
        <v>0.16607930396459225</v>
      </c>
      <c r="G38" s="84">
        <f t="shared" si="137"/>
        <v>0.16107024859321428</v>
      </c>
      <c r="H38" s="84">
        <f t="shared" si="137"/>
        <v>0.16246736677386031</v>
      </c>
      <c r="I38" s="84">
        <f t="shared" si="137"/>
        <v>0.16384071192398086</v>
      </c>
      <c r="J38" s="84">
        <f t="shared" si="137"/>
        <v>0.16518828646601924</v>
      </c>
      <c r="K38" s="84">
        <f t="shared" si="137"/>
        <v>0.16650828301804887</v>
      </c>
      <c r="L38" s="84">
        <f t="shared" si="137"/>
        <v>3.3224473988367809E-2</v>
      </c>
      <c r="M38" s="84">
        <f t="shared" si="137"/>
        <v>3.35493710123691E-2</v>
      </c>
      <c r="N38" s="84">
        <f t="shared" si="137"/>
        <v>3.3872704164909617E-2</v>
      </c>
      <c r="O38" s="84">
        <f t="shared" si="137"/>
        <v>3.4194289867063743E-2</v>
      </c>
      <c r="P38" s="84">
        <f t="shared" si="137"/>
        <v>3.4513948584069087E-2</v>
      </c>
      <c r="Q38" s="84">
        <f t="shared" si="137"/>
        <v>3.4831505216768033E-2</v>
      </c>
      <c r="R38" s="84">
        <f t="shared" ref="R38:U38" si="138">R21/Q21-1</f>
        <v>3.5146789471090401E-2</v>
      </c>
      <c r="S38" s="84">
        <f t="shared" si="138"/>
        <v>3.5459636204042688E-2</v>
      </c>
      <c r="T38" s="84">
        <f t="shared" si="138"/>
        <v>3.5769885744894481E-2</v>
      </c>
      <c r="U38" s="84">
        <f t="shared" si="138"/>
        <v>3.607738419041806E-2</v>
      </c>
    </row>
    <row r="39" spans="1:22" x14ac:dyDescent="0.15"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</row>
    <row r="40" spans="1:22" x14ac:dyDescent="0.15">
      <c r="A40" s="25" t="s">
        <v>33</v>
      </c>
      <c r="B40" s="68"/>
      <c r="C40" s="69">
        <f>C41-C42</f>
        <v>987.36799999999994</v>
      </c>
      <c r="D40" s="69">
        <f>D41-D42</f>
        <v>2043.0390000000002</v>
      </c>
      <c r="E40" s="69">
        <f>E41-E42</f>
        <v>1279.0630000000001</v>
      </c>
      <c r="F40" s="69">
        <f>F41-F42</f>
        <v>1208.732</v>
      </c>
      <c r="G40" s="68">
        <f t="shared" ref="G40:U40" si="139">F40+G26</f>
        <v>130.42705909143683</v>
      </c>
      <c r="H40" s="68">
        <f t="shared" si="139"/>
        <v>-902.2663511827493</v>
      </c>
      <c r="I40" s="68">
        <f t="shared" si="139"/>
        <v>-1787.1875570414045</v>
      </c>
      <c r="J40" s="68">
        <f t="shared" si="139"/>
        <v>-2282.5539169825011</v>
      </c>
      <c r="K40" s="68">
        <f t="shared" si="139"/>
        <v>-2323.9645516819542</v>
      </c>
      <c r="L40" s="68">
        <f t="shared" si="139"/>
        <v>-1154.7748197797978</v>
      </c>
      <c r="M40" s="68">
        <f t="shared" si="139"/>
        <v>394.90589903084992</v>
      </c>
      <c r="N40" s="68">
        <f t="shared" si="139"/>
        <v>2374.4450433745751</v>
      </c>
      <c r="O40" s="68">
        <f t="shared" si="139"/>
        <v>4838.6142307362534</v>
      </c>
      <c r="P40" s="68">
        <f t="shared" si="139"/>
        <v>7848.1503971033453</v>
      </c>
      <c r="Q40" s="68">
        <f t="shared" si="139"/>
        <v>11470.374025707883</v>
      </c>
      <c r="R40" s="68">
        <f t="shared" si="139"/>
        <v>15779.870221216754</v>
      </c>
      <c r="S40" s="68">
        <f t="shared" si="139"/>
        <v>20859.238963698059</v>
      </c>
      <c r="T40" s="68">
        <f t="shared" si="139"/>
        <v>26799.92151258493</v>
      </c>
      <c r="U40" s="68">
        <f t="shared" si="139"/>
        <v>33703.110630463714</v>
      </c>
      <c r="V40" s="68"/>
    </row>
    <row r="41" spans="1:22" x14ac:dyDescent="0.15">
      <c r="A41" s="1" t="s">
        <v>34</v>
      </c>
      <c r="C41" s="42">
        <f>Reports!I33</f>
        <v>987.36799999999994</v>
      </c>
      <c r="D41" s="42">
        <f>Reports!M33</f>
        <v>2043.0390000000002</v>
      </c>
      <c r="E41" s="42">
        <f>Reports!Q33</f>
        <v>1279.0630000000001</v>
      </c>
      <c r="F41" s="42">
        <f>Reports!R33</f>
        <v>1208.732</v>
      </c>
    </row>
    <row r="42" spans="1:22" x14ac:dyDescent="0.15">
      <c r="A42" s="1" t="s">
        <v>35</v>
      </c>
      <c r="C42" s="42">
        <f>Reports!I34</f>
        <v>0</v>
      </c>
      <c r="D42" s="42">
        <f>Reports!M34</f>
        <v>0</v>
      </c>
      <c r="E42" s="42">
        <f>Reports!Q34</f>
        <v>0</v>
      </c>
      <c r="F42" s="42">
        <f>Reports!R34</f>
        <v>0</v>
      </c>
    </row>
    <row r="44" spans="1:22" x14ac:dyDescent="0.15">
      <c r="A44" s="1" t="s">
        <v>73</v>
      </c>
      <c r="C44" s="42">
        <f>Reports!I36</f>
        <v>395.11900000000003</v>
      </c>
      <c r="D44" s="42">
        <f>Reports!M36</f>
        <v>806.35500000000002</v>
      </c>
      <c r="E44" s="42">
        <f>Reports!Q36</f>
        <v>758.42399999999998</v>
      </c>
      <c r="F44" s="42">
        <f>Reports!R36</f>
        <v>744.98199999999997</v>
      </c>
    </row>
    <row r="45" spans="1:22" x14ac:dyDescent="0.15">
      <c r="A45" s="1" t="s">
        <v>74</v>
      </c>
      <c r="C45" s="42">
        <f>Reports!I37</f>
        <v>1722.7919999999999</v>
      </c>
      <c r="D45" s="42">
        <f>Reports!M37</f>
        <v>3421.5659999999998</v>
      </c>
      <c r="E45" s="42">
        <f>Reports!Q37</f>
        <v>2714.1060000000002</v>
      </c>
      <c r="F45" s="42">
        <f>Reports!R37</f>
        <v>2825.7429999999999</v>
      </c>
    </row>
    <row r="46" spans="1:22" x14ac:dyDescent="0.15">
      <c r="A46" s="1" t="s">
        <v>75</v>
      </c>
      <c r="C46" s="42">
        <f>Reports!I38</f>
        <v>203.87799999999999</v>
      </c>
      <c r="D46" s="42">
        <f>Reports!M38</f>
        <v>429.23899999999998</v>
      </c>
      <c r="E46" s="42">
        <f>Reports!Q38</f>
        <v>403.10700000000003</v>
      </c>
      <c r="F46" s="42">
        <f>Reports!R38</f>
        <v>659.86599999999999</v>
      </c>
    </row>
    <row r="48" spans="1:22" x14ac:dyDescent="0.15">
      <c r="A48" s="1" t="s">
        <v>76</v>
      </c>
      <c r="C48" s="75">
        <f>C45-C44-C41</f>
        <v>340.30499999999984</v>
      </c>
      <c r="D48" s="75">
        <f>D45-D44-D41</f>
        <v>572.17199999999957</v>
      </c>
      <c r="E48" s="75">
        <f>E45-E44-E41</f>
        <v>676.61900000000014</v>
      </c>
      <c r="F48" s="75">
        <f>F45-F44-F41</f>
        <v>872.029</v>
      </c>
    </row>
    <row r="49" spans="1:11" x14ac:dyDescent="0.15">
      <c r="A49" s="1" t="s">
        <v>77</v>
      </c>
      <c r="C49" s="75">
        <f>C45-C46</f>
        <v>1518.914</v>
      </c>
      <c r="D49" s="75">
        <f>D45-D46</f>
        <v>2992.3269999999998</v>
      </c>
      <c r="E49" s="75">
        <f>E45-E46</f>
        <v>2310.9990000000003</v>
      </c>
      <c r="F49" s="75">
        <f>F45-F46</f>
        <v>2165.877</v>
      </c>
    </row>
    <row r="51" spans="1:11" x14ac:dyDescent="0.15">
      <c r="A51" s="1" t="s">
        <v>78</v>
      </c>
    </row>
    <row r="52" spans="1:11" x14ac:dyDescent="0.15">
      <c r="A52" s="1" t="s">
        <v>79</v>
      </c>
    </row>
    <row r="53" spans="1:11" x14ac:dyDescent="0.15">
      <c r="A53" s="1" t="s">
        <v>80</v>
      </c>
    </row>
    <row r="54" spans="1:11" x14ac:dyDescent="0.15">
      <c r="A54" s="1" t="s">
        <v>81</v>
      </c>
    </row>
    <row r="56" spans="1:11" x14ac:dyDescent="0.15">
      <c r="A56" s="1" t="s">
        <v>82</v>
      </c>
      <c r="C56" s="14">
        <f>C12/B12-1</f>
        <v>0.47663551401869153</v>
      </c>
      <c r="D56" s="14">
        <f>D12/C12-1</f>
        <v>0.18354430379746844</v>
      </c>
      <c r="E56" s="14">
        <f>E12/D12-1</f>
        <v>-5.3475935828877219E-3</v>
      </c>
      <c r="F56" s="14">
        <f>F12/E12-1</f>
        <v>0.23118279569892475</v>
      </c>
      <c r="G56" s="14">
        <f t="shared" ref="G56:K56" si="140">G12/F12-1</f>
        <v>0.19999999999999996</v>
      </c>
      <c r="H56" s="14">
        <f t="shared" si="140"/>
        <v>0.19999999999999996</v>
      </c>
      <c r="I56" s="14">
        <f t="shared" si="140"/>
        <v>0.19999999999999996</v>
      </c>
      <c r="J56" s="14">
        <f t="shared" si="140"/>
        <v>0.19999999999999996</v>
      </c>
      <c r="K56" s="14">
        <f t="shared" si="140"/>
        <v>0.19999999999999996</v>
      </c>
    </row>
    <row r="57" spans="1:11" x14ac:dyDescent="0.15">
      <c r="A57" s="1" t="s">
        <v>83</v>
      </c>
      <c r="C57" s="14">
        <f t="shared" ref="C57" si="141">C13/B13-1</f>
        <v>3.6682514176123346</v>
      </c>
      <c r="D57" s="14">
        <f t="shared" ref="D57:K57" si="142">D13/C13-1</f>
        <v>0.72333072474464721</v>
      </c>
      <c r="E57" s="14">
        <f>E13/D13-1</f>
        <v>0.43887299764193677</v>
      </c>
      <c r="F57" s="14">
        <f t="shared" si="142"/>
        <v>0.18036893749046001</v>
      </c>
      <c r="G57" s="14">
        <f t="shared" si="142"/>
        <v>0.15000000000000013</v>
      </c>
      <c r="H57" s="14">
        <f t="shared" si="142"/>
        <v>0.14999999999999991</v>
      </c>
      <c r="I57" s="14">
        <f t="shared" si="142"/>
        <v>0.14999999999999991</v>
      </c>
      <c r="J57" s="14">
        <f t="shared" si="142"/>
        <v>0.14999999999999991</v>
      </c>
      <c r="K57" s="14">
        <f t="shared" si="142"/>
        <v>0.14999999999999991</v>
      </c>
    </row>
  </sheetData>
  <hyperlinks>
    <hyperlink ref="A4" r:id="rId1" display="Evan Spiegel (CEO)" xr:uid="{00000000-0004-0000-0000-000000000000}"/>
    <hyperlink ref="A8" r:id="rId2" display="Bobby Murphy (CTO)" xr:uid="{00000000-0004-0000-0000-000001000000}"/>
    <hyperlink ref="A7" r:id="rId3" display="Evan Spiegel (CEO)" xr:uid="{00000000-0004-0000-0000-000002000000}"/>
    <hyperlink ref="A1" r:id="rId4" xr:uid="{00000000-0004-0000-0000-000003000000}"/>
  </hyperlinks>
  <pageMargins left="0.7" right="0.7" top="0.75" bottom="0.75" header="0.3" footer="0.3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52"/>
  <sheetViews>
    <sheetView workbookViewId="0">
      <pane xSplit="1" ySplit="2" topLeftCell="M3" activePane="bottomRight" state="frozen"/>
      <selection pane="topRight" activeCell="B1" sqref="B1"/>
      <selection pane="bottomLeft" activeCell="A3" sqref="A3"/>
      <selection pane="bottomRight" activeCell="X24" sqref="X24"/>
    </sheetView>
  </sheetViews>
  <sheetFormatPr baseColWidth="10" defaultRowHeight="13" x14ac:dyDescent="0.15"/>
  <cols>
    <col min="1" max="1" width="21.83203125" style="1" bestFit="1" customWidth="1"/>
    <col min="2" max="5" width="10.83203125" style="16" customWidth="1"/>
    <col min="6" max="6" width="10.83203125" style="17" customWidth="1"/>
    <col min="7" max="8" width="10.83203125" style="16" customWidth="1"/>
    <col min="9" max="9" width="10.83203125" style="16"/>
    <col min="10" max="10" width="10.83203125" style="17"/>
    <col min="11" max="12" width="10.83203125" style="16"/>
    <col min="13" max="13" width="10.83203125" style="53"/>
    <col min="14" max="14" width="10.83203125" style="17"/>
    <col min="15" max="16" width="10.83203125" style="16"/>
    <col min="17" max="17" width="10.83203125" style="53"/>
    <col min="18" max="18" width="10.83203125" style="41"/>
    <col min="19" max="21" width="10.83203125" style="1"/>
    <col min="22" max="22" width="10.83203125" style="41"/>
    <col min="23" max="16384" width="10.83203125" style="1"/>
  </cols>
  <sheetData>
    <row r="1" spans="1:22" x14ac:dyDescent="0.15">
      <c r="A1" s="15" t="s">
        <v>85</v>
      </c>
      <c r="B1" s="16" t="s">
        <v>50</v>
      </c>
      <c r="C1" s="16" t="s">
        <v>51</v>
      </c>
      <c r="D1" s="16" t="s">
        <v>52</v>
      </c>
      <c r="E1" s="16" t="s">
        <v>53</v>
      </c>
      <c r="F1" s="17" t="s">
        <v>22</v>
      </c>
      <c r="G1" s="16" t="s">
        <v>23</v>
      </c>
      <c r="H1" s="16" t="s">
        <v>24</v>
      </c>
      <c r="I1" s="16" t="s">
        <v>25</v>
      </c>
      <c r="J1" s="18" t="s">
        <v>0</v>
      </c>
      <c r="K1" s="19" t="s">
        <v>1</v>
      </c>
      <c r="L1" s="19" t="s">
        <v>2</v>
      </c>
      <c r="M1" s="52" t="s">
        <v>3</v>
      </c>
      <c r="N1" s="18" t="s">
        <v>42</v>
      </c>
      <c r="O1" s="19" t="s">
        <v>43</v>
      </c>
      <c r="P1" s="19" t="s">
        <v>44</v>
      </c>
      <c r="Q1" s="52" t="s">
        <v>45</v>
      </c>
      <c r="R1" s="17" t="s">
        <v>94</v>
      </c>
      <c r="S1" s="16" t="s">
        <v>93</v>
      </c>
      <c r="T1" s="16" t="s">
        <v>95</v>
      </c>
      <c r="U1" s="16" t="s">
        <v>96</v>
      </c>
      <c r="V1" s="17" t="s">
        <v>107</v>
      </c>
    </row>
    <row r="2" spans="1:22" x14ac:dyDescent="0.15">
      <c r="B2" s="16" t="s">
        <v>54</v>
      </c>
      <c r="C2" s="16" t="s">
        <v>55</v>
      </c>
      <c r="D2" s="16" t="s">
        <v>56</v>
      </c>
      <c r="E2" s="16" t="s">
        <v>57</v>
      </c>
      <c r="F2" s="17" t="s">
        <v>29</v>
      </c>
      <c r="G2" s="16" t="s">
        <v>28</v>
      </c>
      <c r="H2" s="16" t="s">
        <v>27</v>
      </c>
      <c r="I2" s="16" t="s">
        <v>32</v>
      </c>
      <c r="J2" s="17" t="s">
        <v>31</v>
      </c>
      <c r="K2" s="16" t="s">
        <v>30</v>
      </c>
      <c r="L2" s="16" t="s">
        <v>26</v>
      </c>
      <c r="M2" s="53" t="s">
        <v>36</v>
      </c>
      <c r="N2" s="17" t="s">
        <v>46</v>
      </c>
      <c r="O2" s="16" t="s">
        <v>47</v>
      </c>
      <c r="P2" s="16" t="s">
        <v>48</v>
      </c>
      <c r="Q2" s="53" t="s">
        <v>49</v>
      </c>
      <c r="R2" s="17" t="s">
        <v>89</v>
      </c>
      <c r="S2" s="16" t="s">
        <v>90</v>
      </c>
      <c r="T2" s="16" t="s">
        <v>91</v>
      </c>
      <c r="U2" s="53" t="s">
        <v>92</v>
      </c>
      <c r="V2" s="17" t="s">
        <v>108</v>
      </c>
    </row>
    <row r="3" spans="1:22" s="42" customFormat="1" x14ac:dyDescent="0.15">
      <c r="A3" s="42" t="s">
        <v>86</v>
      </c>
      <c r="B3" s="19"/>
      <c r="C3" s="19"/>
      <c r="D3" s="19"/>
      <c r="E3" s="19"/>
      <c r="F3" s="18">
        <v>38.799999999999997</v>
      </c>
      <c r="G3" s="19">
        <v>71.7</v>
      </c>
      <c r="H3" s="19">
        <v>128.19999999999999</v>
      </c>
      <c r="I3" s="19">
        <v>165.68199999999999</v>
      </c>
      <c r="J3" s="18">
        <v>149.6</v>
      </c>
      <c r="K3" s="23">
        <v>181.6</v>
      </c>
      <c r="L3" s="23">
        <v>207.9</v>
      </c>
      <c r="M3" s="52">
        <v>285.69299999999998</v>
      </c>
      <c r="N3" s="18">
        <v>230.666</v>
      </c>
      <c r="O3" s="23">
        <v>262.26299999999998</v>
      </c>
      <c r="P3" s="23">
        <v>297.67500000000001</v>
      </c>
      <c r="Q3" s="64">
        <v>389.822</v>
      </c>
      <c r="R3" s="18">
        <v>320.42599999999999</v>
      </c>
      <c r="S3" s="23">
        <v>388.02100000000002</v>
      </c>
      <c r="T3" s="42">
        <v>446.11900000000003</v>
      </c>
      <c r="U3" s="42">
        <v>560.88800000000003</v>
      </c>
      <c r="V3" s="18">
        <v>462.47800000000001</v>
      </c>
    </row>
    <row r="4" spans="1:22" x14ac:dyDescent="0.15">
      <c r="B4" s="20"/>
      <c r="C4" s="20"/>
      <c r="D4" s="20"/>
      <c r="E4" s="20"/>
      <c r="F4" s="21"/>
      <c r="G4" s="20"/>
      <c r="H4" s="20"/>
      <c r="I4" s="20"/>
      <c r="J4" s="21"/>
      <c r="K4" s="22"/>
      <c r="L4" s="22"/>
      <c r="M4" s="54"/>
      <c r="N4" s="18"/>
      <c r="O4" s="23"/>
      <c r="P4" s="23"/>
      <c r="Q4" s="64"/>
      <c r="R4" s="18"/>
      <c r="S4" s="23"/>
      <c r="V4" s="18"/>
    </row>
    <row r="5" spans="1:22" s="42" customFormat="1" x14ac:dyDescent="0.15">
      <c r="A5" s="42" t="s">
        <v>58</v>
      </c>
      <c r="B5" s="19">
        <v>80</v>
      </c>
      <c r="C5" s="19">
        <v>86</v>
      </c>
      <c r="D5" s="19">
        <v>94</v>
      </c>
      <c r="E5" s="19">
        <v>107</v>
      </c>
      <c r="F5" s="18">
        <v>122</v>
      </c>
      <c r="G5" s="19">
        <v>143</v>
      </c>
      <c r="H5" s="19">
        <v>153</v>
      </c>
      <c r="I5" s="19">
        <v>158</v>
      </c>
      <c r="J5" s="18">
        <v>166</v>
      </c>
      <c r="K5" s="19">
        <v>173</v>
      </c>
      <c r="L5" s="19">
        <v>178</v>
      </c>
      <c r="M5" s="52">
        <v>187</v>
      </c>
      <c r="N5" s="18">
        <v>191</v>
      </c>
      <c r="O5" s="19">
        <v>188</v>
      </c>
      <c r="P5" s="19">
        <v>186</v>
      </c>
      <c r="Q5" s="52">
        <v>186</v>
      </c>
      <c r="R5" s="18">
        <v>190</v>
      </c>
      <c r="S5" s="19">
        <v>203</v>
      </c>
      <c r="T5" s="42">
        <v>210</v>
      </c>
      <c r="U5" s="42">
        <v>218</v>
      </c>
      <c r="V5" s="18">
        <v>229</v>
      </c>
    </row>
    <row r="6" spans="1:22" s="62" customFormat="1" x14ac:dyDescent="0.15">
      <c r="A6" s="62" t="s">
        <v>69</v>
      </c>
      <c r="B6" s="63"/>
      <c r="C6" s="63"/>
      <c r="D6" s="63"/>
      <c r="E6" s="63"/>
      <c r="F6" s="51">
        <f t="shared" ref="F6:I6" si="0">F3/F5</f>
        <v>0.31803278688524589</v>
      </c>
      <c r="G6" s="44">
        <f t="shared" si="0"/>
        <v>0.50139860139860137</v>
      </c>
      <c r="H6" s="44">
        <f t="shared" si="0"/>
        <v>0.83790849673202605</v>
      </c>
      <c r="I6" s="44">
        <f t="shared" si="0"/>
        <v>1.048620253164557</v>
      </c>
      <c r="J6" s="51">
        <f t="shared" ref="J6:Q6" si="1">J3/J5</f>
        <v>0.90120481927710838</v>
      </c>
      <c r="K6" s="44">
        <f t="shared" si="1"/>
        <v>1.0497109826589595</v>
      </c>
      <c r="L6" s="44">
        <f t="shared" si="1"/>
        <v>1.1679775280898876</v>
      </c>
      <c r="M6" s="44">
        <f t="shared" si="1"/>
        <v>1.5277700534759358</v>
      </c>
      <c r="N6" s="51">
        <f t="shared" si="1"/>
        <v>1.2076753926701571</v>
      </c>
      <c r="O6" s="44">
        <f t="shared" si="1"/>
        <v>1.3950159574468084</v>
      </c>
      <c r="P6" s="44">
        <f t="shared" si="1"/>
        <v>1.6004032258064518</v>
      </c>
      <c r="Q6" s="44">
        <f t="shared" si="1"/>
        <v>2.0958172043010754</v>
      </c>
      <c r="R6" s="51">
        <f t="shared" ref="R6:U6" si="2">R3/R5</f>
        <v>1.6864526315789472</v>
      </c>
      <c r="S6" s="44">
        <f t="shared" si="2"/>
        <v>1.9114334975369458</v>
      </c>
      <c r="T6" s="44">
        <f t="shared" si="2"/>
        <v>2.1243761904761906</v>
      </c>
      <c r="U6" s="44">
        <f t="shared" si="2"/>
        <v>2.5728807339449542</v>
      </c>
      <c r="V6" s="51">
        <f t="shared" ref="V6" si="3">V3/V5</f>
        <v>2.0195545851528385</v>
      </c>
    </row>
    <row r="7" spans="1:22" s="83" customFormat="1" x14ac:dyDescent="0.15">
      <c r="B7" s="77"/>
      <c r="C7" s="77"/>
      <c r="D7" s="77"/>
      <c r="E7" s="77"/>
      <c r="F7" s="78"/>
      <c r="G7" s="77"/>
      <c r="H7" s="77"/>
      <c r="I7" s="77"/>
      <c r="J7" s="78"/>
      <c r="K7" s="79"/>
      <c r="L7" s="79"/>
      <c r="M7" s="80"/>
      <c r="N7" s="81"/>
      <c r="O7" s="82"/>
      <c r="P7" s="82"/>
      <c r="Q7" s="65"/>
      <c r="R7" s="81"/>
      <c r="S7" s="82"/>
      <c r="T7" s="83" t="s">
        <v>97</v>
      </c>
      <c r="U7" s="83" t="s">
        <v>98</v>
      </c>
      <c r="V7" s="81" t="s">
        <v>106</v>
      </c>
    </row>
    <row r="8" spans="1:22" s="25" customFormat="1" x14ac:dyDescent="0.15">
      <c r="A8" s="25" t="s">
        <v>4</v>
      </c>
      <c r="B8" s="26"/>
      <c r="C8" s="26"/>
      <c r="D8" s="26"/>
      <c r="E8" s="26"/>
      <c r="F8" s="49">
        <f t="shared" ref="F8:Q8" si="4">F5*F6</f>
        <v>38.799999999999997</v>
      </c>
      <c r="G8" s="45">
        <f t="shared" si="4"/>
        <v>71.7</v>
      </c>
      <c r="H8" s="45">
        <f t="shared" si="4"/>
        <v>128.19999999999999</v>
      </c>
      <c r="I8" s="45">
        <f t="shared" si="4"/>
        <v>165.68200000000002</v>
      </c>
      <c r="J8" s="49">
        <f t="shared" si="4"/>
        <v>149.6</v>
      </c>
      <c r="K8" s="45">
        <f t="shared" si="4"/>
        <v>181.6</v>
      </c>
      <c r="L8" s="45">
        <f t="shared" si="4"/>
        <v>207.9</v>
      </c>
      <c r="M8" s="45">
        <f t="shared" si="4"/>
        <v>285.69299999999998</v>
      </c>
      <c r="N8" s="49">
        <f t="shared" si="4"/>
        <v>230.666</v>
      </c>
      <c r="O8" s="45">
        <f t="shared" si="4"/>
        <v>262.26299999999998</v>
      </c>
      <c r="P8" s="45">
        <f t="shared" si="4"/>
        <v>297.67500000000001</v>
      </c>
      <c r="Q8" s="45">
        <f t="shared" si="4"/>
        <v>389.822</v>
      </c>
      <c r="R8" s="49">
        <f>R5*R6</f>
        <v>320.42599999999999</v>
      </c>
      <c r="S8" s="45">
        <f t="shared" ref="S8:V8" si="5">S5*S6</f>
        <v>388.02100000000002</v>
      </c>
      <c r="T8" s="45">
        <f t="shared" si="5"/>
        <v>446.11900000000003</v>
      </c>
      <c r="U8" s="45">
        <f t="shared" si="5"/>
        <v>560.88800000000003</v>
      </c>
      <c r="V8" s="49">
        <f t="shared" si="5"/>
        <v>462.47800000000001</v>
      </c>
    </row>
    <row r="9" spans="1:22" s="42" customFormat="1" x14ac:dyDescent="0.15">
      <c r="A9" s="42" t="s">
        <v>5</v>
      </c>
      <c r="B9" s="23"/>
      <c r="C9" s="23"/>
      <c r="D9" s="23"/>
      <c r="E9" s="23"/>
      <c r="F9" s="18">
        <v>75.8</v>
      </c>
      <c r="G9" s="19">
        <v>94.7</v>
      </c>
      <c r="H9" s="19">
        <v>127.8</v>
      </c>
      <c r="I9" s="19">
        <v>153.35</v>
      </c>
      <c r="J9" s="18">
        <v>163.30000000000001</v>
      </c>
      <c r="K9" s="23">
        <v>152.1</v>
      </c>
      <c r="L9" s="23">
        <v>210.7</v>
      </c>
      <c r="M9" s="23">
        <v>191.24600000000001</v>
      </c>
      <c r="N9" s="18">
        <v>196.798</v>
      </c>
      <c r="O9" s="23">
        <v>191.565</v>
      </c>
      <c r="P9" s="23">
        <v>197.554</v>
      </c>
      <c r="Q9" s="64">
        <v>212.94800000000001</v>
      </c>
      <c r="R9" s="18">
        <v>203.767</v>
      </c>
      <c r="S9" s="23">
        <v>215.49199999999999</v>
      </c>
      <c r="T9" s="42">
        <v>223</v>
      </c>
      <c r="U9" s="42">
        <v>253</v>
      </c>
      <c r="V9" s="43">
        <v>253</v>
      </c>
    </row>
    <row r="10" spans="1:22" s="42" customFormat="1" x14ac:dyDescent="0.15">
      <c r="A10" s="42" t="s">
        <v>6</v>
      </c>
      <c r="B10" s="23"/>
      <c r="C10" s="23"/>
      <c r="D10" s="23"/>
      <c r="E10" s="23"/>
      <c r="F10" s="58">
        <f>F8-F9</f>
        <v>-37</v>
      </c>
      <c r="G10" s="59">
        <f t="shared" ref="G10:L10" si="6">G8-G9</f>
        <v>-23</v>
      </c>
      <c r="H10" s="59">
        <f t="shared" si="6"/>
        <v>0.39999999999999147</v>
      </c>
      <c r="I10" s="59">
        <f t="shared" si="6"/>
        <v>12.332000000000022</v>
      </c>
      <c r="J10" s="58">
        <f t="shared" si="6"/>
        <v>-13.700000000000017</v>
      </c>
      <c r="K10" s="60">
        <f t="shared" si="6"/>
        <v>29.5</v>
      </c>
      <c r="L10" s="60">
        <f t="shared" si="6"/>
        <v>-2.7999999999999829</v>
      </c>
      <c r="M10" s="60">
        <f t="shared" ref="M10" si="7">M8-M9</f>
        <v>94.446999999999974</v>
      </c>
      <c r="N10" s="58">
        <f t="shared" ref="N10" si="8">N8-N9</f>
        <v>33.867999999999995</v>
      </c>
      <c r="O10" s="60">
        <f t="shared" ref="O10:Q10" si="9">O8-O9</f>
        <v>70.697999999999979</v>
      </c>
      <c r="P10" s="60">
        <f t="shared" si="9"/>
        <v>100.12100000000001</v>
      </c>
      <c r="Q10" s="60">
        <f t="shared" si="9"/>
        <v>176.874</v>
      </c>
      <c r="R10" s="58">
        <f t="shared" ref="R10" si="10">R8-R9</f>
        <v>116.65899999999999</v>
      </c>
      <c r="S10" s="60">
        <f>S8-S9</f>
        <v>172.52900000000002</v>
      </c>
      <c r="T10" s="60">
        <f>T8-T9</f>
        <v>223.11900000000003</v>
      </c>
      <c r="U10" s="60">
        <f>U8-U9</f>
        <v>307.88800000000003</v>
      </c>
      <c r="V10" s="58">
        <f>V8-V9</f>
        <v>209.47800000000001</v>
      </c>
    </row>
    <row r="11" spans="1:22" s="42" customFormat="1" x14ac:dyDescent="0.15">
      <c r="A11" s="42" t="s">
        <v>7</v>
      </c>
      <c r="B11" s="23"/>
      <c r="C11" s="23"/>
      <c r="D11" s="23"/>
      <c r="E11" s="23"/>
      <c r="F11" s="18">
        <v>28.1</v>
      </c>
      <c r="G11" s="19">
        <v>36</v>
      </c>
      <c r="H11" s="19">
        <v>54.5</v>
      </c>
      <c r="I11" s="19">
        <v>64.963999999999999</v>
      </c>
      <c r="J11" s="18">
        <v>805.8</v>
      </c>
      <c r="K11" s="23">
        <v>255.7</v>
      </c>
      <c r="L11" s="23">
        <v>239.4</v>
      </c>
      <c r="M11" s="23">
        <v>233.83799999999999</v>
      </c>
      <c r="N11" s="18">
        <v>200.98599999999999</v>
      </c>
      <c r="O11" s="23">
        <v>203.24600000000001</v>
      </c>
      <c r="P11" s="23">
        <v>203.51</v>
      </c>
      <c r="Q11" s="64">
        <v>164.44300000000001</v>
      </c>
      <c r="R11" s="18">
        <v>216.185</v>
      </c>
      <c r="S11" s="23">
        <v>236.19900000000001</v>
      </c>
      <c r="T11" s="23">
        <v>212</v>
      </c>
      <c r="U11" s="23">
        <v>220</v>
      </c>
      <c r="V11" s="43">
        <v>239</v>
      </c>
    </row>
    <row r="12" spans="1:22" s="42" customFormat="1" x14ac:dyDescent="0.15">
      <c r="A12" s="42" t="s">
        <v>8</v>
      </c>
      <c r="B12" s="23"/>
      <c r="C12" s="23"/>
      <c r="D12" s="23"/>
      <c r="E12" s="23"/>
      <c r="F12" s="18">
        <v>14.7</v>
      </c>
      <c r="G12" s="19">
        <v>24.5</v>
      </c>
      <c r="H12" s="19">
        <v>34.6</v>
      </c>
      <c r="I12" s="19">
        <v>50.389000000000003</v>
      </c>
      <c r="J12" s="18">
        <v>219.7</v>
      </c>
      <c r="K12" s="23">
        <v>90.9</v>
      </c>
      <c r="L12" s="23">
        <v>101.5</v>
      </c>
      <c r="M12" s="23">
        <v>110.458</v>
      </c>
      <c r="N12" s="18">
        <v>102.113</v>
      </c>
      <c r="O12" s="23">
        <v>101.685</v>
      </c>
      <c r="P12" s="23">
        <v>97.552000000000007</v>
      </c>
      <c r="Q12" s="64">
        <v>99.474000000000004</v>
      </c>
      <c r="R12" s="18">
        <v>97.882000000000005</v>
      </c>
      <c r="S12" s="23">
        <v>111.504</v>
      </c>
      <c r="T12" s="23">
        <v>123</v>
      </c>
      <c r="U12" s="23">
        <v>126</v>
      </c>
      <c r="V12" s="43">
        <v>122</v>
      </c>
    </row>
    <row r="13" spans="1:22" s="42" customFormat="1" x14ac:dyDescent="0.15">
      <c r="A13" s="42" t="s">
        <v>9</v>
      </c>
      <c r="B13" s="23"/>
      <c r="C13" s="23"/>
      <c r="D13" s="23"/>
      <c r="E13" s="23"/>
      <c r="F13" s="18">
        <v>24</v>
      </c>
      <c r="G13" s="19">
        <v>32.299999999999997</v>
      </c>
      <c r="H13" s="19">
        <v>42.1</v>
      </c>
      <c r="I13" s="19">
        <v>66.715999999999994</v>
      </c>
      <c r="J13" s="18">
        <v>1174.4000000000001</v>
      </c>
      <c r="K13" s="23">
        <v>131.9</v>
      </c>
      <c r="L13" s="23">
        <v>118.1</v>
      </c>
      <c r="M13" s="23">
        <v>111.11499999999999</v>
      </c>
      <c r="N13" s="18">
        <v>123.29900000000001</v>
      </c>
      <c r="O13" s="23">
        <v>123.60899999999999</v>
      </c>
      <c r="P13" s="23">
        <v>122.45</v>
      </c>
      <c r="Q13" s="64">
        <v>107.664</v>
      </c>
      <c r="R13" s="18">
        <v>118.65300000000001</v>
      </c>
      <c r="S13" s="23">
        <v>129.64400000000001</v>
      </c>
      <c r="T13" s="23">
        <v>117</v>
      </c>
      <c r="U13" s="23">
        <v>216</v>
      </c>
      <c r="V13" s="43">
        <v>135</v>
      </c>
    </row>
    <row r="14" spans="1:22" s="42" customFormat="1" x14ac:dyDescent="0.15">
      <c r="A14" s="42" t="s">
        <v>10</v>
      </c>
      <c r="B14" s="23"/>
      <c r="C14" s="23"/>
      <c r="D14" s="23"/>
      <c r="E14" s="23"/>
      <c r="F14" s="58">
        <f>SUM(F11:F13)</f>
        <v>66.8</v>
      </c>
      <c r="G14" s="59">
        <f t="shared" ref="G14:L14" si="11">SUM(G11:G13)</f>
        <v>92.8</v>
      </c>
      <c r="H14" s="59">
        <f t="shared" si="11"/>
        <v>131.19999999999999</v>
      </c>
      <c r="I14" s="59">
        <f t="shared" si="11"/>
        <v>182.06900000000002</v>
      </c>
      <c r="J14" s="58">
        <f t="shared" si="11"/>
        <v>2199.9</v>
      </c>
      <c r="K14" s="60">
        <f t="shared" si="11"/>
        <v>478.5</v>
      </c>
      <c r="L14" s="60">
        <f t="shared" si="11"/>
        <v>459</v>
      </c>
      <c r="M14" s="60">
        <f t="shared" ref="M14" si="12">SUM(M11:M13)</f>
        <v>455.411</v>
      </c>
      <c r="N14" s="58">
        <f t="shared" ref="N14" si="13">SUM(N11:N13)</f>
        <v>426.39800000000002</v>
      </c>
      <c r="O14" s="60">
        <f t="shared" ref="O14:P14" si="14">SUM(O11:O13)</f>
        <v>428.54</v>
      </c>
      <c r="P14" s="60">
        <f t="shared" si="14"/>
        <v>423.512</v>
      </c>
      <c r="Q14" s="60">
        <f t="shared" ref="Q14:S14" si="15">SUM(Q11:Q13)</f>
        <v>371.58100000000002</v>
      </c>
      <c r="R14" s="58">
        <f t="shared" si="15"/>
        <v>432.72</v>
      </c>
      <c r="S14" s="60">
        <f t="shared" si="15"/>
        <v>477.34700000000004</v>
      </c>
      <c r="T14" s="60">
        <f t="shared" ref="T14:U14" si="16">SUM(T11:T13)</f>
        <v>452</v>
      </c>
      <c r="U14" s="60">
        <f t="shared" si="16"/>
        <v>562</v>
      </c>
      <c r="V14" s="58">
        <f t="shared" ref="V14" si="17">SUM(V11:V13)</f>
        <v>496</v>
      </c>
    </row>
    <row r="15" spans="1:22" s="42" customFormat="1" x14ac:dyDescent="0.15">
      <c r="A15" s="42" t="s">
        <v>11</v>
      </c>
      <c r="B15" s="23"/>
      <c r="C15" s="23"/>
      <c r="D15" s="23"/>
      <c r="E15" s="23"/>
      <c r="F15" s="58">
        <f>F10-F14</f>
        <v>-103.8</v>
      </c>
      <c r="G15" s="59">
        <f t="shared" ref="G15:H15" si="18">G10-G14</f>
        <v>-115.8</v>
      </c>
      <c r="H15" s="59">
        <f t="shared" si="18"/>
        <v>-130.80000000000001</v>
      </c>
      <c r="I15" s="59">
        <f t="shared" ref="I15:Q15" si="19">I10-I14</f>
        <v>-169.73699999999999</v>
      </c>
      <c r="J15" s="58">
        <f t="shared" si="19"/>
        <v>-2213.6</v>
      </c>
      <c r="K15" s="60">
        <f t="shared" si="19"/>
        <v>-449</v>
      </c>
      <c r="L15" s="60">
        <f t="shared" si="19"/>
        <v>-461.79999999999995</v>
      </c>
      <c r="M15" s="60">
        <f t="shared" si="19"/>
        <v>-360.96400000000006</v>
      </c>
      <c r="N15" s="58">
        <f t="shared" si="19"/>
        <v>-392.53000000000003</v>
      </c>
      <c r="O15" s="60">
        <f t="shared" si="19"/>
        <v>-357.84200000000004</v>
      </c>
      <c r="P15" s="60">
        <f t="shared" si="19"/>
        <v>-323.39099999999996</v>
      </c>
      <c r="Q15" s="60">
        <f t="shared" si="19"/>
        <v>-194.70700000000002</v>
      </c>
      <c r="R15" s="58">
        <f t="shared" ref="R15:S15" si="20">R10-R14</f>
        <v>-316.06100000000004</v>
      </c>
      <c r="S15" s="60">
        <f t="shared" si="20"/>
        <v>-304.81799999999998</v>
      </c>
      <c r="T15" s="60">
        <f t="shared" ref="T15:U15" si="21">T10-T14</f>
        <v>-228.88099999999997</v>
      </c>
      <c r="U15" s="60">
        <f t="shared" si="21"/>
        <v>-254.11199999999997</v>
      </c>
      <c r="V15" s="58">
        <f t="shared" ref="V15" si="22">V10-V14</f>
        <v>-286.52199999999999</v>
      </c>
    </row>
    <row r="16" spans="1:22" s="42" customFormat="1" x14ac:dyDescent="0.15">
      <c r="A16" s="42" t="s">
        <v>12</v>
      </c>
      <c r="B16" s="23"/>
      <c r="C16" s="23"/>
      <c r="D16" s="23"/>
      <c r="E16" s="23"/>
      <c r="F16" s="18">
        <f>0.4-1</f>
        <v>-0.6</v>
      </c>
      <c r="G16" s="19">
        <f>0.8-0.9</f>
        <v>-9.9999999999999978E-2</v>
      </c>
      <c r="H16" s="19">
        <f>1.9-0.6-1.4</f>
        <v>-0.10000000000000009</v>
      </c>
      <c r="I16" s="19">
        <f>1.486-0.776-1.215</f>
        <v>-0.50500000000000012</v>
      </c>
      <c r="J16" s="18">
        <f>2.4-0.7+0.2</f>
        <v>1.9</v>
      </c>
      <c r="K16" s="23">
        <f>6.3-0.9+0.8</f>
        <v>6.1999999999999993</v>
      </c>
      <c r="L16" s="23">
        <f>6.2-0.9+1</f>
        <v>6.3</v>
      </c>
      <c r="M16" s="23">
        <f>6.07-0.876+2.535</f>
        <v>7.7290000000000001</v>
      </c>
      <c r="N16" s="18">
        <f>6.104-0.934+3.153</f>
        <v>8.3230000000000004</v>
      </c>
      <c r="O16" s="23">
        <f>6.6-0.93-0.061</f>
        <v>5.609</v>
      </c>
      <c r="P16" s="23">
        <f>7.011-0.919-7.625</f>
        <v>-1.5329999999999995</v>
      </c>
      <c r="Q16" s="64">
        <f>7.513-1.111-3.715</f>
        <v>2.6870000000000003</v>
      </c>
      <c r="R16" s="18">
        <f>7.816-0.756-1.127</f>
        <v>5.9329999999999998</v>
      </c>
      <c r="S16" s="23">
        <f>7.446-0.809+44.085</f>
        <v>50.722000000000001</v>
      </c>
      <c r="T16" s="42">
        <f>+-1</f>
        <v>-1</v>
      </c>
      <c r="U16" s="42">
        <f>10-15+18</f>
        <v>13</v>
      </c>
      <c r="V16" s="43">
        <f>9-15-12</f>
        <v>-18</v>
      </c>
    </row>
    <row r="17" spans="1:22" s="42" customFormat="1" x14ac:dyDescent="0.15">
      <c r="A17" s="42" t="s">
        <v>13</v>
      </c>
      <c r="B17" s="23"/>
      <c r="C17" s="23"/>
      <c r="D17" s="23"/>
      <c r="E17" s="23"/>
      <c r="F17" s="58">
        <f>F15+F16</f>
        <v>-104.39999999999999</v>
      </c>
      <c r="G17" s="59">
        <f t="shared" ref="G17:I17" si="23">G15+G16</f>
        <v>-115.89999999999999</v>
      </c>
      <c r="H17" s="59">
        <f>H15+H16</f>
        <v>-130.9</v>
      </c>
      <c r="I17" s="59">
        <f t="shared" si="23"/>
        <v>-170.24199999999999</v>
      </c>
      <c r="J17" s="58">
        <f>J15+J16</f>
        <v>-2211.6999999999998</v>
      </c>
      <c r="K17" s="60">
        <f t="shared" ref="K17" si="24">K15+K16</f>
        <v>-442.8</v>
      </c>
      <c r="L17" s="60">
        <f t="shared" ref="L17" si="25">L15+L16</f>
        <v>-455.49999999999994</v>
      </c>
      <c r="M17" s="60">
        <f t="shared" ref="M17" si="26">M15+M16</f>
        <v>-353.23500000000007</v>
      </c>
      <c r="N17" s="58">
        <f t="shared" ref="N17" si="27">N15+N16</f>
        <v>-384.20700000000005</v>
      </c>
      <c r="O17" s="60">
        <f t="shared" ref="O17:Q17" si="28">O15+O16</f>
        <v>-352.23300000000006</v>
      </c>
      <c r="P17" s="60">
        <f t="shared" si="28"/>
        <v>-324.92399999999998</v>
      </c>
      <c r="Q17" s="60">
        <f t="shared" si="28"/>
        <v>-192.02</v>
      </c>
      <c r="R17" s="58">
        <f t="shared" ref="R17:V17" si="29">R15+R16</f>
        <v>-310.12800000000004</v>
      </c>
      <c r="S17" s="60">
        <f t="shared" si="29"/>
        <v>-254.09599999999998</v>
      </c>
      <c r="T17" s="60">
        <f t="shared" si="29"/>
        <v>-229.88099999999997</v>
      </c>
      <c r="U17" s="60">
        <f t="shared" si="29"/>
        <v>-241.11199999999997</v>
      </c>
      <c r="V17" s="58">
        <f t="shared" si="29"/>
        <v>-304.52199999999999</v>
      </c>
    </row>
    <row r="18" spans="1:22" s="42" customFormat="1" x14ac:dyDescent="0.15">
      <c r="A18" s="42" t="s">
        <v>14</v>
      </c>
      <c r="B18" s="23"/>
      <c r="C18" s="23"/>
      <c r="D18" s="23"/>
      <c r="E18" s="23"/>
      <c r="F18" s="18">
        <v>0.1</v>
      </c>
      <c r="G18" s="19">
        <v>0</v>
      </c>
      <c r="H18" s="19">
        <v>-6.8</v>
      </c>
      <c r="I18" s="19">
        <v>-0.29699999999999999</v>
      </c>
      <c r="J18" s="18">
        <v>-3</v>
      </c>
      <c r="K18" s="23">
        <v>0.2</v>
      </c>
      <c r="L18" s="23">
        <v>-12.3</v>
      </c>
      <c r="M18" s="23">
        <v>-3.24</v>
      </c>
      <c r="N18" s="18">
        <v>1.5780000000000001</v>
      </c>
      <c r="O18" s="23">
        <v>1.077</v>
      </c>
      <c r="P18" s="23">
        <v>0.24399999999999999</v>
      </c>
      <c r="Q18" s="64">
        <v>-0.35199999999999998</v>
      </c>
      <c r="R18" s="18">
        <v>0.27900000000000003</v>
      </c>
      <c r="S18" s="23">
        <v>1.0780000000000001</v>
      </c>
      <c r="T18" s="42">
        <v>-1</v>
      </c>
      <c r="U18" s="42">
        <v>0</v>
      </c>
      <c r="V18" s="43">
        <v>-1</v>
      </c>
    </row>
    <row r="19" spans="1:22" s="61" customFormat="1" x14ac:dyDescent="0.15">
      <c r="A19" s="61" t="s">
        <v>15</v>
      </c>
      <c r="B19" s="28"/>
      <c r="C19" s="28"/>
      <c r="D19" s="28"/>
      <c r="E19" s="28"/>
      <c r="F19" s="49">
        <f>F17-F18</f>
        <v>-104.49999999999999</v>
      </c>
      <c r="G19" s="50">
        <f t="shared" ref="G19" si="30">G17-G18</f>
        <v>-115.89999999999999</v>
      </c>
      <c r="H19" s="50">
        <f t="shared" ref="H19:L19" si="31">H17-H18</f>
        <v>-124.10000000000001</v>
      </c>
      <c r="I19" s="50">
        <f t="shared" si="31"/>
        <v>-169.94499999999999</v>
      </c>
      <c r="J19" s="49">
        <f t="shared" si="31"/>
        <v>-2208.6999999999998</v>
      </c>
      <c r="K19" s="45">
        <f t="shared" si="31"/>
        <v>-443</v>
      </c>
      <c r="L19" s="45">
        <f t="shared" si="31"/>
        <v>-443.19999999999993</v>
      </c>
      <c r="M19" s="45">
        <f t="shared" ref="M19" si="32">M17-M18</f>
        <v>-349.99500000000006</v>
      </c>
      <c r="N19" s="49">
        <f t="shared" ref="N19" si="33">N17-N18</f>
        <v>-385.78500000000003</v>
      </c>
      <c r="O19" s="45">
        <f t="shared" ref="O19:P19" si="34">O17-O18</f>
        <v>-353.31000000000006</v>
      </c>
      <c r="P19" s="45">
        <f t="shared" si="34"/>
        <v>-325.16800000000001</v>
      </c>
      <c r="Q19" s="45">
        <f t="shared" ref="Q19:R19" si="35">Q17-Q18</f>
        <v>-191.66800000000001</v>
      </c>
      <c r="R19" s="49">
        <f t="shared" si="35"/>
        <v>-310.40700000000004</v>
      </c>
      <c r="S19" s="45">
        <f>S17-S18</f>
        <v>-255.17399999999998</v>
      </c>
      <c r="T19" s="45">
        <f>T17-T18</f>
        <v>-228.88099999999997</v>
      </c>
      <c r="U19" s="45">
        <f>U17-U18</f>
        <v>-241.11199999999997</v>
      </c>
      <c r="V19" s="49">
        <f>V17-V18</f>
        <v>-303.52199999999999</v>
      </c>
    </row>
    <row r="20" spans="1:22" x14ac:dyDescent="0.15">
      <c r="A20" s="1" t="s">
        <v>16</v>
      </c>
      <c r="B20" s="29"/>
      <c r="C20" s="29"/>
      <c r="D20" s="29"/>
      <c r="E20" s="29"/>
      <c r="F20" s="46">
        <v>-0.14000000000000001</v>
      </c>
      <c r="G20" s="47">
        <v>-0.14000000000000001</v>
      </c>
      <c r="H20" s="47">
        <v>-0.15</v>
      </c>
      <c r="I20" s="47">
        <f t="shared" ref="I20:L20" si="36">IFERROR(I19/I21,0)</f>
        <v>-0.2</v>
      </c>
      <c r="J20" s="46">
        <f>IFERROR(J19/J21,0)</f>
        <v>-1.873367260390161</v>
      </c>
      <c r="K20" s="48">
        <f t="shared" si="36"/>
        <v>-0.37009189640768586</v>
      </c>
      <c r="L20" s="48">
        <f t="shared" si="36"/>
        <v>-0.35945054027070711</v>
      </c>
      <c r="M20" s="48">
        <f t="shared" ref="M20" si="37">IFERROR(M19/M21,0)</f>
        <v>-0.28000000000000003</v>
      </c>
      <c r="N20" s="46">
        <f t="shared" ref="N20" si="38">IFERROR(N19/N21,0)</f>
        <v>-0.30352919516789167</v>
      </c>
      <c r="O20" s="48">
        <f t="shared" ref="O20:P20" si="39">IFERROR(O19/O21,0)</f>
        <v>-0.27</v>
      </c>
      <c r="P20" s="48">
        <f t="shared" si="39"/>
        <v>-0.2482353857264348</v>
      </c>
      <c r="Q20" s="48">
        <f t="shared" ref="Q20:S20" si="40">IFERROR(Q19/Q21,0)</f>
        <v>-0.14467059866038476</v>
      </c>
      <c r="R20" s="46">
        <f t="shared" si="40"/>
        <v>-0.23154074808949626</v>
      </c>
      <c r="S20" s="48">
        <f t="shared" si="40"/>
        <v>-0.18727762186028485</v>
      </c>
      <c r="T20" s="48">
        <f t="shared" ref="T20:V20" si="41">IFERROR(T19/T21,0)</f>
        <v>-0.16426575223309442</v>
      </c>
      <c r="U20" s="48">
        <f t="shared" si="41"/>
        <v>-0.17105977287287363</v>
      </c>
      <c r="V20" s="46">
        <f t="shared" si="41"/>
        <v>-0.21280301197850388</v>
      </c>
    </row>
    <row r="21" spans="1:22" s="42" customFormat="1" x14ac:dyDescent="0.15">
      <c r="A21" s="42" t="s">
        <v>17</v>
      </c>
      <c r="B21" s="23"/>
      <c r="C21" s="23"/>
      <c r="D21" s="23"/>
      <c r="E21" s="23"/>
      <c r="F21" s="18">
        <f>F19/F20</f>
        <v>746.42857142857122</v>
      </c>
      <c r="G21" s="19">
        <f>G19/G20</f>
        <v>827.85714285714266</v>
      </c>
      <c r="H21" s="23">
        <f>H19/H20</f>
        <v>827.33333333333337</v>
      </c>
      <c r="I21" s="19">
        <f>I19/-0.2</f>
        <v>849.72499999999991</v>
      </c>
      <c r="J21" s="18">
        <f>682+281+216</f>
        <v>1179</v>
      </c>
      <c r="K21" s="23">
        <f>811+170+216</f>
        <v>1197</v>
      </c>
      <c r="L21" s="23">
        <v>1232.9929999999999</v>
      </c>
      <c r="M21" s="23">
        <f>M19/-0.28</f>
        <v>1249.9821428571429</v>
      </c>
      <c r="N21" s="18">
        <v>1270.998</v>
      </c>
      <c r="O21" s="23">
        <f>O19/-0.27</f>
        <v>1308.5555555555557</v>
      </c>
      <c r="P21" s="23">
        <v>1309.9179999999999</v>
      </c>
      <c r="Q21" s="64">
        <v>1324.8579999999999</v>
      </c>
      <c r="R21" s="18">
        <v>1340.615</v>
      </c>
      <c r="S21" s="23">
        <v>1362.5440000000001</v>
      </c>
      <c r="T21" s="23">
        <v>1393.3579999999999</v>
      </c>
      <c r="U21" s="23">
        <v>1409.519</v>
      </c>
      <c r="V21" s="43">
        <v>1426.3050000000001</v>
      </c>
    </row>
    <row r="22" spans="1:22" x14ac:dyDescent="0.15">
      <c r="B22" s="23"/>
      <c r="C22" s="23"/>
      <c r="D22" s="23"/>
      <c r="E22" s="23"/>
      <c r="F22" s="18"/>
      <c r="G22" s="19"/>
      <c r="H22" s="23"/>
      <c r="I22" s="19"/>
      <c r="J22" s="18"/>
      <c r="K22" s="23"/>
      <c r="L22" s="23"/>
      <c r="M22" s="23"/>
      <c r="N22" s="18"/>
      <c r="O22" s="23"/>
      <c r="P22" s="23"/>
      <c r="Q22" s="64"/>
      <c r="R22" s="18"/>
      <c r="S22" s="23"/>
    </row>
    <row r="23" spans="1:22" x14ac:dyDescent="0.15">
      <c r="A23" s="1" t="s">
        <v>19</v>
      </c>
      <c r="B23" s="30"/>
      <c r="C23" s="30"/>
      <c r="D23" s="30"/>
      <c r="E23" s="30"/>
      <c r="F23" s="31">
        <f t="shared" ref="F23:Q23" si="42">IFERROR(F10/F8,0)</f>
        <v>-0.95360824742268047</v>
      </c>
      <c r="G23" s="32">
        <f t="shared" si="42"/>
        <v>-0.32078103207810321</v>
      </c>
      <c r="H23" s="32">
        <f t="shared" si="42"/>
        <v>3.1201248049921334E-3</v>
      </c>
      <c r="I23" s="32">
        <f t="shared" si="42"/>
        <v>7.443174273608491E-2</v>
      </c>
      <c r="J23" s="31">
        <f t="shared" si="42"/>
        <v>-9.1577540106951988E-2</v>
      </c>
      <c r="K23" s="30">
        <f t="shared" si="42"/>
        <v>0.16244493392070486</v>
      </c>
      <c r="L23" s="30">
        <f t="shared" si="42"/>
        <v>-1.3468013468013386E-2</v>
      </c>
      <c r="M23" s="30">
        <f t="shared" si="42"/>
        <v>0.33058912889010222</v>
      </c>
      <c r="N23" s="31">
        <f t="shared" si="42"/>
        <v>0.14682701395090736</v>
      </c>
      <c r="O23" s="30">
        <f t="shared" si="42"/>
        <v>0.2695690966701364</v>
      </c>
      <c r="P23" s="30">
        <f t="shared" si="42"/>
        <v>0.33634332745443857</v>
      </c>
      <c r="Q23" s="57">
        <f t="shared" si="42"/>
        <v>0.45373016402357996</v>
      </c>
      <c r="R23" s="31">
        <f t="shared" ref="R23" si="43">IFERROR(R10/R8,0)</f>
        <v>0.36407470055488628</v>
      </c>
      <c r="S23" s="30">
        <f>IFERROR(S10/S8,0)</f>
        <v>0.44463830565871437</v>
      </c>
      <c r="T23" s="30">
        <f t="shared" ref="T23:U23" si="44">IFERROR(T10/T8,0)</f>
        <v>0.50013337248581657</v>
      </c>
      <c r="U23" s="30">
        <f t="shared" si="44"/>
        <v>0.54892955456347792</v>
      </c>
      <c r="V23" s="31">
        <f t="shared" ref="V23" si="45">IFERROR(V10/V8,0)</f>
        <v>0.45294695099010118</v>
      </c>
    </row>
    <row r="24" spans="1:22" x14ac:dyDescent="0.15">
      <c r="A24" s="1" t="s">
        <v>20</v>
      </c>
      <c r="B24" s="33"/>
      <c r="C24" s="33"/>
      <c r="D24" s="33"/>
      <c r="E24" s="33"/>
      <c r="F24" s="34">
        <f t="shared" ref="F24:Q24" si="46">IFERROR(F15/F8,0)</f>
        <v>-2.6752577319587632</v>
      </c>
      <c r="G24" s="35">
        <f t="shared" si="46"/>
        <v>-1.615062761506276</v>
      </c>
      <c r="H24" s="35">
        <f t="shared" si="46"/>
        <v>-1.0202808112324495</v>
      </c>
      <c r="I24" s="35">
        <f t="shared" si="46"/>
        <v>-1.0244745959126518</v>
      </c>
      <c r="J24" s="34">
        <f t="shared" si="46"/>
        <v>-14.796791443850267</v>
      </c>
      <c r="K24" s="33">
        <f t="shared" si="46"/>
        <v>-2.4724669603524232</v>
      </c>
      <c r="L24" s="33">
        <f t="shared" si="46"/>
        <v>-2.2212602212602208</v>
      </c>
      <c r="M24" s="33">
        <f t="shared" si="46"/>
        <v>-1.2634681283755642</v>
      </c>
      <c r="N24" s="34">
        <f t="shared" si="46"/>
        <v>-1.7017245714582991</v>
      </c>
      <c r="O24" s="33">
        <f t="shared" si="46"/>
        <v>-1.364439513007935</v>
      </c>
      <c r="P24" s="33">
        <f t="shared" si="46"/>
        <v>-1.0863895187704711</v>
      </c>
      <c r="Q24" s="66">
        <f t="shared" si="46"/>
        <v>-0.49947668423023844</v>
      </c>
      <c r="R24" s="34">
        <f t="shared" ref="R24:S24" si="47">IFERROR(R15/R8,0)</f>
        <v>-0.9863775099398927</v>
      </c>
      <c r="S24" s="33">
        <f t="shared" si="47"/>
        <v>-0.78557088405009001</v>
      </c>
      <c r="T24" s="33">
        <f t="shared" ref="T24:U24" si="48">IFERROR(T15/T8,0)</f>
        <v>-0.51304920884338023</v>
      </c>
      <c r="U24" s="33">
        <f t="shared" si="48"/>
        <v>-0.45305301593187935</v>
      </c>
      <c r="V24" s="34">
        <f t="shared" ref="V24" si="49">IFERROR(V15/V8,0)</f>
        <v>-0.61953649687120249</v>
      </c>
    </row>
    <row r="25" spans="1:22" x14ac:dyDescent="0.15">
      <c r="A25" s="1" t="s">
        <v>21</v>
      </c>
      <c r="B25" s="33"/>
      <c r="C25" s="33"/>
      <c r="D25" s="33"/>
      <c r="E25" s="33"/>
      <c r="F25" s="34">
        <f t="shared" ref="F25:Q25" si="50">IFERROR(F18/F17,0)</f>
        <v>-9.5785440613026837E-4</v>
      </c>
      <c r="G25" s="35">
        <f t="shared" si="50"/>
        <v>0</v>
      </c>
      <c r="H25" s="35">
        <f t="shared" si="50"/>
        <v>5.1948051948051945E-2</v>
      </c>
      <c r="I25" s="35">
        <f t="shared" si="50"/>
        <v>1.7445753691803434E-3</v>
      </c>
      <c r="J25" s="34">
        <f t="shared" si="50"/>
        <v>1.3564226613012615E-3</v>
      </c>
      <c r="K25" s="33">
        <f t="shared" si="50"/>
        <v>-4.5167118337850049E-4</v>
      </c>
      <c r="L25" s="33">
        <f t="shared" si="50"/>
        <v>2.7003293084522508E-2</v>
      </c>
      <c r="M25" s="33">
        <f t="shared" si="50"/>
        <v>9.1723640069642006E-3</v>
      </c>
      <c r="N25" s="34">
        <f t="shared" si="50"/>
        <v>-4.1071609835323141E-3</v>
      </c>
      <c r="O25" s="33">
        <f t="shared" si="50"/>
        <v>-3.0576351449182779E-3</v>
      </c>
      <c r="P25" s="33">
        <f t="shared" si="50"/>
        <v>-7.5094483633095742E-4</v>
      </c>
      <c r="Q25" s="66">
        <f t="shared" si="50"/>
        <v>1.8331423810019787E-3</v>
      </c>
      <c r="R25" s="34">
        <f t="shared" ref="R25:S25" si="51">IFERROR(R18/R17,0)</f>
        <v>-8.9962854047361083E-4</v>
      </c>
      <c r="S25" s="33">
        <f t="shared" si="51"/>
        <v>-4.2424910270134134E-3</v>
      </c>
      <c r="T25" s="33">
        <f t="shared" ref="T25:U25" si="52">IFERROR(T18/T17,0)</f>
        <v>4.3500767788551475E-3</v>
      </c>
      <c r="U25" s="33">
        <f t="shared" si="52"/>
        <v>0</v>
      </c>
      <c r="V25" s="34">
        <f t="shared" ref="V25" si="53">IFERROR(V18/V17,0)</f>
        <v>3.2838349938592287E-3</v>
      </c>
    </row>
    <row r="26" spans="1:22" x14ac:dyDescent="0.15">
      <c r="B26" s="24"/>
      <c r="C26" s="24"/>
      <c r="D26" s="24"/>
      <c r="E26" s="24"/>
      <c r="K26" s="24"/>
      <c r="L26" s="24"/>
      <c r="M26" s="24"/>
      <c r="O26" s="24"/>
      <c r="P26" s="24"/>
      <c r="Q26" s="67"/>
      <c r="R26" s="17"/>
      <c r="S26" s="24"/>
    </row>
    <row r="27" spans="1:22" s="25" customFormat="1" x14ac:dyDescent="0.15">
      <c r="A27" s="25" t="s">
        <v>18</v>
      </c>
      <c r="B27" s="36"/>
      <c r="C27" s="36"/>
      <c r="D27" s="36"/>
      <c r="E27" s="36"/>
      <c r="F27" s="37"/>
      <c r="G27" s="36"/>
      <c r="H27" s="36"/>
      <c r="I27" s="36"/>
      <c r="J27" s="37">
        <f t="shared" ref="J27:R27" si="54">IFERROR((J8/F8)-1,0)</f>
        <v>2.8556701030927836</v>
      </c>
      <c r="K27" s="36">
        <f t="shared" si="54"/>
        <v>1.5327754532775453</v>
      </c>
      <c r="L27" s="36">
        <f t="shared" si="54"/>
        <v>0.62168486739469597</v>
      </c>
      <c r="M27" s="36">
        <f t="shared" si="54"/>
        <v>0.72434543281708308</v>
      </c>
      <c r="N27" s="37">
        <f t="shared" si="54"/>
        <v>0.54188502673796801</v>
      </c>
      <c r="O27" s="36">
        <f t="shared" si="54"/>
        <v>0.4441795154185022</v>
      </c>
      <c r="P27" s="36">
        <f t="shared" si="54"/>
        <v>0.43181818181818188</v>
      </c>
      <c r="Q27" s="56">
        <f t="shared" si="54"/>
        <v>0.36447865365969778</v>
      </c>
      <c r="R27" s="37">
        <f t="shared" si="54"/>
        <v>0.38913407264182842</v>
      </c>
      <c r="S27" s="36">
        <f>IFERROR((S8/O8)-1,0)</f>
        <v>0.47951102519226896</v>
      </c>
      <c r="T27" s="36">
        <f>IFERROR((T8/P8)-1,0)</f>
        <v>0.49867808851935846</v>
      </c>
      <c r="U27" s="36">
        <f>IFERROR((U8/Q8)-1,0)</f>
        <v>0.4388310562256621</v>
      </c>
      <c r="V27" s="37">
        <f>IFERROR((V8/R8)-1,0)</f>
        <v>0.44332232715197906</v>
      </c>
    </row>
    <row r="28" spans="1:22" x14ac:dyDescent="0.15">
      <c r="A28" s="1" t="s">
        <v>70</v>
      </c>
      <c r="B28" s="24"/>
      <c r="C28" s="24"/>
      <c r="D28" s="24"/>
      <c r="E28" s="24"/>
      <c r="J28" s="31">
        <f>J11/F11-1</f>
        <v>27.67615658362989</v>
      </c>
      <c r="K28" s="30">
        <f t="shared" ref="K28:M28" si="55">K11/G11-1</f>
        <v>6.1027777777777779</v>
      </c>
      <c r="L28" s="30">
        <f t="shared" si="55"/>
        <v>3.3926605504587153</v>
      </c>
      <c r="M28" s="30">
        <f t="shared" si="55"/>
        <v>2.5995012622375469</v>
      </c>
      <c r="N28" s="31">
        <f t="shared" ref="N28:V30" si="56">N11/J11-1</f>
        <v>-0.75057582526681554</v>
      </c>
      <c r="O28" s="30">
        <f t="shared" si="56"/>
        <v>-0.20513883457176374</v>
      </c>
      <c r="P28" s="30">
        <f t="shared" si="56"/>
        <v>-0.14991645781119467</v>
      </c>
      <c r="Q28" s="57">
        <f t="shared" si="56"/>
        <v>-0.29676528194733098</v>
      </c>
      <c r="R28" s="31">
        <f t="shared" si="56"/>
        <v>7.5622182639586866E-2</v>
      </c>
      <c r="S28" s="30">
        <f t="shared" si="56"/>
        <v>0.16213357212442059</v>
      </c>
      <c r="T28" s="30">
        <f t="shared" si="56"/>
        <v>4.1717851702619102E-2</v>
      </c>
      <c r="U28" s="30">
        <f>U11/Q11-1</f>
        <v>0.3378495892193647</v>
      </c>
      <c r="V28" s="31">
        <f>V11/R11-1</f>
        <v>0.10553461155954391</v>
      </c>
    </row>
    <row r="29" spans="1:22" x14ac:dyDescent="0.15">
      <c r="A29" s="1" t="s">
        <v>71</v>
      </c>
      <c r="J29" s="31">
        <f t="shared" ref="J29:M29" si="57">J12/F12-1</f>
        <v>13.945578231292517</v>
      </c>
      <c r="K29" s="30">
        <f t="shared" si="57"/>
        <v>2.7102040816326531</v>
      </c>
      <c r="L29" s="30">
        <f t="shared" si="57"/>
        <v>1.9335260115606934</v>
      </c>
      <c r="M29" s="30">
        <f t="shared" si="57"/>
        <v>1.1921054198336938</v>
      </c>
      <c r="N29" s="31">
        <f t="shared" si="56"/>
        <v>-0.53521620391442881</v>
      </c>
      <c r="O29" s="30">
        <f t="shared" si="56"/>
        <v>0.11864686468646868</v>
      </c>
      <c r="P29" s="30">
        <f t="shared" si="56"/>
        <v>-3.8896551724137862E-2</v>
      </c>
      <c r="Q29" s="57">
        <f t="shared" si="56"/>
        <v>-9.9440511325571634E-2</v>
      </c>
      <c r="R29" s="31">
        <f t="shared" si="56"/>
        <v>-4.1434489242309969E-2</v>
      </c>
      <c r="S29" s="30">
        <f t="shared" si="56"/>
        <v>9.6562914884201323E-2</v>
      </c>
      <c r="T29" s="30">
        <f t="shared" si="56"/>
        <v>0.26086599967196977</v>
      </c>
      <c r="U29" s="30">
        <f t="shared" si="56"/>
        <v>0.26666264551541108</v>
      </c>
      <c r="V29" s="31">
        <f t="shared" si="56"/>
        <v>0.2463987249954025</v>
      </c>
    </row>
    <row r="30" spans="1:22" x14ac:dyDescent="0.15">
      <c r="A30" s="1" t="s">
        <v>72</v>
      </c>
      <c r="J30" s="31">
        <f t="shared" ref="J30:M30" si="58">J13/F13-1</f>
        <v>47.933333333333337</v>
      </c>
      <c r="K30" s="30">
        <f t="shared" si="58"/>
        <v>3.0835913312693508</v>
      </c>
      <c r="L30" s="30">
        <f t="shared" si="58"/>
        <v>1.8052256532066506</v>
      </c>
      <c r="M30" s="30">
        <f t="shared" si="58"/>
        <v>0.66549253552371246</v>
      </c>
      <c r="N30" s="31">
        <f t="shared" si="56"/>
        <v>-0.89501106948228881</v>
      </c>
      <c r="O30" s="30">
        <f t="shared" si="56"/>
        <v>-6.2858225928734024E-2</v>
      </c>
      <c r="P30" s="30">
        <f t="shared" si="56"/>
        <v>3.6833192209991594E-2</v>
      </c>
      <c r="Q30" s="57">
        <f t="shared" si="56"/>
        <v>-3.1057912973045831E-2</v>
      </c>
      <c r="R30" s="31">
        <f t="shared" si="56"/>
        <v>-3.7680759779073592E-2</v>
      </c>
      <c r="S30" s="30">
        <f t="shared" si="56"/>
        <v>4.8823305746345413E-2</v>
      </c>
      <c r="T30" s="30">
        <f t="shared" si="56"/>
        <v>-4.4507962433646409E-2</v>
      </c>
      <c r="U30" s="30">
        <f t="shared" si="56"/>
        <v>1.0062416406598307</v>
      </c>
      <c r="V30" s="31">
        <f t="shared" si="56"/>
        <v>0.13777148491820679</v>
      </c>
    </row>
    <row r="31" spans="1:22" x14ac:dyDescent="0.15">
      <c r="B31" s="24"/>
      <c r="C31" s="24"/>
      <c r="D31" s="24"/>
      <c r="E31" s="24"/>
      <c r="K31" s="24"/>
      <c r="L31" s="24"/>
      <c r="O31" s="24"/>
      <c r="P31" s="24"/>
      <c r="Q31" s="67"/>
      <c r="R31" s="17"/>
      <c r="S31" s="24"/>
    </row>
    <row r="32" spans="1:22" s="25" customFormat="1" x14ac:dyDescent="0.15">
      <c r="A32" s="25" t="s">
        <v>33</v>
      </c>
      <c r="B32" s="28"/>
      <c r="C32" s="28"/>
      <c r="D32" s="28"/>
      <c r="E32" s="28"/>
      <c r="F32" s="27"/>
      <c r="G32" s="38"/>
      <c r="H32" s="38"/>
      <c r="I32" s="45">
        <f>I33-I34</f>
        <v>987.36799999999994</v>
      </c>
      <c r="J32" s="49">
        <f t="shared" ref="J32:K32" si="59">J33-J34</f>
        <v>3242</v>
      </c>
      <c r="K32" s="45">
        <f t="shared" si="59"/>
        <v>2798</v>
      </c>
      <c r="L32" s="45">
        <f t="shared" ref="L32:Q32" si="60">L33-L34</f>
        <v>2299</v>
      </c>
      <c r="M32" s="45">
        <f t="shared" si="60"/>
        <v>2043.0390000000002</v>
      </c>
      <c r="N32" s="49">
        <f t="shared" si="60"/>
        <v>1821.3530000000001</v>
      </c>
      <c r="O32" s="45">
        <f t="shared" si="60"/>
        <v>1569.463</v>
      </c>
      <c r="P32" s="45">
        <f t="shared" si="60"/>
        <v>1414.4070000000002</v>
      </c>
      <c r="Q32" s="45">
        <f t="shared" si="60"/>
        <v>1279.0630000000001</v>
      </c>
      <c r="R32" s="49">
        <f t="shared" ref="R32:S32" si="61">R33-R34</f>
        <v>1208.732</v>
      </c>
      <c r="S32" s="45">
        <f t="shared" si="61"/>
        <v>1184.7939999999999</v>
      </c>
      <c r="T32" s="45">
        <f t="shared" ref="T32:U32" si="62">T33-T34</f>
        <v>1381</v>
      </c>
      <c r="U32" s="45">
        <f t="shared" si="62"/>
        <v>1220</v>
      </c>
      <c r="V32" s="49">
        <f t="shared" ref="V32" si="63">V33-V34</f>
        <v>1179</v>
      </c>
    </row>
    <row r="33" spans="1:22" x14ac:dyDescent="0.15">
      <c r="A33" s="1" t="s">
        <v>34</v>
      </c>
      <c r="B33" s="23"/>
      <c r="C33" s="23"/>
      <c r="D33" s="23"/>
      <c r="E33" s="23"/>
      <c r="F33" s="18"/>
      <c r="G33" s="19"/>
      <c r="H33" s="19"/>
      <c r="I33" s="23">
        <f>150.121+837.247</f>
        <v>987.36799999999994</v>
      </c>
      <c r="J33" s="18">
        <f>1427+1815</f>
        <v>3242</v>
      </c>
      <c r="K33" s="23">
        <f>502+2296</f>
        <v>2798</v>
      </c>
      <c r="L33" s="23">
        <f>318+1981</f>
        <v>2299</v>
      </c>
      <c r="M33" s="23">
        <f>334.063+1708.976</f>
        <v>2043.0390000000002</v>
      </c>
      <c r="N33" s="18">
        <f>466.323+1355.03</f>
        <v>1821.3530000000001</v>
      </c>
      <c r="O33" s="23">
        <f>393.183+1176.28</f>
        <v>1569.463</v>
      </c>
      <c r="P33" s="23">
        <f>350.398+1064.009</f>
        <v>1414.4070000000002</v>
      </c>
      <c r="Q33" s="64">
        <f>387.149+891.914</f>
        <v>1279.0630000000001</v>
      </c>
      <c r="R33" s="18">
        <f>245.639+963.093</f>
        <v>1208.732</v>
      </c>
      <c r="S33" s="23">
        <f>335.744+849.05</f>
        <v>1184.7939999999999</v>
      </c>
      <c r="T33" s="23">
        <f>729+1532</f>
        <v>2261</v>
      </c>
      <c r="U33" s="23">
        <f>520+1592</f>
        <v>2112</v>
      </c>
      <c r="V33" s="18">
        <f>901+1181</f>
        <v>2082</v>
      </c>
    </row>
    <row r="34" spans="1:22" x14ac:dyDescent="0.15">
      <c r="A34" s="1" t="s">
        <v>35</v>
      </c>
      <c r="B34" s="23"/>
      <c r="C34" s="23"/>
      <c r="D34" s="23"/>
      <c r="E34" s="23"/>
      <c r="F34" s="18"/>
      <c r="G34" s="19"/>
      <c r="H34" s="19"/>
      <c r="I34" s="23">
        <v>0</v>
      </c>
      <c r="J34" s="18">
        <v>0</v>
      </c>
      <c r="K34" s="23">
        <v>0</v>
      </c>
      <c r="L34" s="23">
        <v>0</v>
      </c>
      <c r="M34" s="23">
        <v>0</v>
      </c>
      <c r="N34" s="18">
        <v>0</v>
      </c>
      <c r="O34" s="23">
        <v>0</v>
      </c>
      <c r="P34" s="23">
        <v>0</v>
      </c>
      <c r="Q34" s="64">
        <v>0</v>
      </c>
      <c r="R34" s="18">
        <v>0</v>
      </c>
      <c r="S34" s="23">
        <v>0</v>
      </c>
      <c r="T34" s="23">
        <v>880</v>
      </c>
      <c r="U34" s="23">
        <v>892</v>
      </c>
      <c r="V34" s="18">
        <v>903</v>
      </c>
    </row>
    <row r="35" spans="1:22" x14ac:dyDescent="0.15">
      <c r="E35" s="24"/>
      <c r="I35" s="24"/>
      <c r="K35" s="24"/>
      <c r="L35" s="24"/>
      <c r="M35" s="24"/>
      <c r="O35" s="24"/>
      <c r="P35" s="24"/>
      <c r="Q35" s="67"/>
      <c r="R35" s="17"/>
      <c r="S35" s="24"/>
      <c r="T35" s="24"/>
      <c r="U35" s="24"/>
      <c r="V35" s="17"/>
    </row>
    <row r="36" spans="1:22" s="42" customFormat="1" x14ac:dyDescent="0.15">
      <c r="A36" s="42" t="s">
        <v>73</v>
      </c>
      <c r="B36" s="19"/>
      <c r="C36" s="19"/>
      <c r="D36" s="19"/>
      <c r="E36" s="19"/>
      <c r="F36" s="18"/>
      <c r="G36" s="19"/>
      <c r="H36" s="19"/>
      <c r="I36" s="19">
        <f>75.982+319.137</f>
        <v>395.11900000000003</v>
      </c>
      <c r="J36" s="18"/>
      <c r="K36" s="19"/>
      <c r="L36" s="19"/>
      <c r="M36" s="19">
        <f>639.882+166.473</f>
        <v>806.35500000000002</v>
      </c>
      <c r="N36" s="18">
        <f>156.525+645.707</f>
        <v>802.23199999999997</v>
      </c>
      <c r="O36" s="19">
        <f>147.197+635.482</f>
        <v>782.67899999999997</v>
      </c>
      <c r="P36" s="19">
        <f>136.473+634.186</f>
        <v>770.65900000000011</v>
      </c>
      <c r="Q36" s="52">
        <f>126.054+632.37</f>
        <v>758.42399999999998</v>
      </c>
      <c r="R36" s="18">
        <f>115.386+629.596</f>
        <v>744.98199999999997</v>
      </c>
      <c r="S36" s="19">
        <f>79.811+628.474</f>
        <v>708.28500000000008</v>
      </c>
      <c r="T36" s="19">
        <f>72+622</f>
        <v>694</v>
      </c>
      <c r="U36" s="19">
        <f>92+761</f>
        <v>853</v>
      </c>
      <c r="V36" s="18">
        <f>84+756</f>
        <v>840</v>
      </c>
    </row>
    <row r="37" spans="1:22" s="42" customFormat="1" x14ac:dyDescent="0.15">
      <c r="A37" s="42" t="s">
        <v>74</v>
      </c>
      <c r="B37" s="19"/>
      <c r="C37" s="19"/>
      <c r="D37" s="19"/>
      <c r="E37" s="19"/>
      <c r="F37" s="18"/>
      <c r="G37" s="19"/>
      <c r="H37" s="19"/>
      <c r="I37" s="19">
        <v>1722.7919999999999</v>
      </c>
      <c r="J37" s="18"/>
      <c r="K37" s="19"/>
      <c r="L37" s="19"/>
      <c r="M37" s="19">
        <v>3421.5659999999998</v>
      </c>
      <c r="N37" s="18">
        <v>3182.03</v>
      </c>
      <c r="O37" s="19">
        <v>2950.7130000000002</v>
      </c>
      <c r="P37" s="19">
        <v>2783.7759999999998</v>
      </c>
      <c r="Q37" s="52">
        <v>2714.1060000000002</v>
      </c>
      <c r="R37" s="18">
        <v>2825.7429999999999</v>
      </c>
      <c r="S37" s="19">
        <v>2776.0250000000001</v>
      </c>
      <c r="T37" s="19">
        <v>3864</v>
      </c>
      <c r="U37" s="19">
        <v>4012</v>
      </c>
      <c r="V37" s="18">
        <v>3899</v>
      </c>
    </row>
    <row r="38" spans="1:22" s="42" customFormat="1" x14ac:dyDescent="0.15">
      <c r="A38" s="42" t="s">
        <v>75</v>
      </c>
      <c r="B38" s="19"/>
      <c r="C38" s="19"/>
      <c r="D38" s="19"/>
      <c r="E38" s="19"/>
      <c r="F38" s="18"/>
      <c r="G38" s="19"/>
      <c r="H38" s="19"/>
      <c r="I38" s="19">
        <v>203.87799999999999</v>
      </c>
      <c r="J38" s="18"/>
      <c r="K38" s="19"/>
      <c r="L38" s="19"/>
      <c r="M38" s="19">
        <v>429.23899999999998</v>
      </c>
      <c r="N38" s="18">
        <v>390.18200000000002</v>
      </c>
      <c r="O38" s="19">
        <v>366.64499999999998</v>
      </c>
      <c r="P38" s="19">
        <v>399.68400000000003</v>
      </c>
      <c r="Q38" s="52">
        <v>403.10700000000003</v>
      </c>
      <c r="R38" s="18">
        <v>659.86599999999999</v>
      </c>
      <c r="S38" s="19">
        <v>659.327</v>
      </c>
      <c r="T38" s="19">
        <v>1540</v>
      </c>
      <c r="U38" s="19">
        <v>1752</v>
      </c>
      <c r="V38" s="18">
        <v>1774</v>
      </c>
    </row>
    <row r="39" spans="1:22" x14ac:dyDescent="0.15">
      <c r="C39" s="19"/>
      <c r="M39" s="16"/>
      <c r="R39" s="17"/>
      <c r="S39" s="16"/>
      <c r="T39" s="16"/>
      <c r="U39" s="16"/>
      <c r="V39" s="17"/>
    </row>
    <row r="40" spans="1:22" s="42" customFormat="1" x14ac:dyDescent="0.15">
      <c r="A40" s="42" t="s">
        <v>76</v>
      </c>
      <c r="B40" s="19"/>
      <c r="C40" s="19"/>
      <c r="D40" s="19"/>
      <c r="E40" s="19"/>
      <c r="F40" s="18"/>
      <c r="G40" s="19"/>
      <c r="H40" s="19"/>
      <c r="I40" s="59">
        <f>I37-I36-I33</f>
        <v>340.30499999999984</v>
      </c>
      <c r="J40" s="18"/>
      <c r="K40" s="19"/>
      <c r="L40" s="19"/>
      <c r="M40" s="59">
        <f t="shared" ref="M40:S40" si="64">M37-M36-M33</f>
        <v>572.17199999999957</v>
      </c>
      <c r="N40" s="58">
        <f t="shared" si="64"/>
        <v>558.44500000000016</v>
      </c>
      <c r="O40" s="59">
        <f t="shared" si="64"/>
        <v>598.57100000000014</v>
      </c>
      <c r="P40" s="59">
        <f t="shared" si="64"/>
        <v>598.70999999999958</v>
      </c>
      <c r="Q40" s="59">
        <f t="shared" si="64"/>
        <v>676.61900000000014</v>
      </c>
      <c r="R40" s="58">
        <f t="shared" si="64"/>
        <v>872.029</v>
      </c>
      <c r="S40" s="59">
        <f t="shared" si="64"/>
        <v>882.94599999999991</v>
      </c>
      <c r="T40" s="59">
        <f t="shared" ref="T40:U40" si="65">T37-T36-T33</f>
        <v>909</v>
      </c>
      <c r="U40" s="59">
        <f t="shared" si="65"/>
        <v>1047</v>
      </c>
      <c r="V40" s="58">
        <f t="shared" ref="V40" si="66">V37-V36-V33</f>
        <v>977</v>
      </c>
    </row>
    <row r="41" spans="1:22" s="42" customFormat="1" x14ac:dyDescent="0.15">
      <c r="A41" s="42" t="s">
        <v>77</v>
      </c>
      <c r="B41" s="19"/>
      <c r="C41" s="19"/>
      <c r="D41" s="19"/>
      <c r="E41" s="19"/>
      <c r="F41" s="18"/>
      <c r="G41" s="19"/>
      <c r="H41" s="19"/>
      <c r="I41" s="59">
        <f>I37-I38</f>
        <v>1518.914</v>
      </c>
      <c r="J41" s="18"/>
      <c r="K41" s="19"/>
      <c r="L41" s="19"/>
      <c r="M41" s="59">
        <f t="shared" ref="M41:S41" si="67">M37-M38</f>
        <v>2992.3269999999998</v>
      </c>
      <c r="N41" s="58">
        <f t="shared" si="67"/>
        <v>2791.848</v>
      </c>
      <c r="O41" s="59">
        <f t="shared" si="67"/>
        <v>2584.0680000000002</v>
      </c>
      <c r="P41" s="59">
        <f t="shared" si="67"/>
        <v>2384.0919999999996</v>
      </c>
      <c r="Q41" s="59">
        <f t="shared" si="67"/>
        <v>2310.9990000000003</v>
      </c>
      <c r="R41" s="58">
        <f t="shared" si="67"/>
        <v>2165.877</v>
      </c>
      <c r="S41" s="59">
        <f t="shared" si="67"/>
        <v>2116.6980000000003</v>
      </c>
      <c r="T41" s="59">
        <f t="shared" ref="T41:U41" si="68">T37-T38</f>
        <v>2324</v>
      </c>
      <c r="U41" s="59">
        <f t="shared" si="68"/>
        <v>2260</v>
      </c>
      <c r="V41" s="58">
        <f t="shared" ref="V41" si="69">V37-V38</f>
        <v>2125</v>
      </c>
    </row>
    <row r="42" spans="1:22" x14ac:dyDescent="0.15">
      <c r="M42" s="16"/>
      <c r="R42" s="17"/>
      <c r="S42" s="16"/>
      <c r="T42" s="16"/>
      <c r="U42" s="16"/>
      <c r="V42" s="17"/>
    </row>
    <row r="43" spans="1:22" s="25" customFormat="1" x14ac:dyDescent="0.15">
      <c r="A43" s="25" t="s">
        <v>84</v>
      </c>
      <c r="B43" s="39"/>
      <c r="C43" s="39"/>
      <c r="D43" s="39"/>
      <c r="E43" s="39"/>
      <c r="F43" s="40"/>
      <c r="G43" s="39"/>
      <c r="H43" s="39"/>
      <c r="I43" s="38">
        <f>SUM(F19:I19)</f>
        <v>-514.44499999999994</v>
      </c>
      <c r="J43" s="40"/>
      <c r="K43" s="39"/>
      <c r="L43" s="39"/>
      <c r="M43" s="50">
        <f t="shared" ref="M43:V43" si="70">SUM(J19:M19)</f>
        <v>-3444.8949999999995</v>
      </c>
      <c r="N43" s="49">
        <f t="shared" si="70"/>
        <v>-1621.98</v>
      </c>
      <c r="O43" s="50">
        <f t="shared" si="70"/>
        <v>-1532.29</v>
      </c>
      <c r="P43" s="50">
        <f t="shared" si="70"/>
        <v>-1414.2580000000003</v>
      </c>
      <c r="Q43" s="50">
        <f t="shared" si="70"/>
        <v>-1255.931</v>
      </c>
      <c r="R43" s="49">
        <f t="shared" si="70"/>
        <v>-1180.5530000000001</v>
      </c>
      <c r="S43" s="50">
        <f t="shared" si="70"/>
        <v>-1082.4169999999999</v>
      </c>
      <c r="T43" s="50">
        <f t="shared" si="70"/>
        <v>-986.13</v>
      </c>
      <c r="U43" s="50">
        <f t="shared" si="70"/>
        <v>-1035.5740000000001</v>
      </c>
      <c r="V43" s="49">
        <f t="shared" si="70"/>
        <v>-1028.6889999999999</v>
      </c>
    </row>
    <row r="44" spans="1:22" x14ac:dyDescent="0.15">
      <c r="A44" s="1" t="s">
        <v>78</v>
      </c>
      <c r="I44" s="32">
        <f>I43/I41</f>
        <v>-0.33869264487653677</v>
      </c>
      <c r="M44" s="32">
        <f t="shared" ref="M44:V44" si="71">M43/M41</f>
        <v>-1.1512428287416447</v>
      </c>
      <c r="N44" s="31">
        <f t="shared" si="71"/>
        <v>-0.58097002415604293</v>
      </c>
      <c r="O44" s="32">
        <f t="shared" si="71"/>
        <v>-0.59297588143965241</v>
      </c>
      <c r="P44" s="32">
        <f t="shared" si="71"/>
        <v>-0.59320613466258876</v>
      </c>
      <c r="Q44" s="32">
        <f t="shared" si="71"/>
        <v>-0.54345804563307898</v>
      </c>
      <c r="R44" s="31">
        <f t="shared" si="71"/>
        <v>-0.54506927217011869</v>
      </c>
      <c r="S44" s="32">
        <f t="shared" si="71"/>
        <v>-0.51137054034160745</v>
      </c>
      <c r="T44" s="32">
        <f t="shared" si="71"/>
        <v>-0.42432444061962132</v>
      </c>
      <c r="U44" s="32">
        <f t="shared" si="71"/>
        <v>-0.45821858407079646</v>
      </c>
      <c r="V44" s="31">
        <f t="shared" si="71"/>
        <v>-0.4840889411764705</v>
      </c>
    </row>
    <row r="45" spans="1:22" x14ac:dyDescent="0.15">
      <c r="A45" s="1" t="s">
        <v>79</v>
      </c>
      <c r="I45" s="32">
        <f>I43/I37</f>
        <v>-0.29861120785329859</v>
      </c>
      <c r="M45" s="32">
        <f t="shared" ref="M45:S45" si="72">M43/M37</f>
        <v>-1.0068182230008129</v>
      </c>
      <c r="N45" s="31">
        <f t="shared" si="72"/>
        <v>-0.50973120932235083</v>
      </c>
      <c r="O45" s="32">
        <f t="shared" si="72"/>
        <v>-0.51929482806358995</v>
      </c>
      <c r="P45" s="32">
        <f t="shared" si="72"/>
        <v>-0.50803584771188504</v>
      </c>
      <c r="Q45" s="32">
        <f t="shared" si="72"/>
        <v>-0.46274205944793606</v>
      </c>
      <c r="R45" s="31">
        <f t="shared" si="72"/>
        <v>-0.41778498610807852</v>
      </c>
      <c r="S45" s="32">
        <f t="shared" si="72"/>
        <v>-0.389916157095127</v>
      </c>
      <c r="T45" s="32">
        <f t="shared" ref="T45:U45" si="73">T43/T37</f>
        <v>-0.25520962732919256</v>
      </c>
      <c r="U45" s="32">
        <f t="shared" si="73"/>
        <v>-0.25811914257228319</v>
      </c>
      <c r="V45" s="31">
        <f t="shared" ref="V45" si="74">V43/V37</f>
        <v>-0.26383406001538851</v>
      </c>
    </row>
    <row r="46" spans="1:22" x14ac:dyDescent="0.15">
      <c r="A46" s="1" t="s">
        <v>80</v>
      </c>
      <c r="I46" s="32">
        <f>I43/(I41-I36)</f>
        <v>-0.45777477208921546</v>
      </c>
      <c r="M46" s="32">
        <f t="shared" ref="M46:S46" si="75">M43/(M41-M36)</f>
        <v>-1.5759099384621578</v>
      </c>
      <c r="N46" s="31">
        <f t="shared" si="75"/>
        <v>-0.81522263592572641</v>
      </c>
      <c r="O46" s="32">
        <f t="shared" si="75"/>
        <v>-0.85061583033980992</v>
      </c>
      <c r="P46" s="32">
        <f t="shared" si="75"/>
        <v>-0.87655204771440809</v>
      </c>
      <c r="Q46" s="32">
        <f t="shared" si="75"/>
        <v>-0.80893418997471933</v>
      </c>
      <c r="R46" s="31">
        <f t="shared" si="75"/>
        <v>-0.8308516815105973</v>
      </c>
      <c r="S46" s="32">
        <f t="shared" si="75"/>
        <v>-0.76853664372595232</v>
      </c>
      <c r="T46" s="32">
        <f t="shared" ref="T46:U46" si="76">T43/(T41-T36)</f>
        <v>-0.60498773006134965</v>
      </c>
      <c r="U46" s="32">
        <f t="shared" si="76"/>
        <v>-0.73601563610518839</v>
      </c>
      <c r="V46" s="31">
        <f t="shared" ref="V46" si="77">V43/(V41-V36)</f>
        <v>-0.80053618677042793</v>
      </c>
    </row>
    <row r="47" spans="1:22" x14ac:dyDescent="0.15">
      <c r="A47" s="1" t="s">
        <v>81</v>
      </c>
      <c r="I47" s="32">
        <f>I43/I40</f>
        <v>-1.5117174299525431</v>
      </c>
      <c r="M47" s="32">
        <f t="shared" ref="M47:S47" si="78">M43/M40</f>
        <v>-6.0207332760079177</v>
      </c>
      <c r="N47" s="31">
        <f t="shared" si="78"/>
        <v>-2.9044579143872711</v>
      </c>
      <c r="O47" s="32">
        <f t="shared" si="78"/>
        <v>-2.5599135273843863</v>
      </c>
      <c r="P47" s="32">
        <f t="shared" si="78"/>
        <v>-2.3621753436555282</v>
      </c>
      <c r="Q47" s="32">
        <f t="shared" si="78"/>
        <v>-1.8561864210138939</v>
      </c>
      <c r="R47" s="31">
        <f t="shared" si="78"/>
        <v>-1.3538001603157694</v>
      </c>
      <c r="S47" s="32">
        <f t="shared" si="78"/>
        <v>-1.2259152881376665</v>
      </c>
      <c r="T47" s="32">
        <f t="shared" ref="T47:U47" si="79">T43/T40</f>
        <v>-1.0848514851485149</v>
      </c>
      <c r="U47" s="32">
        <f t="shared" si="79"/>
        <v>-0.9890869149952245</v>
      </c>
      <c r="V47" s="31">
        <f t="shared" ref="V47" si="80">V43/V40</f>
        <v>-1.0529058341862845</v>
      </c>
    </row>
    <row r="48" spans="1:22" x14ac:dyDescent="0.15">
      <c r="R48" s="17"/>
      <c r="S48" s="16"/>
      <c r="T48" s="16"/>
      <c r="U48" s="16"/>
      <c r="V48" s="17"/>
    </row>
    <row r="49" spans="1:22" x14ac:dyDescent="0.15">
      <c r="A49" s="1" t="s">
        <v>82</v>
      </c>
      <c r="F49" s="31">
        <f t="shared" ref="F49:O49" si="81">F5/B5-1</f>
        <v>0.52499999999999991</v>
      </c>
      <c r="G49" s="32">
        <f t="shared" si="81"/>
        <v>0.66279069767441867</v>
      </c>
      <c r="H49" s="32">
        <f t="shared" si="81"/>
        <v>0.62765957446808507</v>
      </c>
      <c r="I49" s="32">
        <f t="shared" si="81"/>
        <v>0.47663551401869153</v>
      </c>
      <c r="J49" s="31">
        <f t="shared" si="81"/>
        <v>0.36065573770491799</v>
      </c>
      <c r="K49" s="32">
        <f t="shared" si="81"/>
        <v>0.20979020979020979</v>
      </c>
      <c r="L49" s="32">
        <f t="shared" si="81"/>
        <v>0.1633986928104576</v>
      </c>
      <c r="M49" s="32">
        <f t="shared" si="81"/>
        <v>0.18354430379746844</v>
      </c>
      <c r="N49" s="31">
        <f t="shared" si="81"/>
        <v>0.15060240963855431</v>
      </c>
      <c r="O49" s="32">
        <f t="shared" si="81"/>
        <v>8.6705202312138629E-2</v>
      </c>
      <c r="P49" s="32">
        <f t="shared" ref="P49:V49" si="82">P5/L5-1</f>
        <v>4.4943820224719211E-2</v>
      </c>
      <c r="Q49" s="55">
        <f t="shared" si="82"/>
        <v>-5.3475935828877219E-3</v>
      </c>
      <c r="R49" s="31">
        <f t="shared" si="82"/>
        <v>-5.2356020942407877E-3</v>
      </c>
      <c r="S49" s="32">
        <f t="shared" si="82"/>
        <v>7.9787234042553168E-2</v>
      </c>
      <c r="T49" s="32">
        <f t="shared" si="82"/>
        <v>0.12903225806451624</v>
      </c>
      <c r="U49" s="32">
        <f t="shared" si="82"/>
        <v>0.17204301075268824</v>
      </c>
      <c r="V49" s="31">
        <f t="shared" si="82"/>
        <v>0.20526315789473681</v>
      </c>
    </row>
    <row r="50" spans="1:22" x14ac:dyDescent="0.15">
      <c r="A50" s="1" t="s">
        <v>83</v>
      </c>
      <c r="F50" s="31"/>
      <c r="J50" s="31">
        <f t="shared" ref="J50" si="83">J6/F6-1</f>
        <v>1.8336852564898769</v>
      </c>
      <c r="K50" s="32">
        <f t="shared" ref="K50" si="84">K6/G6-1</f>
        <v>1.0935658371022483</v>
      </c>
      <c r="L50" s="32">
        <f t="shared" ref="L50" si="85">L6/H6-1</f>
        <v>0.39392013882802512</v>
      </c>
      <c r="M50" s="32">
        <f t="shared" ref="M50" si="86">M6/I6-1</f>
        <v>0.4569335742518672</v>
      </c>
      <c r="N50" s="31">
        <f t="shared" ref="N50" si="87">N6/J6-1</f>
        <v>0.34006761486127068</v>
      </c>
      <c r="O50" s="32">
        <f t="shared" ref="O50" si="88">O6/K6-1</f>
        <v>0.32895242642234512</v>
      </c>
      <c r="P50" s="32">
        <f t="shared" ref="P50:V50" si="89">P6/L6-1</f>
        <v>0.37023460410557196</v>
      </c>
      <c r="Q50" s="55">
        <f t="shared" si="89"/>
        <v>0.37181456039980376</v>
      </c>
      <c r="R50" s="31">
        <f t="shared" si="89"/>
        <v>0.39644530460310112</v>
      </c>
      <c r="S50" s="32">
        <f t="shared" si="89"/>
        <v>0.37018755042436724</v>
      </c>
      <c r="T50" s="32">
        <f t="shared" si="89"/>
        <v>0.32740059268857458</v>
      </c>
      <c r="U50" s="32">
        <f t="shared" si="89"/>
        <v>0.22762649751363817</v>
      </c>
      <c r="V50" s="31">
        <f t="shared" si="89"/>
        <v>0.19751634130513551</v>
      </c>
    </row>
    <row r="51" spans="1:22" x14ac:dyDescent="0.15">
      <c r="R51" s="17"/>
      <c r="S51" s="16"/>
      <c r="T51" s="16"/>
      <c r="U51" s="16"/>
      <c r="V51" s="17"/>
    </row>
    <row r="52" spans="1:22" x14ac:dyDescent="0.15">
      <c r="A52" s="1" t="s">
        <v>87</v>
      </c>
      <c r="F52" s="31"/>
      <c r="G52" s="32"/>
      <c r="H52" s="32"/>
      <c r="I52" s="32"/>
      <c r="J52" s="31">
        <f t="shared" ref="J52:O52" si="90">J3/F3-1</f>
        <v>2.8556701030927836</v>
      </c>
      <c r="K52" s="32">
        <f t="shared" si="90"/>
        <v>1.5327754532775453</v>
      </c>
      <c r="L52" s="32">
        <f t="shared" si="90"/>
        <v>0.62168486739469597</v>
      </c>
      <c r="M52" s="32">
        <f t="shared" si="90"/>
        <v>0.7243454328170833</v>
      </c>
      <c r="N52" s="31">
        <f t="shared" si="90"/>
        <v>0.54188502673796801</v>
      </c>
      <c r="O52" s="32">
        <f t="shared" si="90"/>
        <v>0.4441795154185022</v>
      </c>
      <c r="P52" s="32">
        <f t="shared" ref="P52:V52" si="91">P3/L3-1</f>
        <v>0.43181818181818188</v>
      </c>
      <c r="Q52" s="32">
        <f t="shared" si="91"/>
        <v>0.36447865365969778</v>
      </c>
      <c r="R52" s="31">
        <f t="shared" si="91"/>
        <v>0.38913407264182842</v>
      </c>
      <c r="S52" s="32">
        <f t="shared" si="91"/>
        <v>0.47951102519226896</v>
      </c>
      <c r="T52" s="32">
        <f t="shared" si="91"/>
        <v>0.49867808851935846</v>
      </c>
      <c r="U52" s="32">
        <f t="shared" si="91"/>
        <v>0.4388310562256621</v>
      </c>
      <c r="V52" s="31">
        <f t="shared" si="91"/>
        <v>0.44332232715197906</v>
      </c>
    </row>
  </sheetData>
  <hyperlinks>
    <hyperlink ref="A1" r:id="rId1" xr:uid="{00000000-0004-0000-0100-000000000000}"/>
  </hyperlink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4:C10"/>
  <sheetViews>
    <sheetView workbookViewId="0">
      <selection activeCell="C26" sqref="C26"/>
    </sheetView>
  </sheetViews>
  <sheetFormatPr baseColWidth="10" defaultRowHeight="13" x14ac:dyDescent="0.15"/>
  <cols>
    <col min="1" max="2" width="10.83203125" style="1"/>
    <col min="3" max="3" width="30.33203125" style="1" bestFit="1" customWidth="1"/>
    <col min="4" max="16384" width="10.83203125" style="1"/>
  </cols>
  <sheetData>
    <row r="4" spans="2:3" x14ac:dyDescent="0.15">
      <c r="B4" s="25" t="s">
        <v>99</v>
      </c>
    </row>
    <row r="6" spans="2:3" x14ac:dyDescent="0.15">
      <c r="B6" s="1" t="s">
        <v>100</v>
      </c>
      <c r="C6" s="1" t="s">
        <v>101</v>
      </c>
    </row>
    <row r="7" spans="2:3" x14ac:dyDescent="0.15">
      <c r="B7" s="1" t="s">
        <v>88</v>
      </c>
      <c r="C7" s="1" t="s">
        <v>109</v>
      </c>
    </row>
    <row r="8" spans="2:3" x14ac:dyDescent="0.15">
      <c r="B8" s="1" t="s">
        <v>102</v>
      </c>
      <c r="C8" s="1" t="s">
        <v>103</v>
      </c>
    </row>
    <row r="9" spans="2:3" x14ac:dyDescent="0.15">
      <c r="B9" s="1" t="s">
        <v>104</v>
      </c>
      <c r="C9" s="1" t="s">
        <v>105</v>
      </c>
    </row>
    <row r="10" spans="2:3" x14ac:dyDescent="0.15">
      <c r="B10" s="1" t="s">
        <v>110</v>
      </c>
      <c r="C10" s="1" t="s">
        <v>111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Reports</vt:lpstr>
      <vt:lpstr>Products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Michael Sjoeberg</cp:lastModifiedBy>
  <dcterms:created xsi:type="dcterms:W3CDTF">2018-01-04T19:16:18Z</dcterms:created>
  <dcterms:modified xsi:type="dcterms:W3CDTF">2020-07-20T11:48:43Z</dcterms:modified>
</cp:coreProperties>
</file>