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6AC480F9-A73F-2341-92AB-57BC669FF128}" xr6:coauthVersionLast="45" xr6:coauthVersionMax="45" xr10:uidLastSave="{00000000-0000-0000-0000-000000000000}"/>
  <bookViews>
    <workbookView xWindow="0" yWindow="460" windowWidth="20360" windowHeight="20320" tabRatio="500" xr2:uid="{00000000-000D-0000-FFFF-FFFF00000000}"/>
  </bookViews>
  <sheets>
    <sheet name="Main" sheetId="2" r:id="rId1"/>
    <sheet name="Reports EUR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2" i="2" l="1"/>
  <c r="L72" i="2"/>
  <c r="K72" i="2"/>
  <c r="J72" i="2"/>
  <c r="I72" i="2"/>
  <c r="M71" i="2"/>
  <c r="L71" i="2"/>
  <c r="K71" i="2"/>
  <c r="J71" i="2"/>
  <c r="I71" i="2"/>
  <c r="J70" i="2"/>
  <c r="K70" i="2" s="1"/>
  <c r="L70" i="2" s="1"/>
  <c r="M70" i="2" s="1"/>
  <c r="I70" i="2"/>
  <c r="F5" i="2"/>
  <c r="DU29" i="2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W38" i="2"/>
  <c r="W31" i="2"/>
  <c r="W26" i="2"/>
  <c r="W23" i="2"/>
  <c r="W40" i="2" s="1"/>
  <c r="W22" i="2"/>
  <c r="W39" i="2" s="1"/>
  <c r="W21" i="2"/>
  <c r="W24" i="2" s="1"/>
  <c r="W20" i="2"/>
  <c r="W33" i="2" s="1"/>
  <c r="W18" i="2"/>
  <c r="W37" i="2" s="1"/>
  <c r="W11" i="2"/>
  <c r="V40" i="2"/>
  <c r="V39" i="2"/>
  <c r="V38" i="2"/>
  <c r="V31" i="2"/>
  <c r="V26" i="2"/>
  <c r="V23" i="2"/>
  <c r="V22" i="2"/>
  <c r="V21" i="2"/>
  <c r="V24" i="2" s="1"/>
  <c r="V41" i="2" s="1"/>
  <c r="V18" i="2"/>
  <c r="V11" i="2"/>
  <c r="U40" i="2"/>
  <c r="U39" i="2"/>
  <c r="U31" i="2"/>
  <c r="U26" i="2"/>
  <c r="U23" i="2"/>
  <c r="U22" i="2"/>
  <c r="U21" i="2"/>
  <c r="U24" i="2" s="1"/>
  <c r="U41" i="2" s="1"/>
  <c r="U18" i="2"/>
  <c r="U20" i="2" s="1"/>
  <c r="U11" i="2"/>
  <c r="T31" i="2"/>
  <c r="T26" i="2"/>
  <c r="T23" i="2"/>
  <c r="T40" i="2" s="1"/>
  <c r="T22" i="2"/>
  <c r="T39" i="2" s="1"/>
  <c r="T21" i="2"/>
  <c r="T38" i="2" s="1"/>
  <c r="T18" i="2"/>
  <c r="T20" i="2" s="1"/>
  <c r="T11" i="2"/>
  <c r="O21" i="2"/>
  <c r="P21" i="2" s="1"/>
  <c r="Q21" i="2" s="1"/>
  <c r="R21" i="2" s="1"/>
  <c r="S21" i="2" s="1"/>
  <c r="N21" i="2"/>
  <c r="N18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C5" i="2"/>
  <c r="W41" i="2" l="1"/>
  <c r="W25" i="2"/>
  <c r="W19" i="2"/>
  <c r="V37" i="2"/>
  <c r="V20" i="2"/>
  <c r="U33" i="2"/>
  <c r="U25" i="2"/>
  <c r="U37" i="2"/>
  <c r="U38" i="2"/>
  <c r="U19" i="2"/>
  <c r="T33" i="2"/>
  <c r="T19" i="2"/>
  <c r="T37" i="2"/>
  <c r="T24" i="2"/>
  <c r="T41" i="2" s="1"/>
  <c r="C4" i="2"/>
  <c r="C3" i="2"/>
  <c r="M63" i="2"/>
  <c r="M62" i="2"/>
  <c r="M18" i="2"/>
  <c r="L16" i="2"/>
  <c r="M16" i="2" s="1"/>
  <c r="K16" i="2"/>
  <c r="J16" i="2"/>
  <c r="I16" i="2"/>
  <c r="J15" i="2"/>
  <c r="K15" i="2" s="1"/>
  <c r="L15" i="2" s="1"/>
  <c r="M15" i="2" s="1"/>
  <c r="I15" i="2"/>
  <c r="H60" i="2"/>
  <c r="H59" i="2"/>
  <c r="H55" i="2"/>
  <c r="H52" i="2"/>
  <c r="H56" i="2" s="1"/>
  <c r="H51" i="2"/>
  <c r="H57" i="2" s="1"/>
  <c r="H43" i="2"/>
  <c r="H49" i="2"/>
  <c r="H48" i="2"/>
  <c r="H47" i="2"/>
  <c r="H45" i="2"/>
  <c r="H44" i="2"/>
  <c r="H31" i="2"/>
  <c r="H30" i="2" s="1"/>
  <c r="H27" i="2"/>
  <c r="H24" i="2"/>
  <c r="H25" i="2" s="1"/>
  <c r="H20" i="2"/>
  <c r="H18" i="2"/>
  <c r="H16" i="2"/>
  <c r="H15" i="2"/>
  <c r="H28" i="2"/>
  <c r="H26" i="2"/>
  <c r="H23" i="2"/>
  <c r="H22" i="2"/>
  <c r="H21" i="2"/>
  <c r="H19" i="2"/>
  <c r="H13" i="2"/>
  <c r="H12" i="2"/>
  <c r="R38" i="1"/>
  <c r="R35" i="1"/>
  <c r="R45" i="1"/>
  <c r="R43" i="1"/>
  <c r="R42" i="1"/>
  <c r="R34" i="1"/>
  <c r="R32" i="1"/>
  <c r="R31" i="1"/>
  <c r="R30" i="1"/>
  <c r="R29" i="1"/>
  <c r="R28" i="1"/>
  <c r="R26" i="1"/>
  <c r="R25" i="1"/>
  <c r="R24" i="1"/>
  <c r="R21" i="1"/>
  <c r="R20" i="1"/>
  <c r="R18" i="1"/>
  <c r="R17" i="1"/>
  <c r="R15" i="1"/>
  <c r="R16" i="1" s="1"/>
  <c r="R11" i="1"/>
  <c r="R9" i="1"/>
  <c r="R55" i="1"/>
  <c r="R54" i="1"/>
  <c r="R52" i="1"/>
  <c r="R51" i="1"/>
  <c r="R60" i="1"/>
  <c r="R58" i="1"/>
  <c r="R7" i="1"/>
  <c r="Q45" i="1"/>
  <c r="Q49" i="1" s="1"/>
  <c r="Q55" i="1"/>
  <c r="Q54" i="1"/>
  <c r="Q52" i="1"/>
  <c r="Q51" i="1"/>
  <c r="Q43" i="1"/>
  <c r="Q42" i="1"/>
  <c r="Q38" i="1"/>
  <c r="Q34" i="1"/>
  <c r="Q35" i="1"/>
  <c r="Q28" i="1"/>
  <c r="Q21" i="1"/>
  <c r="Q20" i="1"/>
  <c r="Q17" i="1"/>
  <c r="Q18" i="1"/>
  <c r="Q15" i="1"/>
  <c r="Q16" i="1" s="1"/>
  <c r="Q11" i="1"/>
  <c r="Q9" i="1"/>
  <c r="Q7" i="1"/>
  <c r="Q60" i="1"/>
  <c r="Q58" i="1"/>
  <c r="W34" i="2" l="1"/>
  <c r="W27" i="2"/>
  <c r="V33" i="2"/>
  <c r="V25" i="2"/>
  <c r="V19" i="2"/>
  <c r="U34" i="2"/>
  <c r="U27" i="2"/>
  <c r="T25" i="2"/>
  <c r="H54" i="2"/>
  <c r="R49" i="1"/>
  <c r="R46" i="1"/>
  <c r="R47" i="1"/>
  <c r="R48" i="1"/>
  <c r="Q47" i="1"/>
  <c r="Q48" i="1"/>
  <c r="Q46" i="1"/>
  <c r="F4" i="2"/>
  <c r="P7" i="1"/>
  <c r="P54" i="1"/>
  <c r="P52" i="1"/>
  <c r="P51" i="1"/>
  <c r="P43" i="1"/>
  <c r="P38" i="1"/>
  <c r="P35" i="1"/>
  <c r="P42" i="1" s="1"/>
  <c r="P17" i="1"/>
  <c r="P15" i="1"/>
  <c r="P9" i="1"/>
  <c r="P11" i="1" s="1"/>
  <c r="P60" i="1"/>
  <c r="P58" i="1"/>
  <c r="W28" i="2" l="1"/>
  <c r="W35" i="2" s="1"/>
  <c r="V34" i="2"/>
  <c r="V27" i="2"/>
  <c r="U28" i="2"/>
  <c r="U35" i="2" s="1"/>
  <c r="T27" i="2"/>
  <c r="T34" i="2"/>
  <c r="P34" i="1"/>
  <c r="P16" i="1"/>
  <c r="P18" i="1" s="1"/>
  <c r="P20" i="1" s="1"/>
  <c r="P21" i="1" s="1"/>
  <c r="H68" i="2"/>
  <c r="Q30" i="1"/>
  <c r="O9" i="1"/>
  <c r="O11" i="1" s="1"/>
  <c r="P30" i="1"/>
  <c r="P29" i="1"/>
  <c r="L9" i="1"/>
  <c r="L11" i="1" s="1"/>
  <c r="O38" i="1"/>
  <c r="O35" i="1"/>
  <c r="O34" i="1" s="1"/>
  <c r="O17" i="1"/>
  <c r="O60" i="1"/>
  <c r="O58" i="1"/>
  <c r="O54" i="1"/>
  <c r="O52" i="1"/>
  <c r="O51" i="1"/>
  <c r="O15" i="1"/>
  <c r="N9" i="1"/>
  <c r="O43" i="1"/>
  <c r="O31" i="1"/>
  <c r="O30" i="1"/>
  <c r="O29" i="1"/>
  <c r="K9" i="1"/>
  <c r="O28" i="1" s="1"/>
  <c r="O7" i="1"/>
  <c r="D68" i="2"/>
  <c r="E68" i="2"/>
  <c r="F15" i="2"/>
  <c r="F62" i="2" s="1"/>
  <c r="G15" i="2"/>
  <c r="G62" i="2" s="1"/>
  <c r="G65" i="2"/>
  <c r="H66" i="2" s="1"/>
  <c r="G12" i="2"/>
  <c r="G13" i="2"/>
  <c r="N60" i="1"/>
  <c r="N38" i="1"/>
  <c r="N35" i="1"/>
  <c r="N42" i="1" s="1"/>
  <c r="N54" i="1"/>
  <c r="N52" i="1"/>
  <c r="N51" i="1"/>
  <c r="K11" i="1"/>
  <c r="K24" i="1" s="1"/>
  <c r="N43" i="1"/>
  <c r="N34" i="1"/>
  <c r="N31" i="1"/>
  <c r="N30" i="1"/>
  <c r="N29" i="1"/>
  <c r="N17" i="1"/>
  <c r="N15" i="1"/>
  <c r="N32" i="1" s="1"/>
  <c r="J9" i="1"/>
  <c r="N28" i="1" s="1"/>
  <c r="N7" i="1"/>
  <c r="N58" i="1"/>
  <c r="G9" i="1"/>
  <c r="G11" i="1"/>
  <c r="H9" i="1"/>
  <c r="L28" i="1" s="1"/>
  <c r="L60" i="1"/>
  <c r="K60" i="1"/>
  <c r="J60" i="1"/>
  <c r="I60" i="1"/>
  <c r="H60" i="1"/>
  <c r="G60" i="1"/>
  <c r="F60" i="1"/>
  <c r="E60" i="1"/>
  <c r="D60" i="1"/>
  <c r="C60" i="1"/>
  <c r="B60" i="1"/>
  <c r="M60" i="1"/>
  <c r="G19" i="2"/>
  <c r="G21" i="2"/>
  <c r="G22" i="2"/>
  <c r="G23" i="2"/>
  <c r="G40" i="2" s="1"/>
  <c r="G45" i="2"/>
  <c r="G24" i="2"/>
  <c r="F12" i="2"/>
  <c r="G59" i="2" s="1"/>
  <c r="F13" i="2"/>
  <c r="G60" i="2" s="1"/>
  <c r="G28" i="2"/>
  <c r="M7" i="1"/>
  <c r="G48" i="2"/>
  <c r="G47" i="2"/>
  <c r="G49" i="2"/>
  <c r="G31" i="2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E12" i="2"/>
  <c r="E13" i="2"/>
  <c r="D18" i="2"/>
  <c r="D37" i="2" s="1"/>
  <c r="M35" i="1"/>
  <c r="M34" i="1" s="1"/>
  <c r="M43" i="1"/>
  <c r="M17" i="1"/>
  <c r="M15" i="1"/>
  <c r="M32" i="1" s="1"/>
  <c r="M9" i="1"/>
  <c r="M11" i="1" s="1"/>
  <c r="M58" i="1"/>
  <c r="E62" i="2"/>
  <c r="F49" i="2"/>
  <c r="F48" i="2"/>
  <c r="F52" i="2" s="1"/>
  <c r="F47" i="2"/>
  <c r="F45" i="2"/>
  <c r="F31" i="2"/>
  <c r="F28" i="2"/>
  <c r="F23" i="2"/>
  <c r="F22" i="2"/>
  <c r="F21" i="2"/>
  <c r="E31" i="2"/>
  <c r="E28" i="2"/>
  <c r="E23" i="2"/>
  <c r="F40" i="2" s="1"/>
  <c r="E22" i="2"/>
  <c r="E39" i="2" s="1"/>
  <c r="E21" i="2"/>
  <c r="F38" i="2" s="1"/>
  <c r="M54" i="1"/>
  <c r="J55" i="1"/>
  <c r="J54" i="1"/>
  <c r="I54" i="1"/>
  <c r="H54" i="1"/>
  <c r="G54" i="1"/>
  <c r="F54" i="1"/>
  <c r="B7" i="1"/>
  <c r="E7" i="1"/>
  <c r="D7" i="1"/>
  <c r="C7" i="1"/>
  <c r="B17" i="1"/>
  <c r="B10" i="1"/>
  <c r="C17" i="1"/>
  <c r="C10" i="1"/>
  <c r="D17" i="1"/>
  <c r="D10" i="1"/>
  <c r="E17" i="1"/>
  <c r="E10" i="1"/>
  <c r="I17" i="1"/>
  <c r="I10" i="1"/>
  <c r="F19" i="2" s="1"/>
  <c r="I58" i="1"/>
  <c r="H58" i="1"/>
  <c r="G58" i="1"/>
  <c r="F58" i="1"/>
  <c r="F66" i="2"/>
  <c r="E66" i="2"/>
  <c r="D40" i="2"/>
  <c r="C40" i="2"/>
  <c r="D39" i="2"/>
  <c r="C39" i="2"/>
  <c r="D38" i="2"/>
  <c r="C38" i="2"/>
  <c r="C37" i="2"/>
  <c r="D16" i="2"/>
  <c r="B26" i="2"/>
  <c r="C26" i="2"/>
  <c r="D26" i="2"/>
  <c r="I3" i="1"/>
  <c r="M51" i="1" s="1"/>
  <c r="I4" i="1"/>
  <c r="I52" i="1" s="1"/>
  <c r="L54" i="1"/>
  <c r="L51" i="1"/>
  <c r="B20" i="2"/>
  <c r="B33" i="2" s="1"/>
  <c r="B24" i="2"/>
  <c r="C20" i="2"/>
  <c r="C33" i="2" s="1"/>
  <c r="C24" i="2"/>
  <c r="C25" i="2"/>
  <c r="C34" i="2" s="1"/>
  <c r="C27" i="2"/>
  <c r="C29" i="2" s="1"/>
  <c r="C30" i="2" s="1"/>
  <c r="J35" i="1"/>
  <c r="F17" i="1"/>
  <c r="J17" i="1"/>
  <c r="F7" i="1"/>
  <c r="J58" i="1"/>
  <c r="J7" i="1"/>
  <c r="N55" i="1" s="1"/>
  <c r="K35" i="1"/>
  <c r="K42" i="1" s="1"/>
  <c r="G17" i="1"/>
  <c r="K17" i="1"/>
  <c r="K7" i="1"/>
  <c r="G7" i="1"/>
  <c r="G55" i="1" s="1"/>
  <c r="K54" i="1"/>
  <c r="K58" i="1"/>
  <c r="I35" i="1"/>
  <c r="I42" i="1" s="1"/>
  <c r="L35" i="1"/>
  <c r="L42" i="1" s="1"/>
  <c r="H17" i="1"/>
  <c r="L17" i="1"/>
  <c r="L7" i="1"/>
  <c r="H7" i="1"/>
  <c r="H55" i="1" s="1"/>
  <c r="L58" i="1"/>
  <c r="I15" i="1"/>
  <c r="E9" i="1"/>
  <c r="E11" i="1"/>
  <c r="E15" i="1"/>
  <c r="E16" i="1"/>
  <c r="E25" i="1" s="1"/>
  <c r="L15" i="1"/>
  <c r="L32" i="1" s="1"/>
  <c r="L52" i="1"/>
  <c r="K52" i="1"/>
  <c r="J52" i="1"/>
  <c r="H52" i="1"/>
  <c r="G52" i="1"/>
  <c r="F52" i="1"/>
  <c r="K51" i="1"/>
  <c r="J51" i="1"/>
  <c r="H51" i="1"/>
  <c r="G51" i="1"/>
  <c r="F51" i="1"/>
  <c r="F60" i="2"/>
  <c r="E60" i="2"/>
  <c r="E59" i="2"/>
  <c r="D20" i="2"/>
  <c r="D24" i="2"/>
  <c r="D41" i="2" s="1"/>
  <c r="J15" i="1"/>
  <c r="K15" i="1"/>
  <c r="K32" i="1" s="1"/>
  <c r="L43" i="1"/>
  <c r="F9" i="1"/>
  <c r="F15" i="1"/>
  <c r="G15" i="1"/>
  <c r="H15" i="1"/>
  <c r="B9" i="1"/>
  <c r="B15" i="1"/>
  <c r="C9" i="1"/>
  <c r="G28" i="1" s="1"/>
  <c r="C15" i="1"/>
  <c r="G32" i="1" s="1"/>
  <c r="D9" i="1"/>
  <c r="D11" i="1" s="1"/>
  <c r="D15" i="1"/>
  <c r="I43" i="1"/>
  <c r="K43" i="1"/>
  <c r="J42" i="1"/>
  <c r="J43" i="1"/>
  <c r="M31" i="1"/>
  <c r="M30" i="1"/>
  <c r="M29" i="1"/>
  <c r="J34" i="1"/>
  <c r="J31" i="1"/>
  <c r="J30" i="1"/>
  <c r="J29" i="1"/>
  <c r="K34" i="1"/>
  <c r="K31" i="1"/>
  <c r="K30" i="1"/>
  <c r="K29" i="1"/>
  <c r="L31" i="1"/>
  <c r="L30" i="1"/>
  <c r="L29" i="1"/>
  <c r="G38" i="2"/>
  <c r="I29" i="1"/>
  <c r="G29" i="1"/>
  <c r="F29" i="1"/>
  <c r="H29" i="1"/>
  <c r="F30" i="1"/>
  <c r="G30" i="1"/>
  <c r="H30" i="1"/>
  <c r="I30" i="1"/>
  <c r="F31" i="1"/>
  <c r="G31" i="1"/>
  <c r="H31" i="1"/>
  <c r="I31" i="1"/>
  <c r="G11" i="2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H28" i="1"/>
  <c r="E24" i="1"/>
  <c r="G24" i="1"/>
  <c r="W29" i="2" l="1"/>
  <c r="V28" i="2"/>
  <c r="V35" i="2" s="1"/>
  <c r="U29" i="2"/>
  <c r="T28" i="2"/>
  <c r="T35" i="2" s="1"/>
  <c r="E40" i="2"/>
  <c r="E38" i="2"/>
  <c r="E24" i="2"/>
  <c r="E41" i="2" s="1"/>
  <c r="H39" i="2"/>
  <c r="G52" i="2"/>
  <c r="M24" i="1"/>
  <c r="M16" i="1"/>
  <c r="O32" i="1"/>
  <c r="K55" i="1"/>
  <c r="E19" i="2"/>
  <c r="G68" i="2"/>
  <c r="C41" i="2"/>
  <c r="D25" i="2"/>
  <c r="D27" i="2" s="1"/>
  <c r="E26" i="2"/>
  <c r="F24" i="2"/>
  <c r="F41" i="2" s="1"/>
  <c r="J11" i="1"/>
  <c r="H62" i="2"/>
  <c r="I9" i="1"/>
  <c r="I11" i="1" s="1"/>
  <c r="I16" i="1" s="1"/>
  <c r="H32" i="1"/>
  <c r="E16" i="2"/>
  <c r="H11" i="1"/>
  <c r="H24" i="1" s="1"/>
  <c r="I32" i="1"/>
  <c r="F26" i="2"/>
  <c r="F28" i="1"/>
  <c r="G16" i="1"/>
  <c r="B11" i="1"/>
  <c r="B16" i="1" s="1"/>
  <c r="B25" i="1" s="1"/>
  <c r="F55" i="1"/>
  <c r="G26" i="2"/>
  <c r="F32" i="1"/>
  <c r="L55" i="1"/>
  <c r="P55" i="1"/>
  <c r="I51" i="1"/>
  <c r="K28" i="1"/>
  <c r="C35" i="2"/>
  <c r="O42" i="1"/>
  <c r="D24" i="1"/>
  <c r="D16" i="1"/>
  <c r="C6" i="2"/>
  <c r="C7" i="2" s="1"/>
  <c r="E63" i="2"/>
  <c r="E18" i="2"/>
  <c r="G25" i="1"/>
  <c r="G18" i="1"/>
  <c r="O24" i="1"/>
  <c r="O16" i="1"/>
  <c r="L16" i="1"/>
  <c r="L24" i="1"/>
  <c r="I21" i="2"/>
  <c r="F11" i="1"/>
  <c r="F59" i="2"/>
  <c r="L34" i="1"/>
  <c r="B25" i="2"/>
  <c r="F16" i="2"/>
  <c r="K16" i="1"/>
  <c r="F39" i="2"/>
  <c r="H16" i="1"/>
  <c r="F68" i="2"/>
  <c r="F44" i="2"/>
  <c r="F43" i="2" s="1"/>
  <c r="M42" i="1"/>
  <c r="O55" i="1"/>
  <c r="I22" i="2"/>
  <c r="P31" i="1"/>
  <c r="H38" i="2"/>
  <c r="E18" i="1"/>
  <c r="I7" i="1"/>
  <c r="Q29" i="1"/>
  <c r="G39" i="2"/>
  <c r="M52" i="1"/>
  <c r="G66" i="2"/>
  <c r="P32" i="1"/>
  <c r="J32" i="1"/>
  <c r="I34" i="1"/>
  <c r="J28" i="1"/>
  <c r="D33" i="2"/>
  <c r="N11" i="1"/>
  <c r="Q31" i="1"/>
  <c r="C11" i="1"/>
  <c r="G16" i="2"/>
  <c r="P28" i="1"/>
  <c r="G44" i="2"/>
  <c r="G43" i="2" s="1"/>
  <c r="B24" i="1"/>
  <c r="W43" i="2" l="1"/>
  <c r="W30" i="2"/>
  <c r="V29" i="2"/>
  <c r="U43" i="2"/>
  <c r="U30" i="2"/>
  <c r="T29" i="2"/>
  <c r="F51" i="2"/>
  <c r="I62" i="2"/>
  <c r="I24" i="1"/>
  <c r="I28" i="1"/>
  <c r="M28" i="1"/>
  <c r="B18" i="1"/>
  <c r="D34" i="2"/>
  <c r="G41" i="2"/>
  <c r="M18" i="1"/>
  <c r="M25" i="1"/>
  <c r="J16" i="1"/>
  <c r="J24" i="1"/>
  <c r="Q32" i="1"/>
  <c r="F63" i="2"/>
  <c r="F18" i="2"/>
  <c r="D29" i="2"/>
  <c r="D30" i="2" s="1"/>
  <c r="D35" i="2"/>
  <c r="E20" i="1"/>
  <c r="E21" i="1" s="1"/>
  <c r="E26" i="1"/>
  <c r="H63" i="2"/>
  <c r="K25" i="1"/>
  <c r="K18" i="1"/>
  <c r="B34" i="2"/>
  <c r="B27" i="2"/>
  <c r="J62" i="2"/>
  <c r="B26" i="1"/>
  <c r="B20" i="1"/>
  <c r="B21" i="1" s="1"/>
  <c r="M55" i="1"/>
  <c r="I55" i="1"/>
  <c r="I38" i="2"/>
  <c r="J21" i="2"/>
  <c r="O18" i="1"/>
  <c r="O25" i="1"/>
  <c r="P24" i="1"/>
  <c r="N16" i="1"/>
  <c r="N24" i="1"/>
  <c r="G26" i="1"/>
  <c r="G20" i="1"/>
  <c r="E37" i="2"/>
  <c r="E20" i="2"/>
  <c r="G18" i="2"/>
  <c r="G63" i="2"/>
  <c r="F24" i="1"/>
  <c r="F16" i="1"/>
  <c r="C16" i="1"/>
  <c r="C24" i="1"/>
  <c r="G51" i="2"/>
  <c r="J22" i="2"/>
  <c r="I39" i="2"/>
  <c r="D25" i="1"/>
  <c r="D18" i="1"/>
  <c r="H25" i="1"/>
  <c r="H18" i="1"/>
  <c r="L25" i="1"/>
  <c r="L18" i="1"/>
  <c r="I25" i="1"/>
  <c r="I18" i="1"/>
  <c r="V43" i="2" l="1"/>
  <c r="V30" i="2"/>
  <c r="T43" i="2"/>
  <c r="T30" i="2"/>
  <c r="J25" i="1"/>
  <c r="J18" i="1"/>
  <c r="M20" i="1"/>
  <c r="M26" i="1"/>
  <c r="D26" i="1"/>
  <c r="D20" i="1"/>
  <c r="D21" i="1" s="1"/>
  <c r="N18" i="1"/>
  <c r="N25" i="1"/>
  <c r="P25" i="1"/>
  <c r="Q24" i="1"/>
  <c r="J39" i="2"/>
  <c r="K22" i="2"/>
  <c r="K20" i="1"/>
  <c r="K26" i="1"/>
  <c r="O26" i="1"/>
  <c r="O20" i="1"/>
  <c r="O21" i="1" s="1"/>
  <c r="J38" i="2"/>
  <c r="K21" i="2"/>
  <c r="I63" i="2"/>
  <c r="I18" i="2"/>
  <c r="C18" i="1"/>
  <c r="C25" i="1"/>
  <c r="F18" i="1"/>
  <c r="F25" i="1"/>
  <c r="I23" i="2"/>
  <c r="H40" i="2"/>
  <c r="H41" i="2"/>
  <c r="B35" i="2"/>
  <c r="B29" i="2"/>
  <c r="B30" i="2" s="1"/>
  <c r="I26" i="1"/>
  <c r="I20" i="1"/>
  <c r="G20" i="2"/>
  <c r="G37" i="2"/>
  <c r="H37" i="2"/>
  <c r="E25" i="2"/>
  <c r="E33" i="2"/>
  <c r="L20" i="1"/>
  <c r="L26" i="1"/>
  <c r="K62" i="2"/>
  <c r="G21" i="1"/>
  <c r="F20" i="2"/>
  <c r="F37" i="2"/>
  <c r="H20" i="1"/>
  <c r="H26" i="1"/>
  <c r="M21" i="1" l="1"/>
  <c r="J26" i="1"/>
  <c r="J20" i="1"/>
  <c r="J21" i="1" s="1"/>
  <c r="H33" i="2"/>
  <c r="I20" i="2" s="1"/>
  <c r="I19" i="2" s="1"/>
  <c r="I40" i="2"/>
  <c r="J23" i="2"/>
  <c r="I24" i="2"/>
  <c r="I41" i="2" s="1"/>
  <c r="L62" i="2"/>
  <c r="K39" i="2"/>
  <c r="L22" i="2"/>
  <c r="M22" i="2" s="1"/>
  <c r="L21" i="1"/>
  <c r="G25" i="2"/>
  <c r="G33" i="2"/>
  <c r="K38" i="2"/>
  <c r="L21" i="2"/>
  <c r="M21" i="2" s="1"/>
  <c r="K45" i="1"/>
  <c r="H21" i="1"/>
  <c r="L45" i="1"/>
  <c r="I21" i="1"/>
  <c r="N20" i="1"/>
  <c r="N21" i="1" s="1"/>
  <c r="N26" i="1"/>
  <c r="E34" i="2"/>
  <c r="E27" i="2"/>
  <c r="J63" i="2"/>
  <c r="J18" i="2"/>
  <c r="K21" i="1"/>
  <c r="F20" i="1"/>
  <c r="F26" i="1"/>
  <c r="Q25" i="1"/>
  <c r="C20" i="1"/>
  <c r="C21" i="1" s="1"/>
  <c r="C26" i="1"/>
  <c r="I37" i="2"/>
  <c r="F25" i="2"/>
  <c r="F33" i="2"/>
  <c r="P45" i="1" l="1"/>
  <c r="M45" i="1"/>
  <c r="O45" i="1"/>
  <c r="J45" i="1"/>
  <c r="O47" i="1"/>
  <c r="O49" i="1"/>
  <c r="O48" i="1"/>
  <c r="O46" i="1"/>
  <c r="L46" i="1"/>
  <c r="L48" i="1"/>
  <c r="L49" i="1"/>
  <c r="L47" i="1"/>
  <c r="F21" i="1"/>
  <c r="I45" i="1"/>
  <c r="K23" i="2"/>
  <c r="J40" i="2"/>
  <c r="J24" i="2"/>
  <c r="J41" i="2" s="1"/>
  <c r="K49" i="1"/>
  <c r="K48" i="1"/>
  <c r="K47" i="1"/>
  <c r="K46" i="1"/>
  <c r="N45" i="1"/>
  <c r="L38" i="2"/>
  <c r="I33" i="2"/>
  <c r="J20" i="2" s="1"/>
  <c r="I25" i="2"/>
  <c r="J37" i="2"/>
  <c r="K63" i="2"/>
  <c r="K18" i="2"/>
  <c r="L39" i="2"/>
  <c r="E29" i="2"/>
  <c r="E30" i="2" s="1"/>
  <c r="E35" i="2"/>
  <c r="G27" i="2"/>
  <c r="G34" i="2"/>
  <c r="P26" i="1"/>
  <c r="Q26" i="1" s="1"/>
  <c r="F34" i="2"/>
  <c r="F27" i="2"/>
  <c r="H34" i="2"/>
  <c r="J48" i="1" l="1"/>
  <c r="J49" i="1"/>
  <c r="J46" i="1"/>
  <c r="J47" i="1"/>
  <c r="M49" i="1"/>
  <c r="M47" i="1"/>
  <c r="M46" i="1"/>
  <c r="M48" i="1"/>
  <c r="P46" i="1"/>
  <c r="P49" i="1"/>
  <c r="P48" i="1"/>
  <c r="P47" i="1"/>
  <c r="L18" i="2"/>
  <c r="M39" i="2"/>
  <c r="N22" i="2"/>
  <c r="K37" i="2"/>
  <c r="F29" i="2"/>
  <c r="F35" i="2"/>
  <c r="L23" i="2"/>
  <c r="M23" i="2" s="1"/>
  <c r="K40" i="2"/>
  <c r="K24" i="2"/>
  <c r="K41" i="2" s="1"/>
  <c r="I49" i="1"/>
  <c r="I48" i="1"/>
  <c r="I47" i="1"/>
  <c r="I46" i="1"/>
  <c r="N49" i="1"/>
  <c r="N48" i="1"/>
  <c r="N47" i="1"/>
  <c r="N46" i="1"/>
  <c r="L63" i="2"/>
  <c r="J25" i="2"/>
  <c r="J33" i="2"/>
  <c r="K20" i="2" s="1"/>
  <c r="J19" i="2"/>
  <c r="I34" i="2"/>
  <c r="H35" i="2"/>
  <c r="M38" i="2"/>
  <c r="G29" i="2"/>
  <c r="G35" i="2"/>
  <c r="K33" i="2" l="1"/>
  <c r="L20" i="2" s="1"/>
  <c r="L19" i="2" s="1"/>
  <c r="K25" i="2"/>
  <c r="K19" i="2"/>
  <c r="N38" i="2"/>
  <c r="L40" i="2"/>
  <c r="L24" i="2"/>
  <c r="L41" i="2" s="1"/>
  <c r="F57" i="2"/>
  <c r="F30" i="2"/>
  <c r="F56" i="2"/>
  <c r="F55" i="2"/>
  <c r="F54" i="2"/>
  <c r="L37" i="2"/>
  <c r="H29" i="2"/>
  <c r="O22" i="2"/>
  <c r="N39" i="2"/>
  <c r="J34" i="2"/>
  <c r="G56" i="2"/>
  <c r="G55" i="2"/>
  <c r="G54" i="2"/>
  <c r="G30" i="2"/>
  <c r="G57" i="2"/>
  <c r="M40" i="2" l="1"/>
  <c r="N23" i="2"/>
  <c r="M24" i="2"/>
  <c r="M41" i="2" s="1"/>
  <c r="M37" i="2"/>
  <c r="O38" i="2"/>
  <c r="O39" i="2"/>
  <c r="P22" i="2"/>
  <c r="K34" i="2"/>
  <c r="L25" i="2"/>
  <c r="L33" i="2"/>
  <c r="M20" i="2" s="1"/>
  <c r="M25" i="2" l="1"/>
  <c r="M33" i="2"/>
  <c r="N20" i="2" s="1"/>
  <c r="M19" i="2"/>
  <c r="I26" i="2"/>
  <c r="I27" i="2" s="1"/>
  <c r="O18" i="2"/>
  <c r="N37" i="2"/>
  <c r="P38" i="2"/>
  <c r="L34" i="2"/>
  <c r="P39" i="2"/>
  <c r="Q22" i="2"/>
  <c r="N40" i="2"/>
  <c r="O23" i="2"/>
  <c r="N24" i="2"/>
  <c r="N41" i="2" s="1"/>
  <c r="O37" i="2" l="1"/>
  <c r="P18" i="2"/>
  <c r="Q38" i="2"/>
  <c r="N33" i="2"/>
  <c r="O20" i="2" s="1"/>
  <c r="N25" i="2"/>
  <c r="N19" i="2"/>
  <c r="I28" i="2"/>
  <c r="I35" i="2" s="1"/>
  <c r="Q39" i="2"/>
  <c r="R22" i="2"/>
  <c r="O40" i="2"/>
  <c r="P23" i="2"/>
  <c r="O24" i="2"/>
  <c r="O41" i="2" s="1"/>
  <c r="M34" i="2"/>
  <c r="O25" i="2" l="1"/>
  <c r="O33" i="2"/>
  <c r="P20" i="2" s="1"/>
  <c r="P19" i="2" s="1"/>
  <c r="O19" i="2"/>
  <c r="N34" i="2"/>
  <c r="P40" i="2"/>
  <c r="Q23" i="2"/>
  <c r="P24" i="2"/>
  <c r="P41" i="2" s="1"/>
  <c r="R39" i="2"/>
  <c r="S22" i="2"/>
  <c r="S39" i="2" s="1"/>
  <c r="I29" i="2"/>
  <c r="R38" i="2"/>
  <c r="Q18" i="2"/>
  <c r="P37" i="2"/>
  <c r="I30" i="2" l="1"/>
  <c r="I43" i="2"/>
  <c r="Q37" i="2"/>
  <c r="R18" i="2"/>
  <c r="P33" i="2"/>
  <c r="Q20" i="2" s="1"/>
  <c r="P25" i="2"/>
  <c r="S38" i="2"/>
  <c r="R23" i="2"/>
  <c r="Q40" i="2"/>
  <c r="Q24" i="2"/>
  <c r="Q41" i="2" s="1"/>
  <c r="O34" i="2"/>
  <c r="Q25" i="2" l="1"/>
  <c r="Q33" i="2"/>
  <c r="R20" i="2" s="1"/>
  <c r="Q19" i="2"/>
  <c r="R37" i="2"/>
  <c r="S18" i="2"/>
  <c r="S23" i="2"/>
  <c r="R40" i="2"/>
  <c r="R24" i="2"/>
  <c r="R41" i="2" s="1"/>
  <c r="P34" i="2"/>
  <c r="J26" i="2"/>
  <c r="J27" i="2" s="1"/>
  <c r="R33" i="2" l="1"/>
  <c r="S20" i="2" s="1"/>
  <c r="R25" i="2"/>
  <c r="J28" i="2"/>
  <c r="J35" i="2" s="1"/>
  <c r="S40" i="2"/>
  <c r="S24" i="2"/>
  <c r="S41" i="2" s="1"/>
  <c r="S37" i="2"/>
  <c r="R19" i="2"/>
  <c r="Q34" i="2"/>
  <c r="J29" i="2" l="1"/>
  <c r="J30" i="2" s="1"/>
  <c r="S25" i="2"/>
  <c r="S33" i="2"/>
  <c r="S19" i="2"/>
  <c r="R34" i="2"/>
  <c r="J43" i="2" l="1"/>
  <c r="K26" i="2" s="1"/>
  <c r="K27" i="2" s="1"/>
  <c r="S34" i="2"/>
  <c r="K28" i="2" l="1"/>
  <c r="K35" i="2" s="1"/>
  <c r="K29" i="2" l="1"/>
  <c r="K30" i="2" s="1"/>
  <c r="K43" i="2" l="1"/>
  <c r="L26" i="2"/>
  <c r="L27" i="2" s="1"/>
  <c r="L28" i="2" l="1"/>
  <c r="L35" i="2" s="1"/>
  <c r="L29" i="2" l="1"/>
  <c r="L30" i="2" s="1"/>
  <c r="L43" i="2"/>
  <c r="M26" i="2" l="1"/>
  <c r="M27" i="2" s="1"/>
  <c r="M28" i="2" l="1"/>
  <c r="M35" i="2" s="1"/>
  <c r="M29" i="2" l="1"/>
  <c r="M30" i="2" s="1"/>
  <c r="M43" i="2" l="1"/>
  <c r="N26" i="2"/>
  <c r="N27" i="2" s="1"/>
  <c r="N28" i="2" l="1"/>
  <c r="N35" i="2" s="1"/>
  <c r="N29" i="2" l="1"/>
  <c r="N30" i="2"/>
  <c r="N43" i="2"/>
  <c r="O26" i="2" l="1"/>
  <c r="O27" i="2" s="1"/>
  <c r="O28" i="2" l="1"/>
  <c r="O35" i="2" s="1"/>
  <c r="O29" i="2"/>
  <c r="O30" i="2" l="1"/>
  <c r="O43" i="2"/>
  <c r="P26" i="2" l="1"/>
  <c r="P27" i="2" s="1"/>
  <c r="P28" i="2" l="1"/>
  <c r="P35" i="2" s="1"/>
  <c r="P29" i="2"/>
  <c r="P30" i="2" l="1"/>
  <c r="P43" i="2"/>
  <c r="Q26" i="2" l="1"/>
  <c r="Q27" i="2" s="1"/>
  <c r="Q28" i="2" l="1"/>
  <c r="Q35" i="2" s="1"/>
  <c r="Q29" i="2" l="1"/>
  <c r="Q30" i="2"/>
  <c r="Q43" i="2"/>
  <c r="R26" i="2" l="1"/>
  <c r="R27" i="2" s="1"/>
  <c r="R28" i="2" l="1"/>
  <c r="R35" i="2" s="1"/>
  <c r="R29" i="2" l="1"/>
  <c r="R30" i="2"/>
  <c r="R43" i="2"/>
  <c r="S26" i="2" l="1"/>
  <c r="S27" i="2" s="1"/>
  <c r="S28" i="2" l="1"/>
  <c r="S35" i="2" s="1"/>
  <c r="S29" i="2"/>
  <c r="S30" i="2" l="1"/>
  <c r="S43" i="2"/>
  <c r="X29" i="2" l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F6" i="2" s="1"/>
  <c r="F7" i="2" l="1"/>
  <c r="G7" i="2" l="1"/>
</calcChain>
</file>

<file path=xl/sharedStrings.xml><?xml version="1.0" encoding="utf-8"?>
<sst xmlns="http://schemas.openxmlformats.org/spreadsheetml/2006/main" count="161" uniqueCount="110">
  <si>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</si>
  <si>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</si>
  <si>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</si>
  <si>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</si>
  <si>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</si>
  <si>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</si>
  <si>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</si>
  <si>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</si>
  <si>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</si>
  <si>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</si>
  <si>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</si>
  <si>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</si>
  <si>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</si>
  <si>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</si>
  <si>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</si>
  <si>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</si>
  <si>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</si>
  <si>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</si>
  <si>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</si>
  <si>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</si>
  <si>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</si>
  <si>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</si>
  <si>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</si>
  <si>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</si>
  <si>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</si>
  <si>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</si>
  <si>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</si>
  <si>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</si>
  <si>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</si>
  <si>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</si>
  <si>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</si>
  <si>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</si>
  <si>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</si>
  <si>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</si>
  <si>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</si>
  <si>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</si>
  <si>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</si>
  <si>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</si>
  <si>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</si>
  <si>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</si>
  <si>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</si>
  <si>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</si>
  <si>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</si>
  <si>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</si>
  <si>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</si>
  <si>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</si>
  <si>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</si>
  <si>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</si>
  <si>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</si>
  <si>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</si>
  <si>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</si>
  <si>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</si>
  <si>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</si>
  <si>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</si>
  <si>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</si>
  <si>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</si>
  <si>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</si>
  <si>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</si>
  <si>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</si>
  <si>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</si>
  <si>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</si>
  <si>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</si>
  <si>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</si>
  <si>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</si>
  <si>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</si>
  <si>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</si>
  <si>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</si>
  <si>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</si>
  <si>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</si>
  <si>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</si>
  <si>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</si>
  <si>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</si>
  <si>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</si>
  <si>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</si>
  <si>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</si>
  <si>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ARPU</t>
  </si>
  <si>
    <t>ARPU y/y</t>
  </si>
  <si>
    <t>Spotify Technology SA (SPOT)</t>
  </si>
  <si>
    <t>Daniel Ek</t>
  </si>
  <si>
    <t>Martin Lorentzon</t>
  </si>
  <si>
    <t>Advertising</t>
  </si>
  <si>
    <t>Premium</t>
  </si>
  <si>
    <t>Subscribers</t>
  </si>
  <si>
    <t>MAU</t>
  </si>
  <si>
    <t>MAU y/y</t>
  </si>
  <si>
    <t>Subscribers y/y</t>
  </si>
  <si>
    <t>Premium y/y</t>
  </si>
  <si>
    <t>Advertising y/y</t>
  </si>
  <si>
    <t>Subscribers/ MAU</t>
  </si>
  <si>
    <t>31/3/2019</t>
  </si>
  <si>
    <t>30/6/2019</t>
  </si>
  <si>
    <t>1 740-1 940</t>
  </si>
  <si>
    <t>120-125</t>
  </si>
  <si>
    <t>30/9/2019</t>
  </si>
  <si>
    <t>255-270</t>
  </si>
  <si>
    <t>126-131</t>
  </si>
  <si>
    <t>279-289</t>
  </si>
  <si>
    <t>1 710-1 910</t>
  </si>
  <si>
    <t>Q120</t>
  </si>
  <si>
    <t>289-299</t>
  </si>
  <si>
    <t>133-138</t>
  </si>
  <si>
    <t>1 750-1 950</t>
  </si>
  <si>
    <t>6 350-6 800</t>
  </si>
  <si>
    <t>245-265</t>
  </si>
  <si>
    <t>328-348</t>
  </si>
  <si>
    <t>143-153</t>
  </si>
  <si>
    <t>7 650-8 050</t>
  </si>
  <si>
    <t>USD/EUR</t>
  </si>
  <si>
    <t>Revenue USD</t>
  </si>
  <si>
    <t>Net Income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</si>
</sst>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165" fontId="6" fillId="0" borderId="0" xfId="0" applyNumberFormat="1" applyFont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0" fontId="6" fillId="0" borderId="1" xfId="0" applyFont="1" applyBorder="1"/>
    <xf numFmtId="0" fontId="7" fillId="0" borderId="1" xfId="0" applyFont="1" applyBorder="1" applyAlignment="1">
      <alignment horizontal="right"/>
    </xf>
    <xf numFmtId="3" fontId="6" fillId="0" borderId="1" xfId="0" applyNumberFormat="1" applyFont="1" applyBorder="1"/>
    <xf numFmtId="3" fontId="7" fillId="0" borderId="0" xfId="0" applyNumberFormat="1" applyFont="1" applyAlignment="1">
      <alignment horizontal="right"/>
    </xf>
    <xf numFmtId="4" fontId="6" fillId="2" borderId="0" xfId="0" applyNumberFormat="1" applyFont="1" applyFill="1" applyBorder="1"/>
    <xf numFmtId="4" fontId="6" fillId="2" borderId="1" xfId="0" applyNumberFormat="1" applyFont="1" applyFill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0" fontId="8" fillId="0" borderId="0" xfId="0" applyFont="1" applyBorder="1"/>
    <xf numFmtId="3" fontId="7" fillId="0" borderId="1" xfId="0" applyNumberFormat="1" applyFont="1" applyBorder="1" applyAlignment="1">
      <alignment horizontal="right"/>
    </xf>
    <xf numFmtId="9" fontId="7" fillId="0" borderId="0" xfId="1" applyFont="1" applyBorder="1"/>
    <xf numFmtId="0" fontId="0" fillId="0" borderId="1" xfId="0" applyFont="1" applyBorder="1" applyAlignment="1">
      <alignment horizontal="right"/>
    </xf>
    <xf numFmtId="14" fontId="0" fillId="0" borderId="0" xfId="0" applyNumberFormat="1" applyFont="1" applyBorder="1" applyAlignment="1">
      <alignment horizontal="right"/>
    </xf>
    <xf numFmtId="0" fontId="4" fillId="0" borderId="0" xfId="4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7" fillId="0" borderId="0" xfId="0" applyNumberFormat="1" applyFont="1" applyAlignment="1">
      <alignment horizontal="right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/>
    <xf numFmtId="3" fontId="5" fillId="0" borderId="0" xfId="0" applyNumberFormat="1" applyFont="1"/>
    <xf numFmtId="3" fontId="5" fillId="2" borderId="0" xfId="0" applyNumberFormat="1" applyFont="1" applyFill="1"/>
    <xf numFmtId="4" fontId="6" fillId="0" borderId="0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10</xdr:row>
      <xdr:rowOff>12700</xdr:rowOff>
    </xdr:from>
    <xdr:to>
      <xdr:col>8</xdr:col>
      <xdr:colOff>165100</xdr:colOff>
      <xdr:row>73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7277100" y="1663700"/>
          <a:ext cx="0" cy="103886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</xdr:row>
      <xdr:rowOff>0</xdr:rowOff>
    </xdr:from>
    <xdr:to>
      <xdr:col>18</xdr:col>
      <xdr:colOff>190500</xdr:colOff>
      <xdr:row>61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5557500" y="165100"/>
          <a:ext cx="0" cy="9918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aniel_Ek" TargetMode="External"/><Relationship Id="rId2" Type="http://schemas.openxmlformats.org/officeDocument/2006/relationships/hyperlink" Target="https://en.wikipedia.org/wiki/Daniel_Ek" TargetMode="External"/><Relationship Id="rId1" Type="http://schemas.openxmlformats.org/officeDocument/2006/relationships/hyperlink" Target="https://investors.spotify.com/Home/default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Martin_Lorentz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pot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72"/>
  <sheetViews>
    <sheetView tabSelected="1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I22" sqref="I22"/>
    </sheetView>
  </sheetViews>
  <sheetFormatPr baseColWidth="10" defaultRowHeight="13" x14ac:dyDescent="0.15"/>
  <cols>
    <col min="1" max="1" width="17.5" style="3" customWidth="1"/>
    <col min="2" max="16384" width="10.83203125" style="3"/>
  </cols>
  <sheetData>
    <row r="1" spans="1:124" x14ac:dyDescent="0.15">
      <c r="A1" s="1" t="s">
        <v>74</v>
      </c>
      <c r="B1" s="2" t="s">
        <v>77</v>
      </c>
    </row>
    <row r="2" spans="1:124" x14ac:dyDescent="0.15">
      <c r="B2" s="3" t="s">
        <v>56</v>
      </c>
      <c r="C2" s="78">
        <v>241.76</v>
      </c>
      <c r="D2" s="73">
        <v>44005</v>
      </c>
      <c r="E2" s="6" t="s">
        <v>37</v>
      </c>
      <c r="F2" s="7">
        <v>-5.0000000000000001E-3</v>
      </c>
      <c r="I2" s="16"/>
      <c r="N2" s="2"/>
    </row>
    <row r="3" spans="1:124" x14ac:dyDescent="0.15">
      <c r="A3" s="2" t="s">
        <v>54</v>
      </c>
      <c r="B3" s="3" t="s">
        <v>17</v>
      </c>
      <c r="C3" s="8">
        <f>'Reports EUR'!R22</f>
        <v>185.632113</v>
      </c>
      <c r="D3" s="74" t="s">
        <v>98</v>
      </c>
      <c r="E3" s="6" t="s">
        <v>38</v>
      </c>
      <c r="F3" s="7">
        <v>0.05</v>
      </c>
      <c r="G3" s="5"/>
      <c r="I3" s="16"/>
    </row>
    <row r="4" spans="1:124" x14ac:dyDescent="0.15">
      <c r="A4" s="9" t="s">
        <v>78</v>
      </c>
      <c r="B4" s="3" t="s">
        <v>57</v>
      </c>
      <c r="C4" s="10">
        <f>C2*C3</f>
        <v>44878.419638879997</v>
      </c>
      <c r="D4" s="72"/>
      <c r="E4" s="6" t="s">
        <v>39</v>
      </c>
      <c r="F4" s="7">
        <f>6%</f>
        <v>0.06</v>
      </c>
      <c r="G4" s="5"/>
      <c r="I4" s="27"/>
    </row>
    <row r="5" spans="1:124" x14ac:dyDescent="0.15">
      <c r="B5" s="3" t="s">
        <v>33</v>
      </c>
      <c r="C5" s="8">
        <f>'Reports EUR'!R34/Main!C9</f>
        <v>3256.5217391304345</v>
      </c>
      <c r="D5" s="74" t="s">
        <v>98</v>
      </c>
      <c r="E5" s="6" t="s">
        <v>40</v>
      </c>
      <c r="F5" s="11">
        <f>NPV(F4,I29:GI29)</f>
        <v>48650.741899208093</v>
      </c>
      <c r="G5" s="5"/>
      <c r="I5" s="27"/>
    </row>
    <row r="6" spans="1:124" x14ac:dyDescent="0.15">
      <c r="A6" s="2" t="s">
        <v>55</v>
      </c>
      <c r="B6" s="3" t="s">
        <v>58</v>
      </c>
      <c r="C6" s="10">
        <f>C4-C5</f>
        <v>41621.897899749565</v>
      </c>
      <c r="D6" s="72"/>
      <c r="E6" s="12" t="s">
        <v>41</v>
      </c>
      <c r="F6" s="13">
        <f>F5/C9+C5</f>
        <v>56137.762933921833</v>
      </c>
      <c r="I6" s="27"/>
    </row>
    <row r="7" spans="1:124" x14ac:dyDescent="0.15">
      <c r="A7" s="9" t="s">
        <v>78</v>
      </c>
      <c r="B7" s="5" t="s">
        <v>59</v>
      </c>
      <c r="C7" s="56">
        <f>C6/C3</f>
        <v>224.217120772361</v>
      </c>
      <c r="D7" s="72"/>
      <c r="E7" s="14" t="s">
        <v>59</v>
      </c>
      <c r="F7" s="51">
        <f>F6/C3</f>
        <v>302.41407064047064</v>
      </c>
      <c r="G7" s="27">
        <f>F7/C2-1</f>
        <v>0.2508854675730916</v>
      </c>
    </row>
    <row r="8" spans="1:124" x14ac:dyDescent="0.15">
      <c r="A8" s="9" t="s">
        <v>79</v>
      </c>
      <c r="D8" s="72"/>
      <c r="G8" s="6"/>
      <c r="H8" s="15"/>
    </row>
    <row r="9" spans="1:124" x14ac:dyDescent="0.15">
      <c r="A9" s="9"/>
      <c r="B9" s="2" t="s">
        <v>107</v>
      </c>
      <c r="C9" s="71">
        <v>0.92</v>
      </c>
      <c r="D9" s="73">
        <v>43968</v>
      </c>
      <c r="G9" s="6"/>
      <c r="H9" s="15"/>
    </row>
    <row r="10" spans="1:124" x14ac:dyDescent="0.15">
      <c r="A10" s="9"/>
      <c r="G10" s="6"/>
      <c r="H10" s="15"/>
    </row>
    <row r="11" spans="1:124" x14ac:dyDescent="0.15">
      <c r="B11" s="3">
        <v>2013</v>
      </c>
      <c r="C11" s="3">
        <v>2014</v>
      </c>
      <c r="D11" s="3">
        <v>2015</v>
      </c>
      <c r="E11" s="3">
        <v>2016</v>
      </c>
      <c r="F11" s="3">
        <v>2017</v>
      </c>
      <c r="G11" s="3">
        <f>F11+1</f>
        <v>2018</v>
      </c>
      <c r="H11" s="3">
        <f t="shared" ref="H11:W11" si="0">G11+1</f>
        <v>2019</v>
      </c>
      <c r="I11" s="3">
        <f t="shared" si="0"/>
        <v>2020</v>
      </c>
      <c r="J11" s="3">
        <f t="shared" si="0"/>
        <v>2021</v>
      </c>
      <c r="K11" s="3">
        <f t="shared" si="0"/>
        <v>2022</v>
      </c>
      <c r="L11" s="3">
        <f t="shared" si="0"/>
        <v>2023</v>
      </c>
      <c r="M11" s="3">
        <f t="shared" si="0"/>
        <v>2024</v>
      </c>
      <c r="N11" s="3">
        <f t="shared" si="0"/>
        <v>2025</v>
      </c>
      <c r="O11" s="3">
        <f t="shared" si="0"/>
        <v>2026</v>
      </c>
      <c r="P11" s="3">
        <f t="shared" si="0"/>
        <v>2027</v>
      </c>
      <c r="Q11" s="3">
        <f t="shared" si="0"/>
        <v>2028</v>
      </c>
      <c r="R11" s="3">
        <f t="shared" si="0"/>
        <v>2029</v>
      </c>
      <c r="S11" s="3">
        <f t="shared" si="0"/>
        <v>2030</v>
      </c>
      <c r="T11" s="3">
        <f t="shared" si="0"/>
        <v>2031</v>
      </c>
      <c r="U11" s="3">
        <f t="shared" si="0"/>
        <v>2032</v>
      </c>
      <c r="V11" s="3">
        <f t="shared" si="0"/>
        <v>2033</v>
      </c>
      <c r="W11" s="3">
        <f t="shared" si="0"/>
        <v>2034</v>
      </c>
    </row>
    <row r="12" spans="1:124" x14ac:dyDescent="0.15">
      <c r="A12" s="6" t="s">
        <v>81</v>
      </c>
      <c r="B12" s="8"/>
      <c r="C12" s="8"/>
      <c r="D12" s="8">
        <v>1744</v>
      </c>
      <c r="E12" s="8">
        <f>SUM('Reports EUR'!B3:E3)</f>
        <v>2657</v>
      </c>
      <c r="F12" s="16">
        <f>SUM('Reports EUR'!F3:I3)</f>
        <v>3674</v>
      </c>
      <c r="G12" s="16">
        <f>SUM('Reports EUR'!J3:M3)</f>
        <v>4717</v>
      </c>
      <c r="H12" s="16">
        <f>SUM('Reports EUR'!N3:Q3)</f>
        <v>6086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</row>
    <row r="13" spans="1:124" x14ac:dyDescent="0.15">
      <c r="A13" s="6" t="s">
        <v>80</v>
      </c>
      <c r="B13" s="8"/>
      <c r="C13" s="8"/>
      <c r="D13" s="8">
        <v>196</v>
      </c>
      <c r="E13" s="8">
        <f>SUM('Reports EUR'!B4:E4)</f>
        <v>295</v>
      </c>
      <c r="F13" s="16">
        <f>SUM('Reports EUR'!F4:I4)</f>
        <v>416</v>
      </c>
      <c r="G13" s="16">
        <f>SUM('Reports EUR'!J4:M4)</f>
        <v>542</v>
      </c>
      <c r="H13" s="16">
        <f>SUM('Reports EUR'!N4:Q4)</f>
        <v>678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</row>
    <row r="14" spans="1:124" s="68" customFormat="1" x14ac:dyDescent="0.15">
      <c r="A14" s="50"/>
      <c r="B14" s="49"/>
      <c r="C14" s="49"/>
      <c r="D14" s="49"/>
      <c r="E14" s="49"/>
      <c r="F14" s="55"/>
      <c r="G14" s="55"/>
      <c r="H14" s="55"/>
      <c r="I14" s="55" t="s">
        <v>105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</row>
    <row r="15" spans="1:124" x14ac:dyDescent="0.15">
      <c r="A15" s="8" t="s">
        <v>82</v>
      </c>
      <c r="B15" s="8"/>
      <c r="C15" s="8"/>
      <c r="D15" s="8">
        <v>28</v>
      </c>
      <c r="E15" s="8">
        <v>48</v>
      </c>
      <c r="F15" s="16">
        <f>'Reports EUR'!I6</f>
        <v>71</v>
      </c>
      <c r="G15" s="16">
        <f>'Reports EUR'!M6</f>
        <v>96</v>
      </c>
      <c r="H15" s="16">
        <f>'Reports EUR'!Q6</f>
        <v>124</v>
      </c>
      <c r="I15" s="16">
        <f>H15*1.25</f>
        <v>155</v>
      </c>
      <c r="J15" s="16">
        <f t="shared" ref="J15:M15" si="1">I15*1.25</f>
        <v>193.75</v>
      </c>
      <c r="K15" s="16">
        <f t="shared" si="1"/>
        <v>242.1875</v>
      </c>
      <c r="L15" s="16">
        <f t="shared" si="1"/>
        <v>302.734375</v>
      </c>
      <c r="M15" s="16">
        <f t="shared" si="1"/>
        <v>378.41796875</v>
      </c>
    </row>
    <row r="16" spans="1:124" x14ac:dyDescent="0.15">
      <c r="A16" s="6" t="s">
        <v>75</v>
      </c>
      <c r="B16" s="8"/>
      <c r="C16" s="8"/>
      <c r="D16" s="10">
        <f>SUM(D12:D13)/D15</f>
        <v>69.285714285714292</v>
      </c>
      <c r="E16" s="10">
        <f>SUM(E12:E13)/E15</f>
        <v>61.5</v>
      </c>
      <c r="F16" s="10">
        <f>SUM(F12:F13)/F15</f>
        <v>57.605633802816904</v>
      </c>
      <c r="G16" s="10">
        <f>SUM(G12:G13)/G15</f>
        <v>54.78125</v>
      </c>
      <c r="H16" s="10">
        <f>SUM(H12:H13)/H15</f>
        <v>54.548387096774192</v>
      </c>
      <c r="I16" s="16">
        <f>H16*0.98</f>
        <v>53.457419354838706</v>
      </c>
      <c r="J16" s="16">
        <f t="shared" ref="J16:M16" si="2">I16*0.98</f>
        <v>52.388270967741931</v>
      </c>
      <c r="K16" s="16">
        <f t="shared" si="2"/>
        <v>51.340505548387092</v>
      </c>
      <c r="L16" s="16">
        <f t="shared" si="2"/>
        <v>50.313695437419348</v>
      </c>
      <c r="M16" s="16">
        <f t="shared" si="2"/>
        <v>49.307421528670957</v>
      </c>
    </row>
    <row r="17" spans="1:191" s="68" customFormat="1" x14ac:dyDescent="0.15">
      <c r="H17" s="55" t="s">
        <v>102</v>
      </c>
      <c r="I17" s="55" t="s">
        <v>106</v>
      </c>
      <c r="J17" s="55"/>
      <c r="K17" s="55"/>
    </row>
    <row r="18" spans="1:191" x14ac:dyDescent="0.15">
      <c r="A18" s="2" t="s">
        <v>4</v>
      </c>
      <c r="B18" s="17">
        <v>746</v>
      </c>
      <c r="C18" s="17">
        <v>1085</v>
      </c>
      <c r="D18" s="17">
        <f>D15*D16</f>
        <v>1940.0000000000002</v>
      </c>
      <c r="E18" s="17">
        <f>E15*E16</f>
        <v>2952</v>
      </c>
      <c r="F18" s="17">
        <f>F15*F16</f>
        <v>4090</v>
      </c>
      <c r="G18" s="17">
        <f>G15*G16</f>
        <v>5259</v>
      </c>
      <c r="H18" s="17">
        <f>H15*H16</f>
        <v>6764</v>
      </c>
      <c r="I18" s="18">
        <f t="shared" ref="I18:K18" si="3">I15*I16</f>
        <v>8285.9</v>
      </c>
      <c r="J18" s="18">
        <f t="shared" si="3"/>
        <v>10150.227499999999</v>
      </c>
      <c r="K18" s="18">
        <f t="shared" si="3"/>
        <v>12434.028687499998</v>
      </c>
      <c r="L18" s="18">
        <f>L15*L16</f>
        <v>15231.685142187498</v>
      </c>
      <c r="M18" s="18">
        <f>M15*M16</f>
        <v>18658.814299179685</v>
      </c>
      <c r="N18" s="18">
        <f>M18*1.1</f>
        <v>20524.695729097653</v>
      </c>
      <c r="O18" s="18">
        <f t="shared" ref="O18:W18" si="4">N18*1.1</f>
        <v>22577.165302007419</v>
      </c>
      <c r="P18" s="18">
        <f t="shared" si="4"/>
        <v>24834.881832208164</v>
      </c>
      <c r="Q18" s="18">
        <f t="shared" si="4"/>
        <v>27318.370015428984</v>
      </c>
      <c r="R18" s="18">
        <f t="shared" si="4"/>
        <v>30050.207016971883</v>
      </c>
      <c r="S18" s="18">
        <f t="shared" si="4"/>
        <v>33055.227718669077</v>
      </c>
      <c r="T18" s="18">
        <f t="shared" si="4"/>
        <v>36360.750490535989</v>
      </c>
      <c r="U18" s="18">
        <f t="shared" si="4"/>
        <v>39996.82553958959</v>
      </c>
      <c r="V18" s="18">
        <f t="shared" si="4"/>
        <v>43996.508093548553</v>
      </c>
      <c r="W18" s="18">
        <f t="shared" si="4"/>
        <v>48396.158902903415</v>
      </c>
      <c r="X18" s="18"/>
    </row>
    <row r="19" spans="1:191" x14ac:dyDescent="0.15">
      <c r="A19" s="3" t="s">
        <v>5</v>
      </c>
      <c r="B19" s="8">
        <v>618</v>
      </c>
      <c r="C19" s="8">
        <v>911</v>
      </c>
      <c r="D19" s="8">
        <v>1714</v>
      </c>
      <c r="E19" s="8">
        <f>SUM('Reports EUR'!B10:E10)</f>
        <v>2551</v>
      </c>
      <c r="F19" s="16">
        <f>SUM('Reports EUR'!F10:I10)</f>
        <v>3241</v>
      </c>
      <c r="G19" s="8">
        <f>SUM('Reports EUR'!J10:M10)</f>
        <v>3906</v>
      </c>
      <c r="H19" s="16">
        <f>SUM('Reports EUR'!N10:Q10)</f>
        <v>5042</v>
      </c>
      <c r="I19" s="8">
        <f t="shared" ref="I19:J19" si="5">I18-I20</f>
        <v>6176.45</v>
      </c>
      <c r="J19" s="8">
        <f t="shared" si="5"/>
        <v>7566.151249999999</v>
      </c>
      <c r="K19" s="8">
        <f t="shared" ref="K19:S19" si="6">K18-K20</f>
        <v>9268.5352812499987</v>
      </c>
      <c r="L19" s="8">
        <f t="shared" si="6"/>
        <v>11353.955719531248</v>
      </c>
      <c r="M19" s="8">
        <f t="shared" si="6"/>
        <v>13908.595756425781</v>
      </c>
      <c r="N19" s="8">
        <f t="shared" si="6"/>
        <v>15299.455332068357</v>
      </c>
      <c r="O19" s="8">
        <f t="shared" si="6"/>
        <v>16829.400865275195</v>
      </c>
      <c r="P19" s="8">
        <f t="shared" si="6"/>
        <v>18512.340951802715</v>
      </c>
      <c r="Q19" s="8">
        <f t="shared" si="6"/>
        <v>20363.575046982987</v>
      </c>
      <c r="R19" s="8">
        <f t="shared" si="6"/>
        <v>22399.93255168129</v>
      </c>
      <c r="S19" s="8">
        <f t="shared" si="6"/>
        <v>24639.925806849424</v>
      </c>
      <c r="T19" s="8">
        <f t="shared" ref="T19:W19" si="7">T18-T20</f>
        <v>27103.918387534366</v>
      </c>
      <c r="U19" s="8">
        <f t="shared" si="7"/>
        <v>29814.310226287806</v>
      </c>
      <c r="V19" s="8">
        <f t="shared" si="7"/>
        <v>32795.741248916587</v>
      </c>
      <c r="W19" s="8">
        <f t="shared" si="7"/>
        <v>36075.315373808255</v>
      </c>
      <c r="X19" s="8"/>
    </row>
    <row r="20" spans="1:191" x14ac:dyDescent="0.15">
      <c r="A20" s="3" t="s">
        <v>6</v>
      </c>
      <c r="B20" s="10">
        <f t="shared" ref="B20:H20" si="8">B18-B19</f>
        <v>128</v>
      </c>
      <c r="C20" s="10">
        <f t="shared" si="8"/>
        <v>174</v>
      </c>
      <c r="D20" s="10">
        <f t="shared" si="8"/>
        <v>226.00000000000023</v>
      </c>
      <c r="E20" s="10">
        <f t="shared" si="8"/>
        <v>401</v>
      </c>
      <c r="F20" s="10">
        <f t="shared" si="8"/>
        <v>849</v>
      </c>
      <c r="G20" s="10">
        <f t="shared" si="8"/>
        <v>1353</v>
      </c>
      <c r="H20" s="10">
        <f t="shared" si="8"/>
        <v>1722</v>
      </c>
      <c r="I20" s="8">
        <f t="shared" ref="I20:W20" si="9">I18*H33</f>
        <v>2109.4499999999998</v>
      </c>
      <c r="J20" s="8">
        <f t="shared" si="9"/>
        <v>2584.0762499999996</v>
      </c>
      <c r="K20" s="8">
        <f t="shared" si="9"/>
        <v>3165.4934062499997</v>
      </c>
      <c r="L20" s="8">
        <f t="shared" si="9"/>
        <v>3877.7294226562494</v>
      </c>
      <c r="M20" s="8">
        <f t="shared" si="9"/>
        <v>4750.2185427539052</v>
      </c>
      <c r="N20" s="8">
        <f t="shared" si="9"/>
        <v>5225.2403970292962</v>
      </c>
      <c r="O20" s="8">
        <f t="shared" si="9"/>
        <v>5747.7644367322255</v>
      </c>
      <c r="P20" s="8">
        <f t="shared" si="9"/>
        <v>6322.5408804054487</v>
      </c>
      <c r="Q20" s="8">
        <f t="shared" si="9"/>
        <v>6954.7949684459945</v>
      </c>
      <c r="R20" s="8">
        <f t="shared" si="9"/>
        <v>7650.274465290594</v>
      </c>
      <c r="S20" s="8">
        <f t="shared" si="9"/>
        <v>8415.3019118196553</v>
      </c>
      <c r="T20" s="8">
        <f t="shared" si="9"/>
        <v>9256.8321030016214</v>
      </c>
      <c r="U20" s="8">
        <f t="shared" si="9"/>
        <v>10182.515313301785</v>
      </c>
      <c r="V20" s="8">
        <f t="shared" si="9"/>
        <v>11200.766844631964</v>
      </c>
      <c r="W20" s="8">
        <f t="shared" si="9"/>
        <v>12320.843529095162</v>
      </c>
      <c r="X20" s="8"/>
    </row>
    <row r="21" spans="1:191" x14ac:dyDescent="0.15">
      <c r="A21" s="3" t="s">
        <v>7</v>
      </c>
      <c r="B21" s="8">
        <v>73</v>
      </c>
      <c r="C21" s="8">
        <v>114</v>
      </c>
      <c r="D21" s="8">
        <v>136</v>
      </c>
      <c r="E21" s="8">
        <f>SUM('Reports EUR'!B12:E12)</f>
        <v>207</v>
      </c>
      <c r="F21" s="16">
        <f>SUM('Reports EUR'!F12:I12)</f>
        <v>396</v>
      </c>
      <c r="G21" s="8">
        <f>SUM('Reports EUR'!J12:M12)</f>
        <v>493</v>
      </c>
      <c r="H21" s="16">
        <f>SUM('Reports EUR'!N12:Q12)</f>
        <v>615</v>
      </c>
      <c r="I21" s="8">
        <f>H21*1.25</f>
        <v>768.75</v>
      </c>
      <c r="J21" s="8">
        <f t="shared" ref="J21:M21" si="10">I21*1.25</f>
        <v>960.9375</v>
      </c>
      <c r="K21" s="8">
        <f t="shared" si="10"/>
        <v>1201.171875</v>
      </c>
      <c r="L21" s="8">
        <f t="shared" si="10"/>
        <v>1501.46484375</v>
      </c>
      <c r="M21" s="8">
        <f t="shared" si="10"/>
        <v>1876.8310546875</v>
      </c>
      <c r="N21" s="8">
        <f>M21*1.1</f>
        <v>2064.51416015625</v>
      </c>
      <c r="O21" s="8">
        <f t="shared" ref="O21:S21" si="11">N21*1.1</f>
        <v>2270.965576171875</v>
      </c>
      <c r="P21" s="8">
        <f t="shared" si="11"/>
        <v>2498.0621337890625</v>
      </c>
      <c r="Q21" s="8">
        <f t="shared" si="11"/>
        <v>2747.8683471679688</v>
      </c>
      <c r="R21" s="8">
        <f t="shared" si="11"/>
        <v>3022.6551818847661</v>
      </c>
      <c r="S21" s="8">
        <f t="shared" si="11"/>
        <v>3324.9207000732431</v>
      </c>
      <c r="T21" s="8">
        <f t="shared" ref="T21:W21" si="12">S21*1.1</f>
        <v>3657.4127700805675</v>
      </c>
      <c r="U21" s="8">
        <f t="shared" si="12"/>
        <v>4023.1540470886248</v>
      </c>
      <c r="V21" s="8">
        <f t="shared" si="12"/>
        <v>4425.4694517974876</v>
      </c>
      <c r="W21" s="8">
        <f t="shared" si="12"/>
        <v>4868.0163969772366</v>
      </c>
      <c r="X21" s="8"/>
    </row>
    <row r="22" spans="1:191" x14ac:dyDescent="0.15">
      <c r="A22" s="3" t="s">
        <v>8</v>
      </c>
      <c r="B22" s="8">
        <v>111</v>
      </c>
      <c r="C22" s="8">
        <v>184</v>
      </c>
      <c r="D22" s="8">
        <v>219</v>
      </c>
      <c r="E22" s="8">
        <f>SUM('Reports EUR'!B13:E13)</f>
        <v>368</v>
      </c>
      <c r="F22" s="16">
        <f>SUM('Reports EUR'!F13:I13)</f>
        <v>567</v>
      </c>
      <c r="G22" s="8">
        <f>SUM('Reports EUR'!J13:M13)</f>
        <v>620</v>
      </c>
      <c r="H22" s="16">
        <f>SUM('Reports EUR'!N13:Q13)</f>
        <v>826</v>
      </c>
      <c r="I22" s="8">
        <f>H22*1.15</f>
        <v>949.9</v>
      </c>
      <c r="J22" s="8">
        <f t="shared" ref="J22:M22" si="13">I22*1.15</f>
        <v>1092.385</v>
      </c>
      <c r="K22" s="8">
        <f t="shared" si="13"/>
        <v>1256.2427499999999</v>
      </c>
      <c r="L22" s="8">
        <f t="shared" si="13"/>
        <v>1444.6791624999998</v>
      </c>
      <c r="M22" s="8">
        <f t="shared" si="13"/>
        <v>1661.3810368749996</v>
      </c>
      <c r="N22" s="8">
        <f t="shared" ref="N22:W22" si="14">M22*1.02</f>
        <v>1694.6086576124997</v>
      </c>
      <c r="O22" s="8">
        <f t="shared" si="14"/>
        <v>1728.5008307647497</v>
      </c>
      <c r="P22" s="8">
        <f t="shared" si="14"/>
        <v>1763.0708473800448</v>
      </c>
      <c r="Q22" s="8">
        <f t="shared" si="14"/>
        <v>1798.3322643276458</v>
      </c>
      <c r="R22" s="8">
        <f t="shared" si="14"/>
        <v>1834.2989096141987</v>
      </c>
      <c r="S22" s="8">
        <f t="shared" si="14"/>
        <v>1870.9848878064827</v>
      </c>
      <c r="T22" s="8">
        <f t="shared" si="14"/>
        <v>1908.4045855626123</v>
      </c>
      <c r="U22" s="8">
        <f t="shared" si="14"/>
        <v>1946.5726772738647</v>
      </c>
      <c r="V22" s="8">
        <f t="shared" si="14"/>
        <v>1985.504130819342</v>
      </c>
      <c r="W22" s="8">
        <f t="shared" si="14"/>
        <v>2025.2142134357289</v>
      </c>
      <c r="X22" s="8"/>
    </row>
    <row r="23" spans="1:191" x14ac:dyDescent="0.15">
      <c r="A23" s="3" t="s">
        <v>9</v>
      </c>
      <c r="B23" s="8">
        <v>42</v>
      </c>
      <c r="C23" s="8">
        <v>67</v>
      </c>
      <c r="D23" s="8">
        <v>106</v>
      </c>
      <c r="E23" s="8">
        <f>SUM('Reports EUR'!B14:E14)</f>
        <v>175</v>
      </c>
      <c r="F23" s="16">
        <f>SUM('Reports EUR'!F14:I14)</f>
        <v>264</v>
      </c>
      <c r="G23" s="8">
        <f>SUM('Reports EUR'!J14:M14)</f>
        <v>283</v>
      </c>
      <c r="H23" s="16">
        <f>SUM('Reports EUR'!N14:Q14)</f>
        <v>354</v>
      </c>
      <c r="I23" s="8">
        <f>H23*1.15</f>
        <v>407.09999999999997</v>
      </c>
      <c r="J23" s="8">
        <f t="shared" ref="J23:M23" si="15">I23*1.15</f>
        <v>468.16499999999991</v>
      </c>
      <c r="K23" s="8">
        <f t="shared" si="15"/>
        <v>538.38974999999982</v>
      </c>
      <c r="L23" s="8">
        <f t="shared" si="15"/>
        <v>619.14821249999977</v>
      </c>
      <c r="M23" s="8">
        <f t="shared" si="15"/>
        <v>712.02044437499967</v>
      </c>
      <c r="N23" s="8">
        <f t="shared" ref="N23:W23" si="16">M23*0.98</f>
        <v>697.78003548749962</v>
      </c>
      <c r="O23" s="8">
        <f t="shared" si="16"/>
        <v>683.82443477774962</v>
      </c>
      <c r="P23" s="8">
        <f t="shared" si="16"/>
        <v>670.14794608219461</v>
      </c>
      <c r="Q23" s="8">
        <f t="shared" si="16"/>
        <v>656.74498716055075</v>
      </c>
      <c r="R23" s="8">
        <f t="shared" si="16"/>
        <v>643.61008741733974</v>
      </c>
      <c r="S23" s="8">
        <f t="shared" si="16"/>
        <v>630.73788566899293</v>
      </c>
      <c r="T23" s="8">
        <f t="shared" si="16"/>
        <v>618.12312795561309</v>
      </c>
      <c r="U23" s="8">
        <f t="shared" si="16"/>
        <v>605.76066539650083</v>
      </c>
      <c r="V23" s="8">
        <f t="shared" si="16"/>
        <v>593.64545208857078</v>
      </c>
      <c r="W23" s="8">
        <f t="shared" si="16"/>
        <v>581.77254304679934</v>
      </c>
      <c r="X23" s="8"/>
    </row>
    <row r="24" spans="1:191" x14ac:dyDescent="0.15">
      <c r="A24" s="3" t="s">
        <v>10</v>
      </c>
      <c r="B24" s="10">
        <f t="shared" ref="B24:G24" si="17">SUM(B21:B23)</f>
        <v>226</v>
      </c>
      <c r="C24" s="10">
        <f t="shared" si="17"/>
        <v>365</v>
      </c>
      <c r="D24" s="10">
        <f t="shared" si="17"/>
        <v>461</v>
      </c>
      <c r="E24" s="10">
        <f t="shared" si="17"/>
        <v>750</v>
      </c>
      <c r="F24" s="10">
        <f t="shared" si="17"/>
        <v>1227</v>
      </c>
      <c r="G24" s="10">
        <f t="shared" si="17"/>
        <v>1396</v>
      </c>
      <c r="H24" s="10">
        <f t="shared" ref="H24" si="18">SUM(H21:H23)</f>
        <v>1795</v>
      </c>
      <c r="I24" s="8">
        <f t="shared" ref="I24:J24" si="19">SUM(I21:I23)</f>
        <v>2125.75</v>
      </c>
      <c r="J24" s="8">
        <f t="shared" si="19"/>
        <v>2521.4875000000002</v>
      </c>
      <c r="K24" s="8">
        <f t="shared" ref="K24:S24" si="20">SUM(K21:K23)</f>
        <v>2995.8043749999997</v>
      </c>
      <c r="L24" s="8">
        <f t="shared" si="20"/>
        <v>3565.2922187499994</v>
      </c>
      <c r="M24" s="8">
        <f t="shared" si="20"/>
        <v>4250.2325359374991</v>
      </c>
      <c r="N24" s="8">
        <f t="shared" si="20"/>
        <v>4456.9028532562497</v>
      </c>
      <c r="O24" s="8">
        <f t="shared" si="20"/>
        <v>4683.2908417143744</v>
      </c>
      <c r="P24" s="8">
        <f t="shared" si="20"/>
        <v>4931.2809272513023</v>
      </c>
      <c r="Q24" s="8">
        <f t="shared" si="20"/>
        <v>5202.9455986561652</v>
      </c>
      <c r="R24" s="8">
        <f t="shared" si="20"/>
        <v>5500.5641789163046</v>
      </c>
      <c r="S24" s="8">
        <f t="shared" si="20"/>
        <v>5826.6434735487192</v>
      </c>
      <c r="T24" s="8">
        <f t="shared" ref="T24:W24" si="21">SUM(T21:T23)</f>
        <v>6183.9404835987925</v>
      </c>
      <c r="U24" s="8">
        <f t="shared" si="21"/>
        <v>6575.4873897589896</v>
      </c>
      <c r="V24" s="8">
        <f t="shared" si="21"/>
        <v>7004.6190347054007</v>
      </c>
      <c r="W24" s="8">
        <f t="shared" si="21"/>
        <v>7475.0031534597647</v>
      </c>
      <c r="X24" s="8"/>
    </row>
    <row r="25" spans="1:191" x14ac:dyDescent="0.15">
      <c r="A25" s="3" t="s">
        <v>11</v>
      </c>
      <c r="B25" s="10">
        <f t="shared" ref="B25:G25" si="22">B20-B24</f>
        <v>-98</v>
      </c>
      <c r="C25" s="10">
        <f t="shared" si="22"/>
        <v>-191</v>
      </c>
      <c r="D25" s="10">
        <f t="shared" si="22"/>
        <v>-234.99999999999977</v>
      </c>
      <c r="E25" s="10">
        <f t="shared" si="22"/>
        <v>-349</v>
      </c>
      <c r="F25" s="10">
        <f t="shared" si="22"/>
        <v>-378</v>
      </c>
      <c r="G25" s="10">
        <f t="shared" si="22"/>
        <v>-43</v>
      </c>
      <c r="H25" s="10">
        <f t="shared" ref="H25" si="23">H20-H24</f>
        <v>-73</v>
      </c>
      <c r="I25" s="8">
        <f t="shared" ref="I25:J25" si="24">I20-I24</f>
        <v>-16.300000000000182</v>
      </c>
      <c r="J25" s="8">
        <f t="shared" si="24"/>
        <v>62.588749999999436</v>
      </c>
      <c r="K25" s="8">
        <f t="shared" ref="K25:S25" si="25">K20-K24</f>
        <v>169.68903124999997</v>
      </c>
      <c r="L25" s="8">
        <f t="shared" si="25"/>
        <v>312.43720390625003</v>
      </c>
      <c r="M25" s="8">
        <f t="shared" si="25"/>
        <v>499.98600681640619</v>
      </c>
      <c r="N25" s="8">
        <f t="shared" si="25"/>
        <v>768.33754377304649</v>
      </c>
      <c r="O25" s="8">
        <f t="shared" si="25"/>
        <v>1064.473595017851</v>
      </c>
      <c r="P25" s="8">
        <f t="shared" si="25"/>
        <v>1391.2599531541464</v>
      </c>
      <c r="Q25" s="8">
        <f t="shared" si="25"/>
        <v>1751.8493697898293</v>
      </c>
      <c r="R25" s="8">
        <f t="shared" si="25"/>
        <v>2149.7102863742894</v>
      </c>
      <c r="S25" s="8">
        <f t="shared" si="25"/>
        <v>2588.6584382709361</v>
      </c>
      <c r="T25" s="8">
        <f t="shared" ref="T25:W25" si="26">T20-T24</f>
        <v>3072.8916194028288</v>
      </c>
      <c r="U25" s="8">
        <f t="shared" si="26"/>
        <v>3607.0279235427952</v>
      </c>
      <c r="V25" s="8">
        <f t="shared" si="26"/>
        <v>4196.1478099265632</v>
      </c>
      <c r="W25" s="8">
        <f t="shared" si="26"/>
        <v>4845.8403756353973</v>
      </c>
      <c r="X25" s="8"/>
    </row>
    <row r="26" spans="1:191" x14ac:dyDescent="0.15">
      <c r="A26" s="3" t="s">
        <v>12</v>
      </c>
      <c r="B26" s="8">
        <f>39-2</f>
        <v>37</v>
      </c>
      <c r="C26" s="8">
        <f>28-19</f>
        <v>9</v>
      </c>
      <c r="D26" s="8">
        <f>36-26</f>
        <v>10</v>
      </c>
      <c r="E26" s="8">
        <f>SUM('Reports EUR'!B17:E17)</f>
        <v>-186</v>
      </c>
      <c r="F26" s="16">
        <f>SUM('Reports EUR'!F17:I17)</f>
        <v>-855</v>
      </c>
      <c r="G26" s="8">
        <f>SUM('Reports EUR'!J17:M17)</f>
        <v>-130</v>
      </c>
      <c r="H26" s="16">
        <f>SUM('Reports EUR'!N17:Q17)</f>
        <v>-58</v>
      </c>
      <c r="I26" s="8">
        <f t="shared" ref="I26:W26" si="27">H43*$F$3</f>
        <v>162.70000000000002</v>
      </c>
      <c r="J26" s="8">
        <f t="shared" si="27"/>
        <v>168.92200000000003</v>
      </c>
      <c r="K26" s="8">
        <f t="shared" si="27"/>
        <v>178.76120687499997</v>
      </c>
      <c r="L26" s="8">
        <f t="shared" si="27"/>
        <v>193.57034199531248</v>
      </c>
      <c r="M26" s="8">
        <f t="shared" si="27"/>
        <v>215.07566269612892</v>
      </c>
      <c r="N26" s="8">
        <f t="shared" si="27"/>
        <v>245.46578365041165</v>
      </c>
      <c r="O26" s="8">
        <f t="shared" si="27"/>
        <v>288.55242506590861</v>
      </c>
      <c r="P26" s="8">
        <f t="shared" si="27"/>
        <v>346.05603091946841</v>
      </c>
      <c r="Q26" s="8">
        <f t="shared" si="27"/>
        <v>419.89196024259712</v>
      </c>
      <c r="R26" s="8">
        <f t="shared" si="27"/>
        <v>512.19096676897527</v>
      </c>
      <c r="S26" s="8">
        <f t="shared" si="27"/>
        <v>625.32177002756407</v>
      </c>
      <c r="T26" s="8">
        <f t="shared" si="27"/>
        <v>761.91592888025025</v>
      </c>
      <c r="U26" s="8">
        <f t="shared" si="27"/>
        <v>924.89524968228113</v>
      </c>
      <c r="V26" s="8">
        <f t="shared" si="27"/>
        <v>1117.5019845443469</v>
      </c>
      <c r="W26" s="8">
        <f t="shared" si="27"/>
        <v>1343.3321008093606</v>
      </c>
      <c r="X26" s="8"/>
    </row>
    <row r="27" spans="1:191" x14ac:dyDescent="0.15">
      <c r="A27" s="3" t="s">
        <v>13</v>
      </c>
      <c r="B27" s="10">
        <f t="shared" ref="B27:H27" si="28">B25+B26</f>
        <v>-61</v>
      </c>
      <c r="C27" s="10">
        <f t="shared" si="28"/>
        <v>-182</v>
      </c>
      <c r="D27" s="10">
        <f t="shared" si="28"/>
        <v>-224.99999999999977</v>
      </c>
      <c r="E27" s="10">
        <f t="shared" si="28"/>
        <v>-535</v>
      </c>
      <c r="F27" s="10">
        <f t="shared" si="28"/>
        <v>-1233</v>
      </c>
      <c r="G27" s="10">
        <f t="shared" si="28"/>
        <v>-173</v>
      </c>
      <c r="H27" s="10">
        <f t="shared" si="28"/>
        <v>-131</v>
      </c>
      <c r="I27" s="8">
        <f t="shared" ref="I27:J27" si="29">I25+I26</f>
        <v>146.39999999999984</v>
      </c>
      <c r="J27" s="8">
        <f t="shared" si="29"/>
        <v>231.51074999999946</v>
      </c>
      <c r="K27" s="8">
        <f t="shared" ref="K27" si="30">K25+K26</f>
        <v>348.45023812499994</v>
      </c>
      <c r="L27" s="8">
        <f t="shared" ref="L27" si="31">L25+L26</f>
        <v>506.00754590156248</v>
      </c>
      <c r="M27" s="8">
        <f t="shared" ref="M27" si="32">M25+M26</f>
        <v>715.0616695125351</v>
      </c>
      <c r="N27" s="8">
        <f t="shared" ref="N27" si="33">N25+N26</f>
        <v>1013.8033274234581</v>
      </c>
      <c r="O27" s="8">
        <f t="shared" ref="O27" si="34">O25+O26</f>
        <v>1353.0260200837597</v>
      </c>
      <c r="P27" s="8">
        <f t="shared" ref="P27" si="35">P25+P26</f>
        <v>1737.3159840736148</v>
      </c>
      <c r="Q27" s="8">
        <f t="shared" ref="Q27" si="36">Q25+Q26</f>
        <v>2171.7413300324265</v>
      </c>
      <c r="R27" s="8">
        <f t="shared" ref="R27" si="37">R25+R26</f>
        <v>2661.9012531432645</v>
      </c>
      <c r="S27" s="8">
        <f t="shared" ref="S27:T27" si="38">S25+S26</f>
        <v>3213.9802082985002</v>
      </c>
      <c r="T27" s="8">
        <f t="shared" si="38"/>
        <v>3834.8075482830791</v>
      </c>
      <c r="U27" s="8">
        <f t="shared" ref="U27:W27" si="39">U25+U26</f>
        <v>4531.9231732250764</v>
      </c>
      <c r="V27" s="8">
        <f t="shared" si="39"/>
        <v>5313.6497944709099</v>
      </c>
      <c r="W27" s="8">
        <f t="shared" si="39"/>
        <v>6189.1724764447581</v>
      </c>
      <c r="X27" s="8"/>
    </row>
    <row r="28" spans="1:191" x14ac:dyDescent="0.15">
      <c r="A28" s="3" t="s">
        <v>14</v>
      </c>
      <c r="B28" s="8">
        <v>2</v>
      </c>
      <c r="C28" s="8">
        <v>6</v>
      </c>
      <c r="D28" s="8">
        <v>5</v>
      </c>
      <c r="E28" s="8">
        <f>SUM('Reports EUR'!B19:E19)</f>
        <v>4</v>
      </c>
      <c r="F28" s="16">
        <f>SUM('Reports EUR'!F19:I19)</f>
        <v>2</v>
      </c>
      <c r="G28" s="8">
        <f>SUM('Reports EUR'!J19:M19)</f>
        <v>-95</v>
      </c>
      <c r="H28" s="16">
        <f>SUM('Reports EUR'!N19:Q19)</f>
        <v>55</v>
      </c>
      <c r="I28" s="8">
        <f t="shared" ref="I28:S28" si="40">I27*0.15</f>
        <v>21.959999999999976</v>
      </c>
      <c r="J28" s="8">
        <f t="shared" si="40"/>
        <v>34.726612499999916</v>
      </c>
      <c r="K28" s="8">
        <f t="shared" si="40"/>
        <v>52.26753571874999</v>
      </c>
      <c r="L28" s="8">
        <f t="shared" si="40"/>
        <v>75.901131885234363</v>
      </c>
      <c r="M28" s="8">
        <f t="shared" si="40"/>
        <v>107.25925042688026</v>
      </c>
      <c r="N28" s="8">
        <f t="shared" si="40"/>
        <v>152.07049911351871</v>
      </c>
      <c r="O28" s="8">
        <f t="shared" si="40"/>
        <v>202.95390301256396</v>
      </c>
      <c r="P28" s="8">
        <f t="shared" si="40"/>
        <v>260.5973976110422</v>
      </c>
      <c r="Q28" s="8">
        <f t="shared" si="40"/>
        <v>325.76119950486395</v>
      </c>
      <c r="R28" s="8">
        <f t="shared" si="40"/>
        <v>399.28518797148968</v>
      </c>
      <c r="S28" s="8">
        <f t="shared" si="40"/>
        <v>482.097031244775</v>
      </c>
      <c r="T28" s="8">
        <f t="shared" ref="T28:W28" si="41">T27*0.15</f>
        <v>575.22113224246186</v>
      </c>
      <c r="U28" s="8">
        <f t="shared" si="41"/>
        <v>679.78847598376149</v>
      </c>
      <c r="V28" s="8">
        <f t="shared" si="41"/>
        <v>797.04746917063642</v>
      </c>
      <c r="W28" s="8">
        <f t="shared" si="41"/>
        <v>928.37587146671365</v>
      </c>
      <c r="X28" s="8"/>
    </row>
    <row r="29" spans="1:191" s="2" customFormat="1" x14ac:dyDescent="0.15">
      <c r="A29" s="2" t="s">
        <v>15</v>
      </c>
      <c r="B29" s="17">
        <f t="shared" ref="B29:G29" si="42">B27-B28</f>
        <v>-63</v>
      </c>
      <c r="C29" s="17">
        <f t="shared" si="42"/>
        <v>-188</v>
      </c>
      <c r="D29" s="17">
        <f t="shared" si="42"/>
        <v>-229.99999999999977</v>
      </c>
      <c r="E29" s="17">
        <f t="shared" si="42"/>
        <v>-539</v>
      </c>
      <c r="F29" s="17">
        <f t="shared" si="42"/>
        <v>-1235</v>
      </c>
      <c r="G29" s="17">
        <f t="shared" si="42"/>
        <v>-78</v>
      </c>
      <c r="H29" s="17">
        <f>H27-H28</f>
        <v>-186</v>
      </c>
      <c r="I29" s="17">
        <f t="shared" ref="I29:J29" si="43">I27-I28</f>
        <v>124.43999999999986</v>
      </c>
      <c r="J29" s="17">
        <f t="shared" si="43"/>
        <v>196.78413749999953</v>
      </c>
      <c r="K29" s="17">
        <f t="shared" ref="K29:S29" si="44">K27-K28</f>
        <v>296.18270240624997</v>
      </c>
      <c r="L29" s="17">
        <f t="shared" si="44"/>
        <v>430.10641401632813</v>
      </c>
      <c r="M29" s="17">
        <f t="shared" si="44"/>
        <v>607.80241908565483</v>
      </c>
      <c r="N29" s="17">
        <f t="shared" si="44"/>
        <v>861.73282830993935</v>
      </c>
      <c r="O29" s="17">
        <f t="shared" si="44"/>
        <v>1150.0721170711959</v>
      </c>
      <c r="P29" s="17">
        <f t="shared" si="44"/>
        <v>1476.7185864625726</v>
      </c>
      <c r="Q29" s="17">
        <f t="shared" si="44"/>
        <v>1845.9801305275626</v>
      </c>
      <c r="R29" s="17">
        <f t="shared" si="44"/>
        <v>2262.6160651717746</v>
      </c>
      <c r="S29" s="17">
        <f t="shared" si="44"/>
        <v>2731.8831770537254</v>
      </c>
      <c r="T29" s="17">
        <f t="shared" ref="T29:W29" si="45">T27-T28</f>
        <v>3259.5864160406172</v>
      </c>
      <c r="U29" s="17">
        <f t="shared" si="45"/>
        <v>3852.1346972413148</v>
      </c>
      <c r="V29" s="17">
        <f t="shared" si="45"/>
        <v>4516.6023253002732</v>
      </c>
      <c r="W29" s="17">
        <f t="shared" si="45"/>
        <v>5260.7966049780443</v>
      </c>
      <c r="X29" s="17">
        <f t="shared" ref="X29:AY29" si="46">W29*($F$2+1)</f>
        <v>5234.4926219531544</v>
      </c>
      <c r="Y29" s="17">
        <f t="shared" si="46"/>
        <v>5208.3201588433885</v>
      </c>
      <c r="Z29" s="17">
        <f t="shared" si="46"/>
        <v>5182.2785580491718</v>
      </c>
      <c r="AA29" s="17">
        <f t="shared" si="46"/>
        <v>5156.3671652589255</v>
      </c>
      <c r="AB29" s="17">
        <f t="shared" si="46"/>
        <v>5130.5853294326307</v>
      </c>
      <c r="AC29" s="17">
        <f t="shared" si="46"/>
        <v>5104.9324027854673</v>
      </c>
      <c r="AD29" s="17">
        <f t="shared" si="46"/>
        <v>5079.4077407715395</v>
      </c>
      <c r="AE29" s="17">
        <f t="shared" si="46"/>
        <v>5054.0107020676814</v>
      </c>
      <c r="AF29" s="17">
        <f t="shared" si="46"/>
        <v>5028.7406485573429</v>
      </c>
      <c r="AG29" s="17">
        <f t="shared" si="46"/>
        <v>5003.5969453145563</v>
      </c>
      <c r="AH29" s="17">
        <f t="shared" si="46"/>
        <v>4978.5789605879836</v>
      </c>
      <c r="AI29" s="17">
        <f t="shared" si="46"/>
        <v>4953.6860657850439</v>
      </c>
      <c r="AJ29" s="17">
        <f t="shared" si="46"/>
        <v>4928.9176354561187</v>
      </c>
      <c r="AK29" s="17">
        <f t="shared" si="46"/>
        <v>4904.273047278838</v>
      </c>
      <c r="AL29" s="17">
        <f t="shared" si="46"/>
        <v>4879.7516820424435</v>
      </c>
      <c r="AM29" s="17">
        <f t="shared" si="46"/>
        <v>4855.3529236322311</v>
      </c>
      <c r="AN29" s="17">
        <f t="shared" si="46"/>
        <v>4831.0761590140701</v>
      </c>
      <c r="AO29" s="17">
        <f t="shared" si="46"/>
        <v>4806.9207782189997</v>
      </c>
      <c r="AP29" s="17">
        <f t="shared" si="46"/>
        <v>4782.8861743279049</v>
      </c>
      <c r="AQ29" s="17">
        <f t="shared" si="46"/>
        <v>4758.9717434562654</v>
      </c>
      <c r="AR29" s="17">
        <f t="shared" si="46"/>
        <v>4735.176884738984</v>
      </c>
      <c r="AS29" s="17">
        <f t="shared" si="46"/>
        <v>4711.5010003152893</v>
      </c>
      <c r="AT29" s="17">
        <f t="shared" si="46"/>
        <v>4687.9434953137124</v>
      </c>
      <c r="AU29" s="17">
        <f t="shared" si="46"/>
        <v>4664.5037778371443</v>
      </c>
      <c r="AV29" s="17">
        <f t="shared" si="46"/>
        <v>4641.1812589479587</v>
      </c>
      <c r="AW29" s="17">
        <f t="shared" si="46"/>
        <v>4617.9753526532186</v>
      </c>
      <c r="AX29" s="17">
        <f t="shared" si="46"/>
        <v>4594.8854758899524</v>
      </c>
      <c r="AY29" s="17">
        <f t="shared" si="46"/>
        <v>4571.911048510503</v>
      </c>
      <c r="AZ29" s="17">
        <f t="shared" ref="AZ29:CE29" si="47">AY29*($F$2+1)</f>
        <v>4549.0514932679507</v>
      </c>
      <c r="BA29" s="17">
        <f t="shared" si="47"/>
        <v>4526.3062358016114</v>
      </c>
      <c r="BB29" s="17">
        <f t="shared" si="47"/>
        <v>4503.6747046226037</v>
      </c>
      <c r="BC29" s="17">
        <f t="shared" si="47"/>
        <v>4481.1563310994907</v>
      </c>
      <c r="BD29" s="17">
        <f t="shared" si="47"/>
        <v>4458.7505494439929</v>
      </c>
      <c r="BE29" s="17">
        <f t="shared" si="47"/>
        <v>4436.4567966967725</v>
      </c>
      <c r="BF29" s="17">
        <f t="shared" si="47"/>
        <v>4414.2745127132885</v>
      </c>
      <c r="BG29" s="17">
        <f t="shared" si="47"/>
        <v>4392.2031401497215</v>
      </c>
      <c r="BH29" s="17">
        <f t="shared" si="47"/>
        <v>4370.2421244489733</v>
      </c>
      <c r="BI29" s="17">
        <f t="shared" si="47"/>
        <v>4348.3909138267281</v>
      </c>
      <c r="BJ29" s="17">
        <f t="shared" si="47"/>
        <v>4326.6489592575945</v>
      </c>
      <c r="BK29" s="17">
        <f t="shared" si="47"/>
        <v>4305.0157144613067</v>
      </c>
      <c r="BL29" s="17">
        <f t="shared" si="47"/>
        <v>4283.4906358890003</v>
      </c>
      <c r="BM29" s="17">
        <f t="shared" si="47"/>
        <v>4262.0731827095551</v>
      </c>
      <c r="BN29" s="17">
        <f t="shared" si="47"/>
        <v>4240.7628167960074</v>
      </c>
      <c r="BO29" s="17">
        <f t="shared" si="47"/>
        <v>4219.559002712027</v>
      </c>
      <c r="BP29" s="17">
        <f t="shared" si="47"/>
        <v>4198.4612076984668</v>
      </c>
      <c r="BQ29" s="17">
        <f t="shared" si="47"/>
        <v>4177.4689016599741</v>
      </c>
      <c r="BR29" s="17">
        <f t="shared" si="47"/>
        <v>4156.5815571516741</v>
      </c>
      <c r="BS29" s="17">
        <f t="shared" si="47"/>
        <v>4135.7986493659155</v>
      </c>
      <c r="BT29" s="17">
        <f t="shared" si="47"/>
        <v>4115.1196561190854</v>
      </c>
      <c r="BU29" s="17">
        <f t="shared" si="47"/>
        <v>4094.5440578384901</v>
      </c>
      <c r="BV29" s="17">
        <f t="shared" si="47"/>
        <v>4074.0713375492974</v>
      </c>
      <c r="BW29" s="17">
        <f t="shared" si="47"/>
        <v>4053.7009808615508</v>
      </c>
      <c r="BX29" s="17">
        <f t="shared" si="47"/>
        <v>4033.4324759572428</v>
      </c>
      <c r="BY29" s="17">
        <f t="shared" si="47"/>
        <v>4013.2653135774567</v>
      </c>
      <c r="BZ29" s="17">
        <f t="shared" si="47"/>
        <v>3993.1989870095695</v>
      </c>
      <c r="CA29" s="17">
        <f t="shared" si="47"/>
        <v>3973.2329920745215</v>
      </c>
      <c r="CB29" s="17">
        <f t="shared" si="47"/>
        <v>3953.3668271141487</v>
      </c>
      <c r="CC29" s="17">
        <f t="shared" si="47"/>
        <v>3933.599992978578</v>
      </c>
      <c r="CD29" s="17">
        <f t="shared" si="47"/>
        <v>3913.9319930136853</v>
      </c>
      <c r="CE29" s="17">
        <f t="shared" si="47"/>
        <v>3894.3623330486171</v>
      </c>
      <c r="CF29" s="17">
        <f t="shared" ref="CF29:DK29" si="48">CE29*($F$2+1)</f>
        <v>3874.8905213833741</v>
      </c>
      <c r="CG29" s="17">
        <f t="shared" si="48"/>
        <v>3855.5160687764574</v>
      </c>
      <c r="CH29" s="17">
        <f t="shared" si="48"/>
        <v>3836.2384884325752</v>
      </c>
      <c r="CI29" s="17">
        <f t="shared" si="48"/>
        <v>3817.0572959904125</v>
      </c>
      <c r="CJ29" s="17">
        <f t="shared" si="48"/>
        <v>3797.9720095104603</v>
      </c>
      <c r="CK29" s="17">
        <f t="shared" si="48"/>
        <v>3778.9821494629082</v>
      </c>
      <c r="CL29" s="17">
        <f t="shared" si="48"/>
        <v>3760.0872387155937</v>
      </c>
      <c r="CM29" s="17">
        <f t="shared" si="48"/>
        <v>3741.2868025220155</v>
      </c>
      <c r="CN29" s="17">
        <f t="shared" si="48"/>
        <v>3722.5803685094052</v>
      </c>
      <c r="CO29" s="17">
        <f t="shared" si="48"/>
        <v>3703.9674666668579</v>
      </c>
      <c r="CP29" s="17">
        <f t="shared" si="48"/>
        <v>3685.4476293335238</v>
      </c>
      <c r="CQ29" s="17">
        <f t="shared" si="48"/>
        <v>3667.0203911868562</v>
      </c>
      <c r="CR29" s="17">
        <f t="shared" si="48"/>
        <v>3648.6852892309221</v>
      </c>
      <c r="CS29" s="17">
        <f t="shared" si="48"/>
        <v>3630.4418627847676</v>
      </c>
      <c r="CT29" s="17">
        <f t="shared" si="48"/>
        <v>3612.2896534708439</v>
      </c>
      <c r="CU29" s="17">
        <f t="shared" si="48"/>
        <v>3594.2282052034898</v>
      </c>
      <c r="CV29" s="17">
        <f t="shared" si="48"/>
        <v>3576.2570641774723</v>
      </c>
      <c r="CW29" s="17">
        <f t="shared" si="48"/>
        <v>3558.3757788565849</v>
      </c>
      <c r="CX29" s="17">
        <f t="shared" si="48"/>
        <v>3540.583899962302</v>
      </c>
      <c r="CY29" s="17">
        <f t="shared" si="48"/>
        <v>3522.8809804624902</v>
      </c>
      <c r="CZ29" s="17">
        <f t="shared" si="48"/>
        <v>3505.2665755601779</v>
      </c>
      <c r="DA29" s="17">
        <f t="shared" si="48"/>
        <v>3487.7402426823769</v>
      </c>
      <c r="DB29" s="17">
        <f t="shared" si="48"/>
        <v>3470.3015414689648</v>
      </c>
      <c r="DC29" s="17">
        <f t="shared" si="48"/>
        <v>3452.95003376162</v>
      </c>
      <c r="DD29" s="17">
        <f t="shared" si="48"/>
        <v>3435.6852835928121</v>
      </c>
      <c r="DE29" s="17">
        <f t="shared" si="48"/>
        <v>3418.5068571748479</v>
      </c>
      <c r="DF29" s="17">
        <f t="shared" si="48"/>
        <v>3401.4143228889739</v>
      </c>
      <c r="DG29" s="17">
        <f t="shared" si="48"/>
        <v>3384.4072512745288</v>
      </c>
      <c r="DH29" s="17">
        <f t="shared" si="48"/>
        <v>3367.4852150181559</v>
      </c>
      <c r="DI29" s="17">
        <f t="shared" si="48"/>
        <v>3350.6477889430653</v>
      </c>
      <c r="DJ29" s="17">
        <f t="shared" si="48"/>
        <v>3333.8945499983502</v>
      </c>
      <c r="DK29" s="17">
        <f t="shared" si="48"/>
        <v>3317.2250772483585</v>
      </c>
      <c r="DL29" s="17">
        <f t="shared" ref="DL29:DT29" si="49">DK29*($F$2+1)</f>
        <v>3300.6389518621168</v>
      </c>
      <c r="DM29" s="17">
        <f t="shared" si="49"/>
        <v>3284.1357571028061</v>
      </c>
      <c r="DN29" s="17">
        <f t="shared" si="49"/>
        <v>3267.715078317292</v>
      </c>
      <c r="DO29" s="17">
        <f t="shared" si="49"/>
        <v>3251.3765029257056</v>
      </c>
      <c r="DP29" s="17">
        <f t="shared" si="49"/>
        <v>3235.119620411077</v>
      </c>
      <c r="DQ29" s="17">
        <f t="shared" si="49"/>
        <v>3218.9440223090214</v>
      </c>
      <c r="DR29" s="17">
        <f t="shared" si="49"/>
        <v>3202.8493021974764</v>
      </c>
      <c r="DS29" s="17">
        <f t="shared" si="49"/>
        <v>3186.8350556864889</v>
      </c>
      <c r="DT29" s="17">
        <f t="shared" si="49"/>
        <v>3170.9008804080563</v>
      </c>
      <c r="DU29" s="17">
        <f t="shared" ref="DU29" si="50">DT29*($F$2+1)</f>
        <v>3155.0463760060161</v>
      </c>
      <c r="DV29" s="17">
        <f t="shared" ref="DV29" si="51">DU29*($F$2+1)</f>
        <v>3139.2711441259862</v>
      </c>
      <c r="DW29" s="17">
        <f t="shared" ref="DW29" si="52">DV29*($F$2+1)</f>
        <v>3123.5747884053562</v>
      </c>
      <c r="DX29" s="17">
        <f t="shared" ref="DX29" si="53">DW29*($F$2+1)</f>
        <v>3107.9569144633292</v>
      </c>
      <c r="DY29" s="17">
        <f t="shared" ref="DY29" si="54">DX29*($F$2+1)</f>
        <v>3092.4171298910123</v>
      </c>
      <c r="DZ29" s="17">
        <f t="shared" ref="DZ29" si="55">DY29*($F$2+1)</f>
        <v>3076.9550442415571</v>
      </c>
      <c r="EA29" s="17">
        <f t="shared" ref="EA29" si="56">DZ29*($F$2+1)</f>
        <v>3061.5702690203493</v>
      </c>
      <c r="EB29" s="17">
        <f t="shared" ref="EB29" si="57">EA29*($F$2+1)</f>
        <v>3046.2624176752474</v>
      </c>
      <c r="EC29" s="17">
        <f t="shared" ref="EC29" si="58">EB29*($F$2+1)</f>
        <v>3031.031105586871</v>
      </c>
      <c r="ED29" s="17">
        <f t="shared" ref="ED29" si="59">EC29*($F$2+1)</f>
        <v>3015.8759500589367</v>
      </c>
      <c r="EE29" s="17">
        <f t="shared" ref="EE29" si="60">ED29*($F$2+1)</f>
        <v>3000.796570308642</v>
      </c>
      <c r="EF29" s="17">
        <f t="shared" ref="EF29" si="61">EE29*($F$2+1)</f>
        <v>2985.7925874570988</v>
      </c>
      <c r="EG29" s="17">
        <f t="shared" ref="EG29" si="62">EF29*($F$2+1)</f>
        <v>2970.8636245198131</v>
      </c>
      <c r="EH29" s="17">
        <f t="shared" ref="EH29" si="63">EG29*($F$2+1)</f>
        <v>2956.009306397214</v>
      </c>
      <c r="EI29" s="17">
        <f t="shared" ref="EI29" si="64">EH29*($F$2+1)</f>
        <v>2941.229259865228</v>
      </c>
      <c r="EJ29" s="17">
        <f t="shared" ref="EJ29" si="65">EI29*($F$2+1)</f>
        <v>2926.5231135659019</v>
      </c>
      <c r="EK29" s="17">
        <f t="shared" ref="EK29" si="66">EJ29*($F$2+1)</f>
        <v>2911.8904979980725</v>
      </c>
      <c r="EL29" s="17">
        <f t="shared" ref="EL29" si="67">EK29*($F$2+1)</f>
        <v>2897.3310455080823</v>
      </c>
      <c r="EM29" s="17">
        <f t="shared" ref="EM29" si="68">EL29*($F$2+1)</f>
        <v>2882.844390280542</v>
      </c>
      <c r="EN29" s="17">
        <f t="shared" ref="EN29" si="69">EM29*($F$2+1)</f>
        <v>2868.4301683291392</v>
      </c>
      <c r="EO29" s="17">
        <f t="shared" ref="EO29" si="70">EN29*($F$2+1)</f>
        <v>2854.0880174874933</v>
      </c>
      <c r="EP29" s="17">
        <f t="shared" ref="EP29" si="71">EO29*($F$2+1)</f>
        <v>2839.8175774000556</v>
      </c>
      <c r="EQ29" s="17">
        <f t="shared" ref="EQ29" si="72">EP29*($F$2+1)</f>
        <v>2825.6184895130555</v>
      </c>
      <c r="ER29" s="17">
        <f t="shared" ref="ER29" si="73">EQ29*($F$2+1)</f>
        <v>2811.49039706549</v>
      </c>
      <c r="ES29" s="17">
        <f t="shared" ref="ES29" si="74">ER29*($F$2+1)</f>
        <v>2797.4329450801624</v>
      </c>
      <c r="ET29" s="17">
        <f t="shared" ref="ET29" si="75">ES29*($F$2+1)</f>
        <v>2783.4457803547616</v>
      </c>
      <c r="EU29" s="17">
        <f t="shared" ref="EU29" si="76">ET29*($F$2+1)</f>
        <v>2769.5285514529878</v>
      </c>
      <c r="EV29" s="17">
        <f t="shared" ref="EV29" si="77">EU29*($F$2+1)</f>
        <v>2755.6809086957228</v>
      </c>
      <c r="EW29" s="17">
        <f t="shared" ref="EW29" si="78">EV29*($F$2+1)</f>
        <v>2741.9025041522441</v>
      </c>
      <c r="EX29" s="17">
        <f t="shared" ref="EX29" si="79">EW29*($F$2+1)</f>
        <v>2728.192991631483</v>
      </c>
      <c r="EY29" s="17">
        <f t="shared" ref="EY29" si="80">EX29*($F$2+1)</f>
        <v>2714.5520266733256</v>
      </c>
      <c r="EZ29" s="17">
        <f t="shared" ref="EZ29" si="81">EY29*($F$2+1)</f>
        <v>2700.9792665399591</v>
      </c>
      <c r="FA29" s="17">
        <f t="shared" ref="FA29" si="82">EZ29*($F$2+1)</f>
        <v>2687.4743702072592</v>
      </c>
      <c r="FB29" s="17">
        <f t="shared" ref="FB29" si="83">FA29*($F$2+1)</f>
        <v>2674.0369983562227</v>
      </c>
      <c r="FC29" s="17">
        <f t="shared" ref="FC29" si="84">FB29*($F$2+1)</f>
        <v>2660.6668133644416</v>
      </c>
      <c r="FD29" s="17">
        <f t="shared" ref="FD29" si="85">FC29*($F$2+1)</f>
        <v>2647.3634792976195</v>
      </c>
      <c r="FE29" s="17">
        <f t="shared" ref="FE29" si="86">FD29*($F$2+1)</f>
        <v>2634.1266619011312</v>
      </c>
      <c r="FF29" s="17">
        <f t="shared" ref="FF29" si="87">FE29*($F$2+1)</f>
        <v>2620.9560285916255</v>
      </c>
      <c r="FG29" s="17">
        <f t="shared" ref="FG29" si="88">FF29*($F$2+1)</f>
        <v>2607.8512484486673</v>
      </c>
      <c r="FH29" s="17">
        <f t="shared" ref="FH29" si="89">FG29*($F$2+1)</f>
        <v>2594.8119922064238</v>
      </c>
      <c r="FI29" s="17">
        <f t="shared" ref="FI29" si="90">FH29*($F$2+1)</f>
        <v>2581.8379322453916</v>
      </c>
      <c r="FJ29" s="17">
        <f t="shared" ref="FJ29" si="91">FI29*($F$2+1)</f>
        <v>2568.9287425841644</v>
      </c>
      <c r="FK29" s="17">
        <f t="shared" ref="FK29" si="92">FJ29*($F$2+1)</f>
        <v>2556.0840988712434</v>
      </c>
      <c r="FL29" s="17">
        <f t="shared" ref="FL29" si="93">FK29*($F$2+1)</f>
        <v>2543.3036783768871</v>
      </c>
      <c r="FM29" s="17">
        <f t="shared" ref="FM29" si="94">FL29*($F$2+1)</f>
        <v>2530.5871599850025</v>
      </c>
      <c r="FN29" s="17">
        <f t="shared" ref="FN29" si="95">FM29*($F$2+1)</f>
        <v>2517.9342241850773</v>
      </c>
      <c r="FO29" s="17">
        <f t="shared" ref="FO29" si="96">FN29*($F$2+1)</f>
        <v>2505.344553064152</v>
      </c>
      <c r="FP29" s="17">
        <f t="shared" ref="FP29" si="97">FO29*($F$2+1)</f>
        <v>2492.8178302988313</v>
      </c>
      <c r="FQ29" s="17">
        <f t="shared" ref="FQ29" si="98">FP29*($F$2+1)</f>
        <v>2480.3537411473371</v>
      </c>
      <c r="FR29" s="17">
        <f t="shared" ref="FR29" si="99">FQ29*($F$2+1)</f>
        <v>2467.9519724416004</v>
      </c>
      <c r="FS29" s="17">
        <f t="shared" ref="FS29" si="100">FR29*($F$2+1)</f>
        <v>2455.6122125793922</v>
      </c>
      <c r="FT29" s="17">
        <f t="shared" ref="FT29" si="101">FS29*($F$2+1)</f>
        <v>2443.3341515164952</v>
      </c>
      <c r="FU29" s="17">
        <f t="shared" ref="FU29" si="102">FT29*($F$2+1)</f>
        <v>2431.1174807589127</v>
      </c>
      <c r="FV29" s="17">
        <f t="shared" ref="FV29" si="103">FU29*($F$2+1)</f>
        <v>2418.9618933551183</v>
      </c>
      <c r="FW29" s="17">
        <f t="shared" ref="FW29" si="104">FV29*($F$2+1)</f>
        <v>2406.8670838883427</v>
      </c>
      <c r="FX29" s="17">
        <f t="shared" ref="FX29" si="105">FW29*($F$2+1)</f>
        <v>2394.8327484689012</v>
      </c>
      <c r="FY29" s="17">
        <f t="shared" ref="FY29" si="106">FX29*($F$2+1)</f>
        <v>2382.8585847265567</v>
      </c>
      <c r="FZ29" s="17">
        <f t="shared" ref="FZ29" si="107">FY29*($F$2+1)</f>
        <v>2370.944291802924</v>
      </c>
      <c r="GA29" s="17">
        <f t="shared" ref="GA29" si="108">FZ29*($F$2+1)</f>
        <v>2359.0895703439091</v>
      </c>
      <c r="GB29" s="17">
        <f t="shared" ref="GB29" si="109">GA29*($F$2+1)</f>
        <v>2347.2941224921897</v>
      </c>
      <c r="GC29" s="17">
        <f t="shared" ref="GC29" si="110">GB29*($F$2+1)</f>
        <v>2335.5576518797288</v>
      </c>
      <c r="GD29" s="17">
        <f t="shared" ref="GD29" si="111">GC29*($F$2+1)</f>
        <v>2323.8798636203301</v>
      </c>
      <c r="GE29" s="17">
        <f t="shared" ref="GE29" si="112">GD29*($F$2+1)</f>
        <v>2312.2604643022282</v>
      </c>
      <c r="GF29" s="17">
        <f t="shared" ref="GF29" si="113">GE29*($F$2+1)</f>
        <v>2300.6991619807172</v>
      </c>
      <c r="GG29" s="17">
        <f t="shared" ref="GG29" si="114">GF29*($F$2+1)</f>
        <v>2289.1956661708136</v>
      </c>
      <c r="GH29" s="17">
        <f t="shared" ref="GH29" si="115">GG29*($F$2+1)</f>
        <v>2277.7496878399597</v>
      </c>
      <c r="GI29" s="17">
        <f t="shared" ref="GI29" si="116">GH29*($F$2+1)</f>
        <v>2266.3609394007599</v>
      </c>
    </row>
    <row r="30" spans="1:191" x14ac:dyDescent="0.15">
      <c r="A30" s="3" t="s">
        <v>16</v>
      </c>
      <c r="B30" s="19">
        <f t="shared" ref="B30:H30" si="117">B29/B31</f>
        <v>-0.50863500771671977</v>
      </c>
      <c r="C30" s="19">
        <f t="shared" si="117"/>
        <v>-1.3987237687213223</v>
      </c>
      <c r="D30" s="19">
        <f t="shared" si="117"/>
        <v>-1.6203276443394896</v>
      </c>
      <c r="E30" s="19">
        <f t="shared" si="117"/>
        <v>-3.5974867997263344</v>
      </c>
      <c r="F30" s="19">
        <f t="shared" si="117"/>
        <v>-8.0128972479779019</v>
      </c>
      <c r="G30" s="19">
        <f t="shared" si="117"/>
        <v>-0.40942485948381352</v>
      </c>
      <c r="H30" s="19">
        <f t="shared" si="117"/>
        <v>-1.016712745983263</v>
      </c>
      <c r="I30" s="20">
        <f t="shared" ref="I30:J30" si="118">I29/I31</f>
        <v>0.68021362424815646</v>
      </c>
      <c r="J30" s="20">
        <f t="shared" si="118"/>
        <v>1.0756609720622179</v>
      </c>
      <c r="K30" s="20">
        <f t="shared" ref="K30:S30" si="119">K29/K31</f>
        <v>1.6189931649258174</v>
      </c>
      <c r="L30" s="20">
        <f t="shared" si="119"/>
        <v>2.351046630427716</v>
      </c>
      <c r="M30" s="20">
        <f t="shared" si="119"/>
        <v>3.3223680995905709</v>
      </c>
      <c r="N30" s="20">
        <f t="shared" si="119"/>
        <v>4.7104018826608725</v>
      </c>
      <c r="O30" s="20">
        <f t="shared" si="119"/>
        <v>6.2865213990658084</v>
      </c>
      <c r="P30" s="20">
        <f t="shared" si="119"/>
        <v>8.072035532725188</v>
      </c>
      <c r="Q30" s="20">
        <f t="shared" si="119"/>
        <v>10.090492083544197</v>
      </c>
      <c r="R30" s="20">
        <f t="shared" si="119"/>
        <v>12.367906412508821</v>
      </c>
      <c r="S30" s="20">
        <f t="shared" si="119"/>
        <v>14.933013154020291</v>
      </c>
      <c r="T30" s="20">
        <f t="shared" ref="T30:W30" si="120">T29/T31</f>
        <v>17.817543310873113</v>
      </c>
      <c r="U30" s="20">
        <f t="shared" si="120"/>
        <v>21.056529279191519</v>
      </c>
      <c r="V30" s="20">
        <f t="shared" si="120"/>
        <v>24.688640605755012</v>
      </c>
      <c r="W30" s="20">
        <f t="shared" si="120"/>
        <v>28.756553560788468</v>
      </c>
      <c r="X30" s="20"/>
    </row>
    <row r="31" spans="1:191" x14ac:dyDescent="0.15">
      <c r="A31" s="3" t="s">
        <v>17</v>
      </c>
      <c r="B31" s="8">
        <v>123.86091999999999</v>
      </c>
      <c r="C31" s="8">
        <v>134.40824000000001</v>
      </c>
      <c r="D31" s="8">
        <v>141.94659999999999</v>
      </c>
      <c r="E31" s="8">
        <f>'Reports EUR'!E22</f>
        <v>149.826818</v>
      </c>
      <c r="F31" s="8">
        <f>'Reports EUR'!I22</f>
        <v>154.12652399999999</v>
      </c>
      <c r="G31" s="8">
        <f>'Reports EUR'!M22</f>
        <v>190.51114799999999</v>
      </c>
      <c r="H31" s="8">
        <f>'Reports EUR'!Q22</f>
        <v>182.94252800000001</v>
      </c>
      <c r="I31" s="8">
        <f t="shared" ref="I31" si="121">H31</f>
        <v>182.94252800000001</v>
      </c>
      <c r="J31" s="8">
        <f t="shared" ref="J31" si="122">I31</f>
        <v>182.94252800000001</v>
      </c>
      <c r="K31" s="8">
        <f t="shared" ref="K31" si="123">J31</f>
        <v>182.94252800000001</v>
      </c>
      <c r="L31" s="8">
        <f t="shared" ref="L31" si="124">K31</f>
        <v>182.94252800000001</v>
      </c>
      <c r="M31" s="8">
        <f t="shared" ref="M31" si="125">L31</f>
        <v>182.94252800000001</v>
      </c>
      <c r="N31" s="8">
        <f t="shared" ref="N31" si="126">M31</f>
        <v>182.94252800000001</v>
      </c>
      <c r="O31" s="8">
        <f t="shared" ref="O31" si="127">N31</f>
        <v>182.94252800000001</v>
      </c>
      <c r="P31" s="8">
        <f t="shared" ref="P31" si="128">O31</f>
        <v>182.94252800000001</v>
      </c>
      <c r="Q31" s="8">
        <f t="shared" ref="Q31" si="129">P31</f>
        <v>182.94252800000001</v>
      </c>
      <c r="R31" s="8">
        <f t="shared" ref="R31" si="130">Q31</f>
        <v>182.94252800000001</v>
      </c>
      <c r="S31" s="8">
        <f t="shared" ref="S31:W31" si="131">R31</f>
        <v>182.94252800000001</v>
      </c>
      <c r="T31" s="8">
        <f t="shared" si="131"/>
        <v>182.94252800000001</v>
      </c>
      <c r="U31" s="8">
        <f t="shared" si="131"/>
        <v>182.94252800000001</v>
      </c>
      <c r="V31" s="8">
        <f t="shared" si="131"/>
        <v>182.94252800000001</v>
      </c>
      <c r="W31" s="8">
        <f t="shared" si="131"/>
        <v>182.94252800000001</v>
      </c>
      <c r="X31" s="8"/>
    </row>
    <row r="32" spans="1:191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124" x14ac:dyDescent="0.15">
      <c r="A33" s="3" t="s">
        <v>19</v>
      </c>
      <c r="B33" s="23">
        <f t="shared" ref="B33:C33" si="132">IFERROR(B20/B18,0)</f>
        <v>0.17158176943699732</v>
      </c>
      <c r="C33" s="23">
        <f t="shared" si="132"/>
        <v>0.16036866359447005</v>
      </c>
      <c r="D33" s="23">
        <f t="shared" ref="D33:S33" si="133">IFERROR(D20/D18,0)</f>
        <v>0.11649484536082484</v>
      </c>
      <c r="E33" s="23">
        <f t="shared" si="133"/>
        <v>0.13584010840108401</v>
      </c>
      <c r="F33" s="23">
        <f t="shared" si="133"/>
        <v>0.20757946210268949</v>
      </c>
      <c r="G33" s="23">
        <f t="shared" si="133"/>
        <v>0.25727324586423272</v>
      </c>
      <c r="H33" s="23">
        <f>IFERROR(H20/H18,0)</f>
        <v>0.25458308693081017</v>
      </c>
      <c r="I33" s="23">
        <f t="shared" si="133"/>
        <v>0.25458308693081017</v>
      </c>
      <c r="J33" s="23">
        <f>IFERROR(J20/J18,0)</f>
        <v>0.25458308693081017</v>
      </c>
      <c r="K33" s="23">
        <f t="shared" si="133"/>
        <v>0.25458308693081017</v>
      </c>
      <c r="L33" s="23">
        <f t="shared" si="133"/>
        <v>0.25458308693081017</v>
      </c>
      <c r="M33" s="23">
        <f t="shared" si="133"/>
        <v>0.25458308693081017</v>
      </c>
      <c r="N33" s="23">
        <f t="shared" si="133"/>
        <v>0.25458308693081017</v>
      </c>
      <c r="O33" s="23">
        <f t="shared" si="133"/>
        <v>0.25458308693081017</v>
      </c>
      <c r="P33" s="23">
        <f t="shared" si="133"/>
        <v>0.25458308693081017</v>
      </c>
      <c r="Q33" s="23">
        <f t="shared" si="133"/>
        <v>0.25458308693081017</v>
      </c>
      <c r="R33" s="23">
        <f t="shared" si="133"/>
        <v>0.25458308693081017</v>
      </c>
      <c r="S33" s="23">
        <f t="shared" si="133"/>
        <v>0.25458308693081017</v>
      </c>
      <c r="T33" s="23">
        <f t="shared" ref="T33:W33" si="134">IFERROR(T20/T18,0)</f>
        <v>0.25458308693081017</v>
      </c>
      <c r="U33" s="23">
        <f t="shared" si="134"/>
        <v>0.25458308693081017</v>
      </c>
      <c r="V33" s="23">
        <f t="shared" si="134"/>
        <v>0.25458308693081017</v>
      </c>
      <c r="W33" s="23">
        <f t="shared" si="134"/>
        <v>0.25458308693081017</v>
      </c>
      <c r="X33" s="23"/>
    </row>
    <row r="34" spans="1:124" x14ac:dyDescent="0.15">
      <c r="A34" s="3" t="s">
        <v>20</v>
      </c>
      <c r="B34" s="22">
        <f t="shared" ref="B34:C34" si="135">IFERROR(B25/B18,0)</f>
        <v>-0.13136729222520108</v>
      </c>
      <c r="C34" s="22">
        <f t="shared" si="135"/>
        <v>-0.17603686635944701</v>
      </c>
      <c r="D34" s="22">
        <f t="shared" ref="D34:S34" si="136">IFERROR(D25/D18,0)</f>
        <v>-0.12113402061855658</v>
      </c>
      <c r="E34" s="22">
        <f t="shared" si="136"/>
        <v>-0.1182249322493225</v>
      </c>
      <c r="F34" s="22">
        <f t="shared" si="136"/>
        <v>-9.2420537897310515E-2</v>
      </c>
      <c r="G34" s="22">
        <f>IFERROR(G25/G18,0)</f>
        <v>-8.1764594029283127E-3</v>
      </c>
      <c r="H34" s="22">
        <f t="shared" si="136"/>
        <v>-1.0792430514488468E-2</v>
      </c>
      <c r="I34" s="22">
        <f t="shared" si="136"/>
        <v>-1.9671972869573832E-3</v>
      </c>
      <c r="J34" s="22">
        <f t="shared" si="136"/>
        <v>6.1662411014924978E-3</v>
      </c>
      <c r="K34" s="22">
        <f t="shared" si="136"/>
        <v>1.3647148121878578E-2</v>
      </c>
      <c r="L34" s="22">
        <f t="shared" si="136"/>
        <v>2.0512320271175156E-2</v>
      </c>
      <c r="M34" s="22">
        <f t="shared" si="136"/>
        <v>2.6796236824029464E-2</v>
      </c>
      <c r="N34" s="22">
        <f t="shared" si="136"/>
        <v>3.7434783634028843E-2</v>
      </c>
      <c r="O34" s="22">
        <f t="shared" si="136"/>
        <v>4.7148239417071761E-2</v>
      </c>
      <c r="P34" s="22">
        <f t="shared" si="136"/>
        <v>5.6020397542211463E-2</v>
      </c>
      <c r="Q34" s="22">
        <f t="shared" si="136"/>
        <v>6.4127155785664094E-2</v>
      </c>
      <c r="R34" s="22">
        <f t="shared" si="136"/>
        <v>7.1537287086247583E-2</v>
      </c>
      <c r="S34" s="22">
        <f t="shared" si="136"/>
        <v>7.831313280618854E-2</v>
      </c>
      <c r="T34" s="22">
        <f t="shared" ref="T34:W34" si="137">IFERROR(T25/T18,0)</f>
        <v>8.4511226472144568E-2</v>
      </c>
      <c r="U34" s="22">
        <f t="shared" si="137"/>
        <v>9.0182855136153067E-2</v>
      </c>
      <c r="V34" s="22">
        <f t="shared" si="137"/>
        <v>9.5374564749648102E-2</v>
      </c>
      <c r="W34" s="22">
        <f t="shared" si="137"/>
        <v>0.10012861527621529</v>
      </c>
      <c r="X34" s="22"/>
    </row>
    <row r="35" spans="1:124" x14ac:dyDescent="0.15">
      <c r="A35" s="3" t="s">
        <v>21</v>
      </c>
      <c r="B35" s="22">
        <f t="shared" ref="B35:C35" si="138">IFERROR(B28/B27,0)</f>
        <v>-3.2786885245901641E-2</v>
      </c>
      <c r="C35" s="22">
        <f t="shared" si="138"/>
        <v>-3.2967032967032968E-2</v>
      </c>
      <c r="D35" s="22">
        <f t="shared" ref="D35:S35" si="139">IFERROR(D28/D27,0)</f>
        <v>-2.2222222222222244E-2</v>
      </c>
      <c r="E35" s="22">
        <f t="shared" si="139"/>
        <v>-7.4766355140186919E-3</v>
      </c>
      <c r="F35" s="22">
        <f t="shared" si="139"/>
        <v>-1.6220600162206002E-3</v>
      </c>
      <c r="G35" s="22">
        <f t="shared" si="139"/>
        <v>0.54913294797687862</v>
      </c>
      <c r="H35" s="22">
        <f t="shared" si="139"/>
        <v>-0.41984732824427479</v>
      </c>
      <c r="I35" s="22">
        <f t="shared" si="139"/>
        <v>0.15</v>
      </c>
      <c r="J35" s="22">
        <f t="shared" si="139"/>
        <v>0.15</v>
      </c>
      <c r="K35" s="22">
        <f t="shared" si="139"/>
        <v>0.15</v>
      </c>
      <c r="L35" s="22">
        <f t="shared" si="139"/>
        <v>0.15</v>
      </c>
      <c r="M35" s="22">
        <f t="shared" si="139"/>
        <v>0.15</v>
      </c>
      <c r="N35" s="22">
        <f t="shared" si="139"/>
        <v>0.15</v>
      </c>
      <c r="O35" s="22">
        <f t="shared" si="139"/>
        <v>0.15</v>
      </c>
      <c r="P35" s="22">
        <f t="shared" si="139"/>
        <v>0.15</v>
      </c>
      <c r="Q35" s="22">
        <f t="shared" si="139"/>
        <v>0.15</v>
      </c>
      <c r="R35" s="22">
        <f t="shared" si="139"/>
        <v>0.15</v>
      </c>
      <c r="S35" s="22">
        <f t="shared" si="139"/>
        <v>0.15</v>
      </c>
      <c r="T35" s="22">
        <f t="shared" ref="T35:W35" si="140">IFERROR(T28/T27,0)</f>
        <v>0.15</v>
      </c>
      <c r="U35" s="22">
        <f t="shared" si="140"/>
        <v>0.15</v>
      </c>
      <c r="V35" s="22">
        <f t="shared" si="140"/>
        <v>0.15</v>
      </c>
      <c r="W35" s="22">
        <f t="shared" si="140"/>
        <v>0.15</v>
      </c>
      <c r="X35" s="22"/>
    </row>
    <row r="36" spans="1:124" x14ac:dyDescent="0.15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124" x14ac:dyDescent="0.15">
      <c r="A37" s="2" t="s">
        <v>18</v>
      </c>
      <c r="B37" s="12"/>
      <c r="C37" s="21">
        <f t="shared" ref="C37" si="141">C18/B18-1</f>
        <v>0.45442359249329756</v>
      </c>
      <c r="D37" s="21">
        <f t="shared" ref="D37" si="142">D18/C18-1</f>
        <v>0.78801843317972375</v>
      </c>
      <c r="E37" s="21">
        <f t="shared" ref="E37:W37" si="143">E18/D18-1</f>
        <v>0.5216494845360824</v>
      </c>
      <c r="F37" s="21">
        <f t="shared" si="143"/>
        <v>0.38550135501355021</v>
      </c>
      <c r="G37" s="21">
        <f t="shared" si="143"/>
        <v>0.28581907090464553</v>
      </c>
      <c r="H37" s="21">
        <f t="shared" si="143"/>
        <v>0.28617607910249099</v>
      </c>
      <c r="I37" s="21">
        <f t="shared" si="143"/>
        <v>0.22499999999999987</v>
      </c>
      <c r="J37" s="21">
        <f t="shared" si="143"/>
        <v>0.22499999999999987</v>
      </c>
      <c r="K37" s="21">
        <f t="shared" si="143"/>
        <v>0.22499999999999987</v>
      </c>
      <c r="L37" s="21">
        <f t="shared" si="143"/>
        <v>0.22500000000000009</v>
      </c>
      <c r="M37" s="21">
        <f t="shared" si="143"/>
        <v>0.22500000000000009</v>
      </c>
      <c r="N37" s="21">
        <f t="shared" si="143"/>
        <v>0.10000000000000009</v>
      </c>
      <c r="O37" s="21">
        <f t="shared" si="143"/>
        <v>0.10000000000000009</v>
      </c>
      <c r="P37" s="21">
        <f t="shared" si="143"/>
        <v>0.10000000000000009</v>
      </c>
      <c r="Q37" s="21">
        <f t="shared" si="143"/>
        <v>0.10000000000000009</v>
      </c>
      <c r="R37" s="21">
        <f t="shared" si="143"/>
        <v>0.10000000000000009</v>
      </c>
      <c r="S37" s="21">
        <f t="shared" si="143"/>
        <v>0.10000000000000031</v>
      </c>
      <c r="T37" s="21">
        <f t="shared" si="143"/>
        <v>0.10000000000000009</v>
      </c>
      <c r="U37" s="21">
        <f t="shared" si="143"/>
        <v>0.10000000000000009</v>
      </c>
      <c r="V37" s="21">
        <f t="shared" si="143"/>
        <v>0.10000000000000009</v>
      </c>
      <c r="W37" s="21">
        <f t="shared" si="143"/>
        <v>0.10000000000000009</v>
      </c>
      <c r="X37" s="21"/>
    </row>
    <row r="38" spans="1:124" x14ac:dyDescent="0.15">
      <c r="A38" s="3" t="s">
        <v>50</v>
      </c>
      <c r="B38" s="6"/>
      <c r="C38" s="22">
        <f t="shared" ref="C38:C40" si="144">C21/B21-1</f>
        <v>0.56164383561643838</v>
      </c>
      <c r="D38" s="22">
        <f t="shared" ref="D38:D40" si="145">D21/C21-1</f>
        <v>0.19298245614035081</v>
      </c>
      <c r="E38" s="22">
        <f t="shared" ref="E38:W38" si="146">E21/D21-1</f>
        <v>0.52205882352941169</v>
      </c>
      <c r="F38" s="22">
        <f t="shared" si="146"/>
        <v>0.91304347826086962</v>
      </c>
      <c r="G38" s="22">
        <f t="shared" si="146"/>
        <v>0.24494949494949503</v>
      </c>
      <c r="H38" s="22">
        <f t="shared" si="146"/>
        <v>0.24746450304259637</v>
      </c>
      <c r="I38" s="22">
        <f t="shared" si="146"/>
        <v>0.25</v>
      </c>
      <c r="J38" s="22">
        <f t="shared" si="146"/>
        <v>0.25</v>
      </c>
      <c r="K38" s="22">
        <f t="shared" si="146"/>
        <v>0.25</v>
      </c>
      <c r="L38" s="22">
        <f t="shared" si="146"/>
        <v>0.25</v>
      </c>
      <c r="M38" s="22">
        <f t="shared" si="146"/>
        <v>0.25</v>
      </c>
      <c r="N38" s="22">
        <f t="shared" si="146"/>
        <v>0.10000000000000009</v>
      </c>
      <c r="O38" s="22">
        <f t="shared" si="146"/>
        <v>0.10000000000000009</v>
      </c>
      <c r="P38" s="22">
        <f t="shared" si="146"/>
        <v>0.10000000000000009</v>
      </c>
      <c r="Q38" s="22">
        <f t="shared" si="146"/>
        <v>0.10000000000000009</v>
      </c>
      <c r="R38" s="22">
        <f t="shared" si="146"/>
        <v>0.10000000000000009</v>
      </c>
      <c r="S38" s="22">
        <f t="shared" si="146"/>
        <v>0.10000000000000009</v>
      </c>
      <c r="T38" s="22">
        <f t="shared" si="146"/>
        <v>0.10000000000000009</v>
      </c>
      <c r="U38" s="22">
        <f t="shared" si="146"/>
        <v>0.10000000000000009</v>
      </c>
      <c r="V38" s="22">
        <f t="shared" si="146"/>
        <v>0.10000000000000009</v>
      </c>
      <c r="W38" s="22">
        <f t="shared" si="146"/>
        <v>0.10000000000000009</v>
      </c>
      <c r="X38" s="22"/>
    </row>
    <row r="39" spans="1:124" x14ac:dyDescent="0.15">
      <c r="A39" s="3" t="s">
        <v>51</v>
      </c>
      <c r="B39" s="6"/>
      <c r="C39" s="22">
        <f t="shared" si="144"/>
        <v>0.6576576576576576</v>
      </c>
      <c r="D39" s="22">
        <f t="shared" si="145"/>
        <v>0.19021739130434789</v>
      </c>
      <c r="E39" s="22">
        <f t="shared" ref="E39:W39" si="147">E22/D22-1</f>
        <v>0.68036529680365287</v>
      </c>
      <c r="F39" s="22">
        <f t="shared" si="147"/>
        <v>0.54076086956521729</v>
      </c>
      <c r="G39" s="22">
        <f t="shared" si="147"/>
        <v>9.347442680776008E-2</v>
      </c>
      <c r="H39" s="22">
        <f t="shared" si="147"/>
        <v>0.33225806451612905</v>
      </c>
      <c r="I39" s="22">
        <f>I22/H22-1</f>
        <v>0.14999999999999991</v>
      </c>
      <c r="J39" s="22">
        <f t="shared" si="147"/>
        <v>0.14999999999999991</v>
      </c>
      <c r="K39" s="22">
        <f t="shared" si="147"/>
        <v>0.14999999999999991</v>
      </c>
      <c r="L39" s="22">
        <f t="shared" si="147"/>
        <v>0.14999999999999991</v>
      </c>
      <c r="M39" s="22">
        <f t="shared" si="147"/>
        <v>0.14999999999999991</v>
      </c>
      <c r="N39" s="22">
        <f t="shared" si="147"/>
        <v>2.0000000000000018E-2</v>
      </c>
      <c r="O39" s="22">
        <f t="shared" si="147"/>
        <v>2.0000000000000018E-2</v>
      </c>
      <c r="P39" s="22">
        <f t="shared" si="147"/>
        <v>2.0000000000000018E-2</v>
      </c>
      <c r="Q39" s="22">
        <f t="shared" si="147"/>
        <v>2.0000000000000018E-2</v>
      </c>
      <c r="R39" s="22">
        <f t="shared" si="147"/>
        <v>2.0000000000000018E-2</v>
      </c>
      <c r="S39" s="22">
        <f t="shared" si="147"/>
        <v>2.0000000000000018E-2</v>
      </c>
      <c r="T39" s="22">
        <f t="shared" si="147"/>
        <v>2.0000000000000018E-2</v>
      </c>
      <c r="U39" s="22">
        <f t="shared" si="147"/>
        <v>2.0000000000000018E-2</v>
      </c>
      <c r="V39" s="22">
        <f t="shared" si="147"/>
        <v>2.0000000000000018E-2</v>
      </c>
      <c r="W39" s="22">
        <f t="shared" si="147"/>
        <v>2.0000000000000018E-2</v>
      </c>
      <c r="X39" s="22"/>
    </row>
    <row r="40" spans="1:124" x14ac:dyDescent="0.15">
      <c r="A40" s="3" t="s">
        <v>52</v>
      </c>
      <c r="B40" s="6"/>
      <c r="C40" s="22">
        <f t="shared" si="144"/>
        <v>0.59523809523809534</v>
      </c>
      <c r="D40" s="22">
        <f t="shared" si="145"/>
        <v>0.58208955223880587</v>
      </c>
      <c r="E40" s="22">
        <f t="shared" ref="C40:W41" si="148">E23/D23-1</f>
        <v>0.65094339622641506</v>
      </c>
      <c r="F40" s="22">
        <f t="shared" si="148"/>
        <v>0.50857142857142867</v>
      </c>
      <c r="G40" s="22">
        <f t="shared" si="148"/>
        <v>7.1969696969697017E-2</v>
      </c>
      <c r="H40" s="22">
        <f t="shared" si="148"/>
        <v>0.25088339222614842</v>
      </c>
      <c r="I40" s="22">
        <f t="shared" si="148"/>
        <v>0.14999999999999991</v>
      </c>
      <c r="J40" s="22">
        <f t="shared" si="148"/>
        <v>0.14999999999999991</v>
      </c>
      <c r="K40" s="22">
        <f t="shared" si="148"/>
        <v>0.14999999999999991</v>
      </c>
      <c r="L40" s="22">
        <f t="shared" si="148"/>
        <v>0.14999999999999991</v>
      </c>
      <c r="M40" s="22">
        <f t="shared" si="148"/>
        <v>0.14999999999999991</v>
      </c>
      <c r="N40" s="22">
        <f t="shared" si="148"/>
        <v>-2.0000000000000129E-2</v>
      </c>
      <c r="O40" s="22">
        <f t="shared" si="148"/>
        <v>-2.0000000000000018E-2</v>
      </c>
      <c r="P40" s="22">
        <f t="shared" si="148"/>
        <v>-2.0000000000000018E-2</v>
      </c>
      <c r="Q40" s="22">
        <f t="shared" si="148"/>
        <v>-1.9999999999999907E-2</v>
      </c>
      <c r="R40" s="22">
        <f t="shared" si="148"/>
        <v>-2.0000000000000018E-2</v>
      </c>
      <c r="S40" s="22">
        <f t="shared" si="148"/>
        <v>-2.0000000000000018E-2</v>
      </c>
      <c r="T40" s="22">
        <f t="shared" si="148"/>
        <v>-2.0000000000000018E-2</v>
      </c>
      <c r="U40" s="22">
        <f t="shared" si="148"/>
        <v>-2.0000000000000018E-2</v>
      </c>
      <c r="V40" s="22">
        <f t="shared" si="148"/>
        <v>-2.0000000000000018E-2</v>
      </c>
      <c r="W40" s="22">
        <f t="shared" si="148"/>
        <v>-2.0000000000000018E-2</v>
      </c>
      <c r="X40" s="22"/>
    </row>
    <row r="41" spans="1:124" s="5" customFormat="1" x14ac:dyDescent="0.15">
      <c r="B41" s="14"/>
      <c r="C41" s="63">
        <f t="shared" si="148"/>
        <v>0.61504424778761058</v>
      </c>
      <c r="D41" s="63">
        <f t="shared" si="148"/>
        <v>0.26301369863013702</v>
      </c>
      <c r="E41" s="63">
        <f t="shared" si="148"/>
        <v>0.6268980477223427</v>
      </c>
      <c r="F41" s="63">
        <f t="shared" si="148"/>
        <v>0.6359999999999999</v>
      </c>
      <c r="G41" s="63">
        <f t="shared" si="148"/>
        <v>0.13773431132844327</v>
      </c>
      <c r="H41" s="63">
        <f t="shared" si="148"/>
        <v>0.28581661891117482</v>
      </c>
      <c r="I41" s="63">
        <f t="shared" ref="I41" si="149">I24/H24-1</f>
        <v>0.18426183844011135</v>
      </c>
      <c r="J41" s="63">
        <f t="shared" ref="J41" si="150">J24/I24-1</f>
        <v>0.18616370692696704</v>
      </c>
      <c r="K41" s="63">
        <f t="shared" ref="K41" si="151">K24/J24-1</f>
        <v>0.1881099450225312</v>
      </c>
      <c r="L41" s="63">
        <f t="shared" ref="L41" si="152">L24/K24-1</f>
        <v>0.19009513722003279</v>
      </c>
      <c r="M41" s="63">
        <f t="shared" ref="M41" si="153">M24/L24-1</f>
        <v>0.19211337392917582</v>
      </c>
      <c r="N41" s="63">
        <f t="shared" ref="N41" si="154">N24/M24-1</f>
        <v>4.8625649437122886E-2</v>
      </c>
      <c r="O41" s="63">
        <f t="shared" ref="O41" si="155">O24/N24-1</f>
        <v>5.0794912052598118E-2</v>
      </c>
      <c r="P41" s="63">
        <f t="shared" ref="P41" si="156">P24/O24-1</f>
        <v>5.2952100119015411E-2</v>
      </c>
      <c r="Q41" s="63">
        <f t="shared" ref="Q41" si="157">Q24/P24-1</f>
        <v>5.5090082153621989E-2</v>
      </c>
      <c r="R41" s="63">
        <f t="shared" ref="R41" si="158">R24/Q24-1</f>
        <v>5.7201939673751312E-2</v>
      </c>
      <c r="S41" s="63">
        <f t="shared" ref="S41:W41" si="159">S24/R24-1</f>
        <v>5.9281063546586354E-2</v>
      </c>
      <c r="T41" s="63">
        <f t="shared" si="159"/>
        <v>6.1321241238132762E-2</v>
      </c>
      <c r="U41" s="63">
        <f t="shared" si="159"/>
        <v>6.3316732623586613E-2</v>
      </c>
      <c r="V41" s="63">
        <f t="shared" si="159"/>
        <v>6.5262332586138561E-2</v>
      </c>
      <c r="W41" s="63">
        <f t="shared" si="159"/>
        <v>6.7153419254320168E-2</v>
      </c>
      <c r="X41" s="63"/>
    </row>
    <row r="42" spans="1:124" x14ac:dyDescent="0.1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124" x14ac:dyDescent="0.15">
      <c r="A43" s="2" t="s">
        <v>33</v>
      </c>
      <c r="B43" s="24"/>
      <c r="C43" s="24"/>
      <c r="D43" s="24"/>
      <c r="E43" s="24"/>
      <c r="F43" s="17">
        <f>F44-F45</f>
        <v>1530</v>
      </c>
      <c r="G43" s="17">
        <f>G44-G45</f>
        <v>3517</v>
      </c>
      <c r="H43" s="17">
        <f>H44-H45</f>
        <v>3254</v>
      </c>
      <c r="I43" s="45">
        <f t="shared" ref="I43:W43" si="160">H43+I29</f>
        <v>3378.44</v>
      </c>
      <c r="J43" s="45">
        <f t="shared" si="160"/>
        <v>3575.2241374999994</v>
      </c>
      <c r="K43" s="45">
        <f t="shared" si="160"/>
        <v>3871.4068399062494</v>
      </c>
      <c r="L43" s="45">
        <f t="shared" si="160"/>
        <v>4301.5132539225779</v>
      </c>
      <c r="M43" s="45">
        <f t="shared" si="160"/>
        <v>4909.3156730082328</v>
      </c>
      <c r="N43" s="45">
        <f t="shared" si="160"/>
        <v>5771.0485013181724</v>
      </c>
      <c r="O43" s="45">
        <f t="shared" si="160"/>
        <v>6921.1206183893682</v>
      </c>
      <c r="P43" s="45">
        <f t="shared" si="160"/>
        <v>8397.8392048519418</v>
      </c>
      <c r="Q43" s="45">
        <f t="shared" si="160"/>
        <v>10243.819335379505</v>
      </c>
      <c r="R43" s="45">
        <f t="shared" si="160"/>
        <v>12506.43540055128</v>
      </c>
      <c r="S43" s="45">
        <f t="shared" si="160"/>
        <v>15238.318577605005</v>
      </c>
      <c r="T43" s="45">
        <f t="shared" si="160"/>
        <v>18497.904993645621</v>
      </c>
      <c r="U43" s="45">
        <f t="shared" si="160"/>
        <v>22350.039690886937</v>
      </c>
      <c r="V43" s="45">
        <f t="shared" si="160"/>
        <v>26866.642016187208</v>
      </c>
      <c r="W43" s="45">
        <f t="shared" si="160"/>
        <v>32127.438621165253</v>
      </c>
      <c r="X43" s="18"/>
    </row>
    <row r="44" spans="1:124" x14ac:dyDescent="0.15">
      <c r="A44" s="3" t="s">
        <v>34</v>
      </c>
      <c r="B44" s="24"/>
      <c r="C44" s="24"/>
      <c r="D44" s="24"/>
      <c r="E44" s="24"/>
      <c r="F44" s="47">
        <f>'Reports EUR'!I35</f>
        <v>2474</v>
      </c>
      <c r="G44" s="47">
        <f>'Reports EUR'!M35</f>
        <v>3517</v>
      </c>
      <c r="H44" s="47">
        <f>'Reports EUR'!Q35</f>
        <v>3254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8"/>
    </row>
    <row r="45" spans="1:124" x14ac:dyDescent="0.15">
      <c r="A45" s="3" t="s">
        <v>35</v>
      </c>
      <c r="B45" s="24"/>
      <c r="C45" s="24"/>
      <c r="D45" s="24"/>
      <c r="E45" s="24"/>
      <c r="F45" s="47">
        <f>'Reports EUR'!I36</f>
        <v>944</v>
      </c>
      <c r="G45" s="47">
        <f>'Reports EUR'!M36</f>
        <v>0</v>
      </c>
      <c r="H45" s="47">
        <f>'Reports EUR'!Q36</f>
        <v>0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8"/>
    </row>
    <row r="46" spans="1:124" x14ac:dyDescent="0.1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5"/>
    </row>
    <row r="47" spans="1:124" x14ac:dyDescent="0.15">
      <c r="A47" s="3" t="s">
        <v>64</v>
      </c>
      <c r="B47" s="46"/>
      <c r="C47" s="46"/>
      <c r="D47" s="46"/>
      <c r="E47" s="46"/>
      <c r="F47" s="47">
        <f>'Reports EUR'!I38</f>
        <v>162</v>
      </c>
      <c r="G47" s="47">
        <f>'Reports EUR'!M38</f>
        <v>174</v>
      </c>
      <c r="H47" s="47">
        <f>'Reports EUR'!Q38</f>
        <v>536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1:124" x14ac:dyDescent="0.15">
      <c r="A48" s="3" t="s">
        <v>65</v>
      </c>
      <c r="B48" s="46"/>
      <c r="C48" s="46"/>
      <c r="D48" s="46"/>
      <c r="E48" s="46"/>
      <c r="F48" s="47">
        <f>'Reports EUR'!I39</f>
        <v>3107</v>
      </c>
      <c r="G48" s="47">
        <f>'Reports EUR'!M39</f>
        <v>4336</v>
      </c>
      <c r="H48" s="47">
        <f>'Reports EUR'!Q39</f>
        <v>5122</v>
      </c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1:124" x14ac:dyDescent="0.15">
      <c r="A49" s="3" t="s">
        <v>66</v>
      </c>
      <c r="B49" s="46"/>
      <c r="C49" s="46"/>
      <c r="D49" s="46"/>
      <c r="E49" s="46"/>
      <c r="F49" s="47">
        <f>'Reports EUR'!I40</f>
        <v>2869</v>
      </c>
      <c r="G49" s="47">
        <f>'Reports EUR'!M40</f>
        <v>2242</v>
      </c>
      <c r="H49" s="47">
        <f>'Reports EUR'!Q40</f>
        <v>3085</v>
      </c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1" spans="1:124" x14ac:dyDescent="0.15">
      <c r="A51" s="3" t="s">
        <v>67</v>
      </c>
      <c r="F51" s="48">
        <f>F48-F47-F44</f>
        <v>471</v>
      </c>
      <c r="G51" s="48">
        <f>G48-G47-G44</f>
        <v>645</v>
      </c>
      <c r="H51" s="48">
        <f>H48-H47-H44</f>
        <v>1332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1:124" x14ac:dyDescent="0.15">
      <c r="A52" s="3" t="s">
        <v>68</v>
      </c>
      <c r="F52" s="48">
        <f>F48-F49</f>
        <v>238</v>
      </c>
      <c r="G52" s="48">
        <f>G48-G49</f>
        <v>2094</v>
      </c>
      <c r="H52" s="48">
        <f>H48-H49</f>
        <v>2037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4" spans="1:124" x14ac:dyDescent="0.15">
      <c r="A54" s="26" t="s">
        <v>70</v>
      </c>
      <c r="F54" s="27">
        <f>F29/F52</f>
        <v>-5.1890756302521011</v>
      </c>
      <c r="G54" s="27">
        <f>G29/G52</f>
        <v>-3.7249283667621778E-2</v>
      </c>
      <c r="H54" s="27">
        <f>H29/H52</f>
        <v>-9.1310751104565532E-2</v>
      </c>
    </row>
    <row r="55" spans="1:124" x14ac:dyDescent="0.15">
      <c r="A55" s="26" t="s">
        <v>71</v>
      </c>
      <c r="F55" s="27">
        <f>F29/F48</f>
        <v>-0.39748953974895396</v>
      </c>
      <c r="G55" s="27">
        <f>G29/G48</f>
        <v>-1.7988929889298892E-2</v>
      </c>
      <c r="H55" s="27">
        <f>H29/H48</f>
        <v>-3.631393986723936E-2</v>
      </c>
    </row>
    <row r="56" spans="1:124" x14ac:dyDescent="0.15">
      <c r="A56" s="26" t="s">
        <v>72</v>
      </c>
      <c r="F56" s="27">
        <f>F29/(F52-F47)</f>
        <v>-16.25</v>
      </c>
      <c r="G56" s="27">
        <f>G29/(G52-G47)</f>
        <v>-4.0625000000000001E-2</v>
      </c>
      <c r="H56" s="27">
        <f>H29/(H52-H47)</f>
        <v>-0.12391738840772819</v>
      </c>
    </row>
    <row r="57" spans="1:124" x14ac:dyDescent="0.15">
      <c r="A57" s="26" t="s">
        <v>73</v>
      </c>
      <c r="F57" s="27">
        <f>F29/F51</f>
        <v>-2.6220806794055203</v>
      </c>
      <c r="G57" s="27">
        <f>G29/G51</f>
        <v>-0.12093023255813953</v>
      </c>
      <c r="H57" s="27">
        <f>H29/H51</f>
        <v>-0.13963963963963963</v>
      </c>
    </row>
    <row r="59" spans="1:124" x14ac:dyDescent="0.15">
      <c r="A59" s="6" t="s">
        <v>86</v>
      </c>
      <c r="E59" s="27">
        <f>E12/D12-1</f>
        <v>0.52350917431192667</v>
      </c>
      <c r="F59" s="27">
        <f t="shared" ref="F59:H59" si="161">F12/E12-1</f>
        <v>0.38276251411366213</v>
      </c>
      <c r="G59" s="27">
        <f t="shared" si="161"/>
        <v>0.28388677191072409</v>
      </c>
      <c r="H59" s="27">
        <f t="shared" si="161"/>
        <v>0.29022683909264368</v>
      </c>
      <c r="I59" s="27"/>
      <c r="J59" s="27"/>
      <c r="K59" s="27"/>
    </row>
    <row r="60" spans="1:124" x14ac:dyDescent="0.15">
      <c r="A60" s="6" t="s">
        <v>87</v>
      </c>
      <c r="E60" s="27">
        <f t="shared" ref="E60:H60" si="162">E13/D13-1</f>
        <v>0.50510204081632648</v>
      </c>
      <c r="F60" s="27">
        <f t="shared" si="162"/>
        <v>0.4101694915254237</v>
      </c>
      <c r="G60" s="27">
        <f t="shared" si="162"/>
        <v>0.30288461538461542</v>
      </c>
      <c r="H60" s="27">
        <f t="shared" si="162"/>
        <v>0.25092250922509218</v>
      </c>
      <c r="I60" s="27"/>
      <c r="J60" s="27"/>
      <c r="K60" s="27"/>
    </row>
    <row r="61" spans="1:124" x14ac:dyDescent="0.15">
      <c r="A61" s="6"/>
      <c r="E61" s="27"/>
      <c r="F61" s="27"/>
      <c r="G61" s="27"/>
      <c r="H61" s="27"/>
      <c r="I61" s="27"/>
      <c r="J61" s="27"/>
      <c r="K61" s="27"/>
    </row>
    <row r="62" spans="1:124" x14ac:dyDescent="0.15">
      <c r="A62" s="6" t="s">
        <v>85</v>
      </c>
      <c r="E62" s="27">
        <f>E15/D15-1</f>
        <v>0.71428571428571419</v>
      </c>
      <c r="F62" s="27">
        <f>F15/E15-1</f>
        <v>0.47916666666666674</v>
      </c>
      <c r="G62" s="27">
        <f t="shared" ref="G62:M62" si="163">G15/F15-1</f>
        <v>0.352112676056338</v>
      </c>
      <c r="H62" s="27">
        <f>H15/G15-1</f>
        <v>0.29166666666666674</v>
      </c>
      <c r="I62" s="27">
        <f t="shared" si="163"/>
        <v>0.25</v>
      </c>
      <c r="J62" s="27">
        <f t="shared" si="163"/>
        <v>0.25</v>
      </c>
      <c r="K62" s="27">
        <f t="shared" si="163"/>
        <v>0.25</v>
      </c>
      <c r="L62" s="27">
        <f t="shared" si="163"/>
        <v>0.25</v>
      </c>
      <c r="M62" s="27">
        <f t="shared" si="163"/>
        <v>0.25</v>
      </c>
    </row>
    <row r="63" spans="1:124" x14ac:dyDescent="0.15">
      <c r="A63" s="6" t="s">
        <v>76</v>
      </c>
      <c r="B63" s="27"/>
      <c r="C63" s="27"/>
      <c r="D63" s="27"/>
      <c r="E63" s="27">
        <f>E16/D16-1</f>
        <v>-0.1123711340206186</v>
      </c>
      <c r="F63" s="27">
        <f>F16/E16-1</f>
        <v>-6.3323027596473125E-2</v>
      </c>
      <c r="G63" s="27">
        <f t="shared" ref="G63:M63" si="164">G16/F16-1</f>
        <v>-4.9029645476772687E-2</v>
      </c>
      <c r="H63" s="27">
        <f>H16/G16-1</f>
        <v>-4.2507774690392353E-3</v>
      </c>
      <c r="I63" s="27">
        <f t="shared" si="164"/>
        <v>-2.0000000000000018E-2</v>
      </c>
      <c r="J63" s="27">
        <f t="shared" si="164"/>
        <v>-2.0000000000000018E-2</v>
      </c>
      <c r="K63" s="27">
        <f t="shared" si="164"/>
        <v>-2.0000000000000018E-2</v>
      </c>
      <c r="L63" s="27">
        <f t="shared" si="164"/>
        <v>-2.0000000000000018E-2</v>
      </c>
      <c r="M63" s="27">
        <f t="shared" si="164"/>
        <v>-2.0000000000000018E-2</v>
      </c>
    </row>
    <row r="64" spans="1:124" s="70" customFormat="1" x14ac:dyDescent="0.15">
      <c r="A64" s="69"/>
      <c r="H64" s="70" t="s">
        <v>103</v>
      </c>
      <c r="I64" s="70" t="s">
        <v>104</v>
      </c>
    </row>
    <row r="65" spans="1:13" x14ac:dyDescent="0.15">
      <c r="A65" s="8" t="s">
        <v>83</v>
      </c>
      <c r="D65" s="3">
        <v>91</v>
      </c>
      <c r="E65" s="3">
        <v>123</v>
      </c>
      <c r="F65" s="3">
        <v>157</v>
      </c>
      <c r="G65" s="16">
        <f>'Reports EUR'!M57</f>
        <v>207</v>
      </c>
      <c r="H65" s="3">
        <v>255</v>
      </c>
    </row>
    <row r="66" spans="1:13" x14ac:dyDescent="0.15">
      <c r="A66" s="23" t="s">
        <v>84</v>
      </c>
      <c r="E66" s="27">
        <f>E65/D65-1</f>
        <v>0.35164835164835173</v>
      </c>
      <c r="F66" s="27">
        <f>F65/E65-1</f>
        <v>0.27642276422764223</v>
      </c>
      <c r="G66" s="27">
        <f>G65/F65-1</f>
        <v>0.31847133757961776</v>
      </c>
      <c r="H66" s="27">
        <f>H65/G65-1</f>
        <v>0.23188405797101441</v>
      </c>
    </row>
    <row r="68" spans="1:13" x14ac:dyDescent="0.15">
      <c r="A68" s="23" t="s">
        <v>88</v>
      </c>
      <c r="D68" s="27">
        <f>D15/D65</f>
        <v>0.30769230769230771</v>
      </c>
      <c r="E68" s="27">
        <f>E15/E65</f>
        <v>0.3902439024390244</v>
      </c>
      <c r="F68" s="27">
        <f>F15/F65</f>
        <v>0.45222929936305734</v>
      </c>
      <c r="G68" s="27">
        <f>G15/G65</f>
        <v>0.46376811594202899</v>
      </c>
      <c r="H68" s="27">
        <f>H15/H65</f>
        <v>0.48627450980392156</v>
      </c>
    </row>
    <row r="70" spans="1:13" s="71" customFormat="1" x14ac:dyDescent="0.15">
      <c r="A70" s="75" t="s">
        <v>107</v>
      </c>
      <c r="B70" s="71">
        <v>0.72629999999999995</v>
      </c>
      <c r="C70" s="71">
        <v>0.82269999999999999</v>
      </c>
      <c r="D70" s="71">
        <v>0.91810000000000003</v>
      </c>
      <c r="E70" s="75">
        <v>0.94699999999999995</v>
      </c>
      <c r="F70" s="71">
        <v>0.83420000000000005</v>
      </c>
      <c r="G70" s="71">
        <v>0.87309999999999999</v>
      </c>
      <c r="H70" s="71">
        <v>0.89059999999999995</v>
      </c>
      <c r="I70" s="71">
        <f>H70</f>
        <v>0.89059999999999995</v>
      </c>
      <c r="J70" s="71">
        <f t="shared" ref="J70:M70" si="165">I70</f>
        <v>0.89059999999999995</v>
      </c>
      <c r="K70" s="71">
        <f t="shared" si="165"/>
        <v>0.89059999999999995</v>
      </c>
      <c r="L70" s="71">
        <f t="shared" si="165"/>
        <v>0.89059999999999995</v>
      </c>
      <c r="M70" s="71">
        <f t="shared" si="165"/>
        <v>0.89059999999999995</v>
      </c>
    </row>
    <row r="71" spans="1:13" s="76" customFormat="1" x14ac:dyDescent="0.15">
      <c r="A71" s="76" t="s">
        <v>108</v>
      </c>
      <c r="B71" s="77">
        <f t="shared" ref="B71:H71" si="166">B18/B70</f>
        <v>1027.1237780531462</v>
      </c>
      <c r="C71" s="77">
        <f t="shared" si="166"/>
        <v>1318.8282484502249</v>
      </c>
      <c r="D71" s="77">
        <f t="shared" si="166"/>
        <v>2113.0595795664963</v>
      </c>
      <c r="E71" s="77">
        <f t="shared" si="166"/>
        <v>3117.2122492080257</v>
      </c>
      <c r="F71" s="77">
        <f t="shared" si="166"/>
        <v>4902.9009829777033</v>
      </c>
      <c r="G71" s="77">
        <f t="shared" si="166"/>
        <v>6023.3650211888671</v>
      </c>
      <c r="H71" s="77">
        <f t="shared" si="166"/>
        <v>7594.8798562766679</v>
      </c>
      <c r="I71" s="77">
        <f t="shared" ref="I71:M71" si="167">I18/I70</f>
        <v>9303.7278239389179</v>
      </c>
      <c r="J71" s="77">
        <f t="shared" si="167"/>
        <v>11397.066584325174</v>
      </c>
      <c r="K71" s="77">
        <f t="shared" si="167"/>
        <v>13961.406565798337</v>
      </c>
      <c r="L71" s="77">
        <f t="shared" si="167"/>
        <v>17102.723043102964</v>
      </c>
      <c r="M71" s="77">
        <f t="shared" si="167"/>
        <v>20950.835727801128</v>
      </c>
    </row>
    <row r="72" spans="1:13" s="76" customFormat="1" x14ac:dyDescent="0.15">
      <c r="A72" s="76" t="s">
        <v>109</v>
      </c>
      <c r="B72" s="77">
        <f t="shared" ref="B72:H72" si="168">B29/B70</f>
        <v>-86.741016109045859</v>
      </c>
      <c r="C72" s="77">
        <f t="shared" si="168"/>
        <v>-228.51586240427861</v>
      </c>
      <c r="D72" s="77">
        <f t="shared" si="168"/>
        <v>-250.51737283520288</v>
      </c>
      <c r="E72" s="77">
        <f t="shared" si="168"/>
        <v>-569.16578669482578</v>
      </c>
      <c r="F72" s="77">
        <f t="shared" si="168"/>
        <v>-1480.4603212658833</v>
      </c>
      <c r="G72" s="77">
        <f t="shared" si="168"/>
        <v>-89.3368457221395</v>
      </c>
      <c r="H72" s="77">
        <f t="shared" si="168"/>
        <v>-208.84796766225017</v>
      </c>
      <c r="I72" s="77">
        <f t="shared" ref="I72:M72" si="169">I29/I70</f>
        <v>139.72602739726011</v>
      </c>
      <c r="J72" s="77">
        <f t="shared" si="169"/>
        <v>220.95681282281558</v>
      </c>
      <c r="K72" s="77">
        <f t="shared" si="169"/>
        <v>332.56535190461483</v>
      </c>
      <c r="L72" s="77">
        <f t="shared" si="169"/>
        <v>482.94005616026067</v>
      </c>
      <c r="M72" s="77">
        <f t="shared" si="169"/>
        <v>682.46397831310901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workbookViewId="0">
      <pane xSplit="1" ySplit="2" topLeftCell="H10" activePane="bottomRight" state="frozen"/>
      <selection pane="topRight" activeCell="B1" sqref="B1"/>
      <selection pane="bottomLeft" activeCell="A3" sqref="A3"/>
      <selection pane="bottomRight" activeCell="T29" sqref="T29"/>
    </sheetView>
  </sheetViews>
  <sheetFormatPr baseColWidth="10" defaultRowHeight="13" x14ac:dyDescent="0.15"/>
  <cols>
    <col min="1" max="1" width="17.5" style="6" customWidth="1"/>
    <col min="2" max="2" width="10.83203125" style="29" customWidth="1"/>
    <col min="3" max="4" width="10.83203125" style="28" customWidth="1"/>
    <col min="5" max="5" width="10.83203125" style="28"/>
    <col min="6" max="6" width="10.83203125" style="29"/>
    <col min="7" max="9" width="10.83203125" style="28"/>
    <col min="10" max="10" width="10.83203125" style="29"/>
    <col min="11" max="13" width="10.83203125" style="28"/>
    <col min="14" max="14" width="10.83203125" style="29"/>
    <col min="15" max="17" width="10.83203125" style="28"/>
    <col min="18" max="18" width="10.83203125" style="52"/>
    <col min="19" max="16384" width="10.83203125" style="6"/>
  </cols>
  <sheetData>
    <row r="1" spans="1:19" s="28" customFormat="1" x14ac:dyDescent="0.15">
      <c r="A1" s="66" t="s">
        <v>53</v>
      </c>
      <c r="B1" s="29" t="s">
        <v>22</v>
      </c>
      <c r="C1" s="28" t="s">
        <v>23</v>
      </c>
      <c r="D1" s="28" t="s">
        <v>24</v>
      </c>
      <c r="E1" s="28" t="s">
        <v>25</v>
      </c>
      <c r="F1" s="30" t="s">
        <v>0</v>
      </c>
      <c r="G1" s="31" t="s">
        <v>1</v>
      </c>
      <c r="H1" s="31" t="s">
        <v>2</v>
      </c>
      <c r="I1" s="31" t="s">
        <v>3</v>
      </c>
      <c r="J1" s="30" t="s">
        <v>42</v>
      </c>
      <c r="K1" s="31" t="s">
        <v>43</v>
      </c>
      <c r="L1" s="31" t="s">
        <v>44</v>
      </c>
      <c r="M1" s="31" t="s">
        <v>45</v>
      </c>
      <c r="N1" s="30" t="s">
        <v>60</v>
      </c>
      <c r="O1" s="31" t="s">
        <v>61</v>
      </c>
      <c r="P1" s="31" t="s">
        <v>62</v>
      </c>
      <c r="Q1" s="31" t="s">
        <v>63</v>
      </c>
      <c r="R1" s="64" t="s">
        <v>98</v>
      </c>
    </row>
    <row r="2" spans="1:19" s="28" customFormat="1" x14ac:dyDescent="0.15">
      <c r="A2" s="66"/>
      <c r="B2" s="29" t="s">
        <v>29</v>
      </c>
      <c r="C2" s="28" t="s">
        <v>28</v>
      </c>
      <c r="D2" s="28" t="s">
        <v>27</v>
      </c>
      <c r="E2" s="28" t="s">
        <v>32</v>
      </c>
      <c r="F2" s="29" t="s">
        <v>31</v>
      </c>
      <c r="G2" s="28" t="s">
        <v>30</v>
      </c>
      <c r="H2" s="28" t="s">
        <v>26</v>
      </c>
      <c r="I2" s="28" t="s">
        <v>36</v>
      </c>
      <c r="J2" s="29" t="s">
        <v>46</v>
      </c>
      <c r="K2" s="28" t="s">
        <v>47</v>
      </c>
      <c r="L2" s="28" t="s">
        <v>48</v>
      </c>
      <c r="M2" s="28" t="s">
        <v>49</v>
      </c>
      <c r="N2" s="29" t="s">
        <v>89</v>
      </c>
      <c r="O2" s="28" t="s">
        <v>90</v>
      </c>
      <c r="P2" s="28" t="s">
        <v>93</v>
      </c>
      <c r="Q2" s="65">
        <v>44196</v>
      </c>
      <c r="R2" s="67">
        <v>43921</v>
      </c>
    </row>
    <row r="3" spans="1:19" s="8" customFormat="1" x14ac:dyDescent="0.15">
      <c r="A3" s="8" t="s">
        <v>81</v>
      </c>
      <c r="B3" s="30">
        <v>566</v>
      </c>
      <c r="C3" s="31">
        <v>643</v>
      </c>
      <c r="D3" s="31">
        <v>673</v>
      </c>
      <c r="E3" s="31">
        <v>775</v>
      </c>
      <c r="F3" s="30">
        <v>828</v>
      </c>
      <c r="G3" s="31">
        <v>904</v>
      </c>
      <c r="H3" s="31">
        <v>923</v>
      </c>
      <c r="I3" s="31">
        <f>3674-SUM(F3:H3)</f>
        <v>1019</v>
      </c>
      <c r="J3" s="30">
        <v>1037</v>
      </c>
      <c r="K3" s="31">
        <v>1150</v>
      </c>
      <c r="L3" s="31">
        <v>1210</v>
      </c>
      <c r="M3" s="31">
        <v>1320</v>
      </c>
      <c r="N3" s="30">
        <v>1385</v>
      </c>
      <c r="O3" s="31">
        <v>1502</v>
      </c>
      <c r="P3" s="31">
        <v>1561</v>
      </c>
      <c r="Q3" s="31">
        <v>1638</v>
      </c>
      <c r="R3" s="54">
        <v>1700</v>
      </c>
    </row>
    <row r="4" spans="1:19" s="8" customFormat="1" x14ac:dyDescent="0.15">
      <c r="A4" s="8" t="s">
        <v>80</v>
      </c>
      <c r="B4" s="30">
        <v>53</v>
      </c>
      <c r="C4" s="31">
        <v>71</v>
      </c>
      <c r="D4" s="31">
        <v>74</v>
      </c>
      <c r="E4" s="31">
        <v>97</v>
      </c>
      <c r="F4" s="30">
        <v>74</v>
      </c>
      <c r="G4" s="31">
        <v>103</v>
      </c>
      <c r="H4" s="31">
        <v>109</v>
      </c>
      <c r="I4" s="31">
        <f>416-SUM(F4:H4)</f>
        <v>130</v>
      </c>
      <c r="J4" s="30">
        <v>102</v>
      </c>
      <c r="K4" s="31">
        <v>123</v>
      </c>
      <c r="L4" s="31">
        <v>142</v>
      </c>
      <c r="M4" s="31">
        <v>175</v>
      </c>
      <c r="N4" s="30">
        <v>126</v>
      </c>
      <c r="O4" s="31">
        <v>165</v>
      </c>
      <c r="P4" s="31">
        <v>170</v>
      </c>
      <c r="Q4" s="31">
        <v>217</v>
      </c>
      <c r="R4" s="54">
        <v>148</v>
      </c>
    </row>
    <row r="5" spans="1:19" s="50" customFormat="1" x14ac:dyDescent="0.15">
      <c r="B5" s="62"/>
      <c r="C5" s="49"/>
      <c r="D5" s="49"/>
      <c r="E5" s="49"/>
      <c r="F5" s="62"/>
      <c r="G5" s="49"/>
      <c r="H5" s="49"/>
      <c r="I5" s="49"/>
      <c r="J5" s="62"/>
      <c r="K5" s="49"/>
      <c r="L5" s="49"/>
      <c r="M5" s="49"/>
      <c r="N5" s="53"/>
      <c r="Q5" s="50" t="s">
        <v>92</v>
      </c>
      <c r="R5" s="53" t="s">
        <v>95</v>
      </c>
      <c r="S5" s="50" t="s">
        <v>100</v>
      </c>
    </row>
    <row r="6" spans="1:19" s="8" customFormat="1" x14ac:dyDescent="0.15">
      <c r="A6" s="8" t="s">
        <v>82</v>
      </c>
      <c r="B6" s="30">
        <v>30</v>
      </c>
      <c r="C6" s="31">
        <v>36</v>
      </c>
      <c r="D6" s="31">
        <v>40</v>
      </c>
      <c r="E6" s="31">
        <v>48</v>
      </c>
      <c r="F6" s="30">
        <v>52</v>
      </c>
      <c r="G6" s="31">
        <v>59</v>
      </c>
      <c r="H6" s="31">
        <v>62</v>
      </c>
      <c r="I6" s="31">
        <v>71</v>
      </c>
      <c r="J6" s="30">
        <v>75</v>
      </c>
      <c r="K6" s="31">
        <v>83</v>
      </c>
      <c r="L6" s="31">
        <v>87</v>
      </c>
      <c r="M6" s="31">
        <v>96</v>
      </c>
      <c r="N6" s="30">
        <v>100</v>
      </c>
      <c r="O6" s="31">
        <v>108</v>
      </c>
      <c r="P6" s="31">
        <v>113</v>
      </c>
      <c r="Q6" s="31">
        <v>124</v>
      </c>
      <c r="R6" s="54">
        <v>130</v>
      </c>
    </row>
    <row r="7" spans="1:19" s="4" customFormat="1" x14ac:dyDescent="0.15">
      <c r="A7" s="4" t="s">
        <v>75</v>
      </c>
      <c r="B7" s="58">
        <f>SUM(B3:B4)/B6</f>
        <v>20.633333333333333</v>
      </c>
      <c r="C7" s="58">
        <f t="shared" ref="C7:E7" si="0">SUM(C3:C4)/C6</f>
        <v>19.833333333333332</v>
      </c>
      <c r="D7" s="58">
        <f t="shared" si="0"/>
        <v>18.675000000000001</v>
      </c>
      <c r="E7" s="58">
        <f t="shared" si="0"/>
        <v>18.166666666666668</v>
      </c>
      <c r="F7" s="57">
        <f t="shared" ref="F7:O7" si="1">SUM(F3:F4)/F6</f>
        <v>17.346153846153847</v>
      </c>
      <c r="G7" s="58">
        <f t="shared" si="1"/>
        <v>17.067796610169491</v>
      </c>
      <c r="H7" s="58">
        <f t="shared" si="1"/>
        <v>16.64516129032258</v>
      </c>
      <c r="I7" s="58">
        <f t="shared" si="1"/>
        <v>16.183098591549296</v>
      </c>
      <c r="J7" s="57">
        <f t="shared" si="1"/>
        <v>15.186666666666667</v>
      </c>
      <c r="K7" s="58">
        <f t="shared" si="1"/>
        <v>15.337349397590362</v>
      </c>
      <c r="L7" s="58">
        <f t="shared" si="1"/>
        <v>15.540229885057471</v>
      </c>
      <c r="M7" s="58">
        <f>SUM(M3:M4)/M6</f>
        <v>15.572916666666666</v>
      </c>
      <c r="N7" s="57">
        <f t="shared" si="1"/>
        <v>15.11</v>
      </c>
      <c r="O7" s="58">
        <f t="shared" si="1"/>
        <v>15.435185185185185</v>
      </c>
      <c r="P7" s="58">
        <f>SUM(P3:P4)/P6</f>
        <v>15.31858407079646</v>
      </c>
      <c r="Q7" s="58">
        <f>SUM(Q3:Q4)/Q6</f>
        <v>14.959677419354838</v>
      </c>
      <c r="R7" s="57">
        <f>SUM(R3:R4)/R6</f>
        <v>14.215384615384615</v>
      </c>
    </row>
    <row r="8" spans="1:19" s="50" customFormat="1" x14ac:dyDescent="0.15">
      <c r="B8" s="62"/>
      <c r="E8" s="49"/>
      <c r="F8" s="53"/>
      <c r="J8" s="53"/>
      <c r="N8" s="53"/>
      <c r="Q8" s="50" t="s">
        <v>91</v>
      </c>
      <c r="R8" s="53" t="s">
        <v>97</v>
      </c>
      <c r="S8" s="50" t="s">
        <v>101</v>
      </c>
    </row>
    <row r="9" spans="1:19" s="18" customFormat="1" x14ac:dyDescent="0.15">
      <c r="A9" s="18" t="s">
        <v>4</v>
      </c>
      <c r="B9" s="33">
        <f t="shared" ref="B9:R9" si="2">SUM(B3:B4)</f>
        <v>619</v>
      </c>
      <c r="C9" s="32">
        <f t="shared" si="2"/>
        <v>714</v>
      </c>
      <c r="D9" s="32">
        <f t="shared" si="2"/>
        <v>747</v>
      </c>
      <c r="E9" s="32">
        <f t="shared" si="2"/>
        <v>872</v>
      </c>
      <c r="F9" s="33">
        <f t="shared" si="2"/>
        <v>902</v>
      </c>
      <c r="G9" s="32">
        <f t="shared" si="2"/>
        <v>1007</v>
      </c>
      <c r="H9" s="32">
        <f t="shared" si="2"/>
        <v>1032</v>
      </c>
      <c r="I9" s="32">
        <f t="shared" si="2"/>
        <v>1149</v>
      </c>
      <c r="J9" s="33">
        <f t="shared" si="2"/>
        <v>1139</v>
      </c>
      <c r="K9" s="32">
        <f t="shared" si="2"/>
        <v>1273</v>
      </c>
      <c r="L9" s="32">
        <f t="shared" si="2"/>
        <v>1352</v>
      </c>
      <c r="M9" s="32">
        <f>SUM(M3:M4)</f>
        <v>1495</v>
      </c>
      <c r="N9" s="33">
        <f t="shared" si="2"/>
        <v>1511</v>
      </c>
      <c r="O9" s="32">
        <f t="shared" si="2"/>
        <v>1667</v>
      </c>
      <c r="P9" s="32">
        <f t="shared" si="2"/>
        <v>1731</v>
      </c>
      <c r="Q9" s="32">
        <f t="shared" si="2"/>
        <v>1855</v>
      </c>
      <c r="R9" s="33">
        <f t="shared" si="2"/>
        <v>1848</v>
      </c>
    </row>
    <row r="10" spans="1:19" s="8" customFormat="1" x14ac:dyDescent="0.15">
      <c r="A10" s="8" t="s">
        <v>5</v>
      </c>
      <c r="B10" s="30">
        <f>508+80</f>
        <v>588</v>
      </c>
      <c r="C10" s="31">
        <f>531+79</f>
        <v>610</v>
      </c>
      <c r="D10" s="31">
        <f>560+74</f>
        <v>634</v>
      </c>
      <c r="E10" s="31">
        <f>622+97</f>
        <v>719</v>
      </c>
      <c r="F10" s="30">
        <v>797</v>
      </c>
      <c r="G10" s="31">
        <v>775</v>
      </c>
      <c r="H10" s="31">
        <v>802</v>
      </c>
      <c r="I10" s="31">
        <f>761+106</f>
        <v>867</v>
      </c>
      <c r="J10" s="30">
        <v>856</v>
      </c>
      <c r="K10" s="31">
        <v>944</v>
      </c>
      <c r="L10" s="31">
        <v>1010</v>
      </c>
      <c r="M10" s="31">
        <v>1096</v>
      </c>
      <c r="N10" s="30">
        <v>1138</v>
      </c>
      <c r="O10" s="31">
        <v>1233</v>
      </c>
      <c r="P10" s="31">
        <v>1290</v>
      </c>
      <c r="Q10" s="31">
        <v>1381</v>
      </c>
      <c r="R10" s="54">
        <v>1376</v>
      </c>
    </row>
    <row r="11" spans="1:19" s="8" customFormat="1" x14ac:dyDescent="0.15">
      <c r="A11" s="8" t="s">
        <v>6</v>
      </c>
      <c r="B11" s="35">
        <f>B9-B10</f>
        <v>31</v>
      </c>
      <c r="C11" s="34">
        <f t="shared" ref="C11:H11" si="3">C9-C10</f>
        <v>104</v>
      </c>
      <c r="D11" s="34">
        <f t="shared" si="3"/>
        <v>113</v>
      </c>
      <c r="E11" s="34">
        <f t="shared" si="3"/>
        <v>153</v>
      </c>
      <c r="F11" s="35">
        <f t="shared" si="3"/>
        <v>105</v>
      </c>
      <c r="G11" s="34">
        <f t="shared" si="3"/>
        <v>232</v>
      </c>
      <c r="H11" s="34">
        <f t="shared" si="3"/>
        <v>230</v>
      </c>
      <c r="I11" s="34">
        <f t="shared" ref="I11" si="4">I9-I10</f>
        <v>282</v>
      </c>
      <c r="J11" s="35">
        <f>J9-J10</f>
        <v>283</v>
      </c>
      <c r="K11" s="34">
        <f>K9-K10</f>
        <v>329</v>
      </c>
      <c r="L11" s="34">
        <f t="shared" ref="L11:N11" si="5">L9-L10</f>
        <v>342</v>
      </c>
      <c r="M11" s="34">
        <f t="shared" si="5"/>
        <v>399</v>
      </c>
      <c r="N11" s="35">
        <f t="shared" si="5"/>
        <v>373</v>
      </c>
      <c r="O11" s="34">
        <f t="shared" ref="O11:R11" si="6">O9-O10</f>
        <v>434</v>
      </c>
      <c r="P11" s="34">
        <f t="shared" si="6"/>
        <v>441</v>
      </c>
      <c r="Q11" s="34">
        <f t="shared" si="6"/>
        <v>474</v>
      </c>
      <c r="R11" s="35">
        <f t="shared" si="6"/>
        <v>472</v>
      </c>
    </row>
    <row r="12" spans="1:19" s="8" customFormat="1" x14ac:dyDescent="0.15">
      <c r="A12" s="8" t="s">
        <v>7</v>
      </c>
      <c r="B12" s="30">
        <v>42</v>
      </c>
      <c r="C12" s="31">
        <v>52</v>
      </c>
      <c r="D12" s="31">
        <v>51</v>
      </c>
      <c r="E12" s="31">
        <v>62</v>
      </c>
      <c r="F12" s="30">
        <v>80</v>
      </c>
      <c r="G12" s="31">
        <v>95</v>
      </c>
      <c r="H12" s="31">
        <v>98</v>
      </c>
      <c r="I12" s="31">
        <v>123</v>
      </c>
      <c r="J12" s="30">
        <v>115</v>
      </c>
      <c r="K12" s="31">
        <v>143</v>
      </c>
      <c r="L12" s="31">
        <v>135</v>
      </c>
      <c r="M12" s="31">
        <v>100</v>
      </c>
      <c r="N12" s="30">
        <v>155</v>
      </c>
      <c r="O12" s="31">
        <v>151</v>
      </c>
      <c r="P12" s="31">
        <v>136</v>
      </c>
      <c r="Q12" s="31">
        <v>173</v>
      </c>
      <c r="R12" s="54">
        <v>162</v>
      </c>
    </row>
    <row r="13" spans="1:19" s="8" customFormat="1" x14ac:dyDescent="0.15">
      <c r="A13" s="8" t="s">
        <v>8</v>
      </c>
      <c r="B13" s="30">
        <v>63</v>
      </c>
      <c r="C13" s="31">
        <v>95</v>
      </c>
      <c r="D13" s="31">
        <v>84</v>
      </c>
      <c r="E13" s="31">
        <v>126</v>
      </c>
      <c r="F13" s="30">
        <v>110</v>
      </c>
      <c r="G13" s="31">
        <v>146</v>
      </c>
      <c r="H13" s="31">
        <v>138</v>
      </c>
      <c r="I13" s="31">
        <v>173</v>
      </c>
      <c r="J13" s="30">
        <v>138</v>
      </c>
      <c r="K13" s="31">
        <v>173</v>
      </c>
      <c r="L13" s="31">
        <v>146</v>
      </c>
      <c r="M13" s="31">
        <v>163</v>
      </c>
      <c r="N13" s="30">
        <v>172</v>
      </c>
      <c r="O13" s="31">
        <v>200</v>
      </c>
      <c r="P13" s="31">
        <v>178</v>
      </c>
      <c r="Q13" s="31">
        <v>276</v>
      </c>
      <c r="R13" s="54">
        <v>231</v>
      </c>
    </row>
    <row r="14" spans="1:19" s="8" customFormat="1" x14ac:dyDescent="0.15">
      <c r="A14" s="8" t="s">
        <v>9</v>
      </c>
      <c r="B14" s="30">
        <v>31</v>
      </c>
      <c r="C14" s="31">
        <v>48</v>
      </c>
      <c r="D14" s="31">
        <v>44</v>
      </c>
      <c r="E14" s="31">
        <v>52</v>
      </c>
      <c r="F14" s="30">
        <v>54</v>
      </c>
      <c r="G14" s="31">
        <v>70</v>
      </c>
      <c r="H14" s="31">
        <v>67</v>
      </c>
      <c r="I14" s="31">
        <v>73</v>
      </c>
      <c r="J14" s="30">
        <v>71</v>
      </c>
      <c r="K14" s="31">
        <v>103</v>
      </c>
      <c r="L14" s="31">
        <v>67</v>
      </c>
      <c r="M14" s="31">
        <v>42</v>
      </c>
      <c r="N14" s="30">
        <v>93</v>
      </c>
      <c r="O14" s="31">
        <v>86</v>
      </c>
      <c r="P14" s="31">
        <v>73</v>
      </c>
      <c r="Q14" s="31">
        <v>102</v>
      </c>
      <c r="R14" s="54">
        <v>96</v>
      </c>
    </row>
    <row r="15" spans="1:19" s="8" customFormat="1" x14ac:dyDescent="0.15">
      <c r="A15" s="8" t="s">
        <v>10</v>
      </c>
      <c r="B15" s="35">
        <f>SUM(B12:B14)</f>
        <v>136</v>
      </c>
      <c r="C15" s="34">
        <f t="shared" ref="C15:H15" si="7">SUM(C12:C14)</f>
        <v>195</v>
      </c>
      <c r="D15" s="34">
        <f t="shared" si="7"/>
        <v>179</v>
      </c>
      <c r="E15" s="34">
        <f t="shared" si="7"/>
        <v>240</v>
      </c>
      <c r="F15" s="35">
        <f t="shared" si="7"/>
        <v>244</v>
      </c>
      <c r="G15" s="34">
        <f t="shared" si="7"/>
        <v>311</v>
      </c>
      <c r="H15" s="34">
        <f t="shared" si="7"/>
        <v>303</v>
      </c>
      <c r="I15" s="34">
        <f t="shared" ref="I15:J15" si="8">SUM(I12:I14)</f>
        <v>369</v>
      </c>
      <c r="J15" s="35">
        <f t="shared" si="8"/>
        <v>324</v>
      </c>
      <c r="K15" s="34">
        <f t="shared" ref="K15:L15" si="9">SUM(K12:K14)</f>
        <v>419</v>
      </c>
      <c r="L15" s="34">
        <f t="shared" si="9"/>
        <v>348</v>
      </c>
      <c r="M15" s="34">
        <f t="shared" ref="M15:O15" si="10">SUM(M12:M14)</f>
        <v>305</v>
      </c>
      <c r="N15" s="35">
        <f t="shared" si="10"/>
        <v>420</v>
      </c>
      <c r="O15" s="34">
        <f t="shared" si="10"/>
        <v>437</v>
      </c>
      <c r="P15" s="34">
        <f t="shared" ref="P15:Q15" si="11">SUM(P12:P14)</f>
        <v>387</v>
      </c>
      <c r="Q15" s="34">
        <f t="shared" si="11"/>
        <v>551</v>
      </c>
      <c r="R15" s="35">
        <f t="shared" ref="R15" si="12">SUM(R12:R14)</f>
        <v>489</v>
      </c>
    </row>
    <row r="16" spans="1:19" s="8" customFormat="1" x14ac:dyDescent="0.15">
      <c r="A16" s="8" t="s">
        <v>11</v>
      </c>
      <c r="B16" s="35">
        <f>B11-B15</f>
        <v>-105</v>
      </c>
      <c r="C16" s="34">
        <f t="shared" ref="C16:D16" si="13">C11-C15</f>
        <v>-91</v>
      </c>
      <c r="D16" s="34">
        <f t="shared" si="13"/>
        <v>-66</v>
      </c>
      <c r="E16" s="34">
        <f t="shared" ref="E16:L16" si="14">E11-E15</f>
        <v>-87</v>
      </c>
      <c r="F16" s="35">
        <f t="shared" si="14"/>
        <v>-139</v>
      </c>
      <c r="G16" s="34">
        <f t="shared" si="14"/>
        <v>-79</v>
      </c>
      <c r="H16" s="34">
        <f t="shared" si="14"/>
        <v>-73</v>
      </c>
      <c r="I16" s="34">
        <f t="shared" si="14"/>
        <v>-87</v>
      </c>
      <c r="J16" s="35">
        <f t="shared" si="14"/>
        <v>-41</v>
      </c>
      <c r="K16" s="34">
        <f t="shared" si="14"/>
        <v>-90</v>
      </c>
      <c r="L16" s="34">
        <f t="shared" si="14"/>
        <v>-6</v>
      </c>
      <c r="M16" s="34">
        <f t="shared" ref="M16:O16" si="15">M11-M15</f>
        <v>94</v>
      </c>
      <c r="N16" s="35">
        <f t="shared" si="15"/>
        <v>-47</v>
      </c>
      <c r="O16" s="34">
        <f t="shared" si="15"/>
        <v>-3</v>
      </c>
      <c r="P16" s="34">
        <f t="shared" ref="P16:Q16" si="16">P11-P15</f>
        <v>54</v>
      </c>
      <c r="Q16" s="34">
        <f t="shared" si="16"/>
        <v>-77</v>
      </c>
      <c r="R16" s="35">
        <f t="shared" ref="R16" si="17">R11-R15</f>
        <v>-17</v>
      </c>
    </row>
    <row r="17" spans="1:18" s="8" customFormat="1" x14ac:dyDescent="0.15">
      <c r="A17" s="8" t="s">
        <v>12</v>
      </c>
      <c r="B17" s="30">
        <f>-31-1</f>
        <v>-32</v>
      </c>
      <c r="C17" s="31">
        <f>31-125-1</f>
        <v>-95</v>
      </c>
      <c r="D17" s="31">
        <f>3-64</f>
        <v>-61</v>
      </c>
      <c r="E17" s="31">
        <f>118-116</f>
        <v>2</v>
      </c>
      <c r="F17" s="30">
        <f>27-62+2</f>
        <v>-33</v>
      </c>
      <c r="G17" s="31">
        <f>41-148-1</f>
        <v>-108</v>
      </c>
      <c r="H17" s="31">
        <f>14-219</f>
        <v>-205</v>
      </c>
      <c r="I17" s="31">
        <f>36-545</f>
        <v>-509</v>
      </c>
      <c r="J17" s="30">
        <f>15-154</f>
        <v>-139</v>
      </c>
      <c r="K17" s="31">
        <f>41-343</f>
        <v>-302</v>
      </c>
      <c r="L17" s="31">
        <f>10-85-1</f>
        <v>-76</v>
      </c>
      <c r="M17" s="31">
        <f>389-2</f>
        <v>387</v>
      </c>
      <c r="N17" s="30">
        <f>34-156</f>
        <v>-122</v>
      </c>
      <c r="O17" s="31">
        <f>8-64</f>
        <v>-56</v>
      </c>
      <c r="P17" s="31">
        <f>226-10</f>
        <v>216</v>
      </c>
      <c r="Q17" s="31">
        <f>7-103</f>
        <v>-96</v>
      </c>
      <c r="R17" s="54">
        <f>70-12</f>
        <v>58</v>
      </c>
    </row>
    <row r="18" spans="1:18" s="8" customFormat="1" x14ac:dyDescent="0.15">
      <c r="A18" s="8" t="s">
        <v>13</v>
      </c>
      <c r="B18" s="35">
        <f>B16+B17</f>
        <v>-137</v>
      </c>
      <c r="C18" s="34">
        <f t="shared" ref="C18:E18" si="18">C16+C17</f>
        <v>-186</v>
      </c>
      <c r="D18" s="34">
        <f t="shared" si="18"/>
        <v>-127</v>
      </c>
      <c r="E18" s="34">
        <f t="shared" si="18"/>
        <v>-85</v>
      </c>
      <c r="F18" s="35">
        <f t="shared" ref="F18:G18" si="19">F16+F17</f>
        <v>-172</v>
      </c>
      <c r="G18" s="34">
        <f t="shared" si="19"/>
        <v>-187</v>
      </c>
      <c r="H18" s="34">
        <f t="shared" ref="H18:J18" si="20">H16+H17</f>
        <v>-278</v>
      </c>
      <c r="I18" s="34">
        <f>I16+I17</f>
        <v>-596</v>
      </c>
      <c r="J18" s="35">
        <f t="shared" si="20"/>
        <v>-180</v>
      </c>
      <c r="K18" s="34">
        <f t="shared" ref="K18" si="21">K16+K17</f>
        <v>-392</v>
      </c>
      <c r="L18" s="34">
        <f t="shared" ref="L18:R18" si="22">L16+L17</f>
        <v>-82</v>
      </c>
      <c r="M18" s="34">
        <f t="shared" si="22"/>
        <v>481</v>
      </c>
      <c r="N18" s="35">
        <f t="shared" si="22"/>
        <v>-169</v>
      </c>
      <c r="O18" s="34">
        <f t="shared" si="22"/>
        <v>-59</v>
      </c>
      <c r="P18" s="34">
        <f t="shared" si="22"/>
        <v>270</v>
      </c>
      <c r="Q18" s="34">
        <f t="shared" si="22"/>
        <v>-173</v>
      </c>
      <c r="R18" s="35">
        <f t="shared" si="22"/>
        <v>41</v>
      </c>
    </row>
    <row r="19" spans="1:18" s="8" customFormat="1" x14ac:dyDescent="0.15">
      <c r="A19" s="8" t="s">
        <v>14</v>
      </c>
      <c r="B19" s="30">
        <v>2</v>
      </c>
      <c r="C19" s="31">
        <v>-1</v>
      </c>
      <c r="D19" s="31">
        <v>3</v>
      </c>
      <c r="E19" s="31">
        <v>0</v>
      </c>
      <c r="F19" s="30">
        <v>1</v>
      </c>
      <c r="G19" s="31">
        <v>1</v>
      </c>
      <c r="H19" s="31">
        <v>0</v>
      </c>
      <c r="I19" s="31">
        <v>0</v>
      </c>
      <c r="J19" s="30">
        <v>-11</v>
      </c>
      <c r="K19" s="31">
        <v>2</v>
      </c>
      <c r="L19" s="31">
        <v>-125</v>
      </c>
      <c r="M19" s="31">
        <v>39</v>
      </c>
      <c r="N19" s="30">
        <v>-27</v>
      </c>
      <c r="O19" s="31">
        <v>17</v>
      </c>
      <c r="P19" s="31">
        <v>29</v>
      </c>
      <c r="Q19" s="31">
        <v>36</v>
      </c>
      <c r="R19" s="54">
        <v>40</v>
      </c>
    </row>
    <row r="20" spans="1:18" s="18" customFormat="1" x14ac:dyDescent="0.15">
      <c r="A20" s="18" t="s">
        <v>15</v>
      </c>
      <c r="B20" s="33">
        <f t="shared" ref="B20:M20" si="23">B18-B19</f>
        <v>-139</v>
      </c>
      <c r="C20" s="32">
        <f t="shared" si="23"/>
        <v>-185</v>
      </c>
      <c r="D20" s="32">
        <f t="shared" si="23"/>
        <v>-130</v>
      </c>
      <c r="E20" s="32">
        <f t="shared" si="23"/>
        <v>-85</v>
      </c>
      <c r="F20" s="33">
        <f t="shared" si="23"/>
        <v>-173</v>
      </c>
      <c r="G20" s="32">
        <f t="shared" si="23"/>
        <v>-188</v>
      </c>
      <c r="H20" s="32">
        <f t="shared" si="23"/>
        <v>-278</v>
      </c>
      <c r="I20" s="32">
        <f t="shared" si="23"/>
        <v>-596</v>
      </c>
      <c r="J20" s="33">
        <f t="shared" si="23"/>
        <v>-169</v>
      </c>
      <c r="K20" s="32">
        <f t="shared" si="23"/>
        <v>-394</v>
      </c>
      <c r="L20" s="32">
        <f t="shared" si="23"/>
        <v>43</v>
      </c>
      <c r="M20" s="32">
        <f t="shared" si="23"/>
        <v>442</v>
      </c>
      <c r="N20" s="33">
        <f t="shared" ref="N20:R20" si="24">N18-N19</f>
        <v>-142</v>
      </c>
      <c r="O20" s="32">
        <f t="shared" si="24"/>
        <v>-76</v>
      </c>
      <c r="P20" s="32">
        <f t="shared" si="24"/>
        <v>241</v>
      </c>
      <c r="Q20" s="32">
        <f t="shared" si="24"/>
        <v>-209</v>
      </c>
      <c r="R20" s="33">
        <f t="shared" si="24"/>
        <v>1</v>
      </c>
    </row>
    <row r="21" spans="1:18" s="4" customFormat="1" x14ac:dyDescent="0.15">
      <c r="A21" s="4" t="s">
        <v>16</v>
      </c>
      <c r="B21" s="57">
        <f t="shared" ref="B21:D21" si="25">IFERROR(B20/B22,0)</f>
        <v>-0.95026624375033297</v>
      </c>
      <c r="C21" s="58">
        <f t="shared" si="25"/>
        <v>-1.2527624427616226</v>
      </c>
      <c r="D21" s="58">
        <f t="shared" si="25"/>
        <v>-0.86858187812684462</v>
      </c>
      <c r="E21" s="58">
        <f t="shared" ref="E21:H21" si="26">IFERROR(E20/E22,0)</f>
        <v>-0.5673216660050806</v>
      </c>
      <c r="F21" s="57">
        <f t="shared" si="26"/>
        <v>-1.1521863164927806</v>
      </c>
      <c r="G21" s="58">
        <f t="shared" si="26"/>
        <v>-1.2444565995198265</v>
      </c>
      <c r="H21" s="58">
        <f t="shared" si="26"/>
        <v>-1.8375338254945155</v>
      </c>
      <c r="I21" s="58">
        <f t="shared" ref="I21" si="27">IFERROR(I20/I22,0)</f>
        <v>-3.8669528419391335</v>
      </c>
      <c r="J21" s="57">
        <f t="shared" ref="J21:R21" si="28">IFERROR(J20/J22,0)</f>
        <v>-1.007277718602033</v>
      </c>
      <c r="K21" s="58">
        <f t="shared" si="28"/>
        <v>-2.2001693527309496</v>
      </c>
      <c r="L21" s="58">
        <f t="shared" si="28"/>
        <v>0.22857735548353514</v>
      </c>
      <c r="M21" s="58">
        <f t="shared" si="28"/>
        <v>2.3200742037416102</v>
      </c>
      <c r="N21" s="57">
        <f t="shared" si="28"/>
        <v>-0.78620905601102253</v>
      </c>
      <c r="O21" s="58">
        <f t="shared" si="28"/>
        <v>-0.42126474596363933</v>
      </c>
      <c r="P21" s="58">
        <f t="shared" si="28"/>
        <v>1.2819148936170213</v>
      </c>
      <c r="Q21" s="58">
        <f t="shared" si="28"/>
        <v>-1.1424352898414085</v>
      </c>
      <c r="R21" s="57">
        <f t="shared" si="28"/>
        <v>5.3869989617583028E-3</v>
      </c>
    </row>
    <row r="22" spans="1:18" s="8" customFormat="1" x14ac:dyDescent="0.15">
      <c r="A22" s="8" t="s">
        <v>17</v>
      </c>
      <c r="B22" s="30">
        <v>146.27479500000001</v>
      </c>
      <c r="C22" s="31">
        <v>147.67364799999999</v>
      </c>
      <c r="D22" s="31">
        <v>149.669252</v>
      </c>
      <c r="E22" s="31">
        <v>149.826818</v>
      </c>
      <c r="F22" s="30">
        <v>150.149327</v>
      </c>
      <c r="G22" s="31">
        <v>151.069953</v>
      </c>
      <c r="H22" s="31">
        <v>151.28973199999999</v>
      </c>
      <c r="I22" s="31">
        <v>154.12652399999999</v>
      </c>
      <c r="J22" s="30">
        <v>167.778952</v>
      </c>
      <c r="K22" s="31">
        <v>179.077124</v>
      </c>
      <c r="L22" s="31">
        <v>188.12012200000001</v>
      </c>
      <c r="M22" s="31">
        <v>190.51114799999999</v>
      </c>
      <c r="N22" s="30">
        <v>180.613539</v>
      </c>
      <c r="O22" s="31">
        <v>180.40911500000001</v>
      </c>
      <c r="P22" s="31">
        <v>188</v>
      </c>
      <c r="Q22" s="31">
        <v>182.94252800000001</v>
      </c>
      <c r="R22" s="54">
        <v>185.632113</v>
      </c>
    </row>
    <row r="23" spans="1:18" x14ac:dyDescent="0.15">
      <c r="B23" s="30"/>
      <c r="C23" s="31"/>
      <c r="D23" s="31"/>
      <c r="E23" s="31"/>
      <c r="F23" s="30"/>
      <c r="G23" s="31"/>
      <c r="H23" s="31"/>
      <c r="I23" s="31"/>
      <c r="M23" s="31"/>
    </row>
    <row r="24" spans="1:18" x14ac:dyDescent="0.15">
      <c r="A24" s="6" t="s">
        <v>19</v>
      </c>
      <c r="B24" s="41">
        <f t="shared" ref="B24:M24" si="29">IFERROR(B11/B9,0)</f>
        <v>5.0080775444264945E-2</v>
      </c>
      <c r="C24" s="40">
        <f t="shared" si="29"/>
        <v>0.14565826330532214</v>
      </c>
      <c r="D24" s="40">
        <f t="shared" si="29"/>
        <v>0.15127175368139223</v>
      </c>
      <c r="E24" s="40">
        <f t="shared" si="29"/>
        <v>0.17545871559633028</v>
      </c>
      <c r="F24" s="41">
        <f t="shared" si="29"/>
        <v>0.1164079822616408</v>
      </c>
      <c r="G24" s="40">
        <f t="shared" si="29"/>
        <v>0.23038728897715988</v>
      </c>
      <c r="H24" s="40">
        <f t="shared" si="29"/>
        <v>0.22286821705426357</v>
      </c>
      <c r="I24" s="40">
        <f t="shared" si="29"/>
        <v>0.24543080939947781</v>
      </c>
      <c r="J24" s="41">
        <f t="shared" si="29"/>
        <v>0.24846356453028973</v>
      </c>
      <c r="K24" s="40">
        <f t="shared" si="29"/>
        <v>0.2584446190102121</v>
      </c>
      <c r="L24" s="40">
        <f t="shared" si="29"/>
        <v>0.25295857988165682</v>
      </c>
      <c r="M24" s="40">
        <f t="shared" si="29"/>
        <v>0.26688963210702343</v>
      </c>
      <c r="N24" s="41">
        <f t="shared" ref="N24:O24" si="30">IFERROR(N11/N9,0)</f>
        <v>0.24685638649900729</v>
      </c>
      <c r="O24" s="40">
        <f t="shared" si="30"/>
        <v>0.26034793041391724</v>
      </c>
      <c r="P24" s="40">
        <f t="shared" ref="P24:Q24" si="31">IFERROR(P11/P9,0)</f>
        <v>0.25476603119584057</v>
      </c>
      <c r="Q24" s="40">
        <f t="shared" si="31"/>
        <v>0.25552560646900269</v>
      </c>
      <c r="R24" s="41">
        <f t="shared" ref="R24" si="32">IFERROR(R11/R9,0)</f>
        <v>0.25541125541125542</v>
      </c>
    </row>
    <row r="25" spans="1:18" x14ac:dyDescent="0.15">
      <c r="A25" s="6" t="s">
        <v>20</v>
      </c>
      <c r="B25" s="43">
        <f t="shared" ref="B25:M25" si="33">IFERROR(B16/B9,0)</f>
        <v>-0.16962843295638125</v>
      </c>
      <c r="C25" s="42">
        <f t="shared" si="33"/>
        <v>-0.12745098039215685</v>
      </c>
      <c r="D25" s="42">
        <f t="shared" si="33"/>
        <v>-8.8353413654618476E-2</v>
      </c>
      <c r="E25" s="42">
        <f t="shared" si="33"/>
        <v>-9.9770642201834861E-2</v>
      </c>
      <c r="F25" s="43">
        <f t="shared" si="33"/>
        <v>-0.15410199556541021</v>
      </c>
      <c r="G25" s="42">
        <f t="shared" si="33"/>
        <v>-7.845084409136048E-2</v>
      </c>
      <c r="H25" s="42">
        <f t="shared" si="33"/>
        <v>-7.0736434108527133E-2</v>
      </c>
      <c r="I25" s="42">
        <f t="shared" si="33"/>
        <v>-7.5718015665796348E-2</v>
      </c>
      <c r="J25" s="43">
        <f t="shared" si="33"/>
        <v>-3.5996488147497806E-2</v>
      </c>
      <c r="K25" s="42">
        <f t="shared" si="33"/>
        <v>-7.0699135899450122E-2</v>
      </c>
      <c r="L25" s="42">
        <f t="shared" si="33"/>
        <v>-4.4378698224852072E-3</v>
      </c>
      <c r="M25" s="42">
        <f t="shared" si="33"/>
        <v>6.2876254180602012E-2</v>
      </c>
      <c r="N25" s="43">
        <f t="shared" ref="N25:O25" si="34">IFERROR(N16/N9,0)</f>
        <v>-3.1105228325612178E-2</v>
      </c>
      <c r="O25" s="42">
        <f t="shared" si="34"/>
        <v>-1.7996400719856029E-3</v>
      </c>
      <c r="P25" s="42">
        <f t="shared" ref="P25:Q25" si="35">IFERROR(P16/P9,0)</f>
        <v>3.1195840554592721E-2</v>
      </c>
      <c r="Q25" s="42">
        <f t="shared" si="35"/>
        <v>-4.1509433962264149E-2</v>
      </c>
      <c r="R25" s="43">
        <f t="shared" ref="R25" si="36">IFERROR(R16/R9,0)</f>
        <v>-9.1991341991341999E-3</v>
      </c>
    </row>
    <row r="26" spans="1:18" x14ac:dyDescent="0.15">
      <c r="A26" s="6" t="s">
        <v>21</v>
      </c>
      <c r="B26" s="43">
        <f t="shared" ref="B26:M26" si="37">IFERROR(B19/B18,0)</f>
        <v>-1.4598540145985401E-2</v>
      </c>
      <c r="C26" s="42">
        <f t="shared" si="37"/>
        <v>5.3763440860215058E-3</v>
      </c>
      <c r="D26" s="42">
        <f t="shared" si="37"/>
        <v>-2.3622047244094488E-2</v>
      </c>
      <c r="E26" s="42">
        <f t="shared" si="37"/>
        <v>0</v>
      </c>
      <c r="F26" s="43">
        <f t="shared" si="37"/>
        <v>-5.8139534883720929E-3</v>
      </c>
      <c r="G26" s="42">
        <f t="shared" si="37"/>
        <v>-5.3475935828877002E-3</v>
      </c>
      <c r="H26" s="42">
        <f t="shared" si="37"/>
        <v>0</v>
      </c>
      <c r="I26" s="42">
        <f t="shared" si="37"/>
        <v>0</v>
      </c>
      <c r="J26" s="43">
        <f t="shared" si="37"/>
        <v>6.1111111111111109E-2</v>
      </c>
      <c r="K26" s="42">
        <f t="shared" si="37"/>
        <v>-5.1020408163265302E-3</v>
      </c>
      <c r="L26" s="42">
        <f t="shared" si="37"/>
        <v>1.524390243902439</v>
      </c>
      <c r="M26" s="42">
        <f t="shared" si="37"/>
        <v>8.1081081081081086E-2</v>
      </c>
      <c r="N26" s="43">
        <f>IFERROR(N19/N18,0)</f>
        <v>0.15976331360946747</v>
      </c>
      <c r="O26" s="42">
        <f t="shared" ref="O26:P26" si="38">IFERROR(O19/O18,0)</f>
        <v>-0.28813559322033899</v>
      </c>
      <c r="P26" s="42">
        <f t="shared" si="38"/>
        <v>0.10740740740740741</v>
      </c>
      <c r="Q26" s="42">
        <f t="shared" ref="Q26:R26" si="39">IFERROR(Q19/Q18,0)</f>
        <v>-0.20809248554913296</v>
      </c>
      <c r="R26" s="43">
        <f t="shared" si="39"/>
        <v>0.97560975609756095</v>
      </c>
    </row>
    <row r="27" spans="1:18" x14ac:dyDescent="0.15">
      <c r="B27" s="30"/>
      <c r="C27" s="31"/>
      <c r="D27" s="31"/>
      <c r="E27" s="31"/>
      <c r="F27" s="30"/>
      <c r="G27" s="31"/>
      <c r="H27" s="31"/>
      <c r="I27" s="31"/>
      <c r="M27" s="31"/>
      <c r="R27" s="29"/>
    </row>
    <row r="28" spans="1:18" s="12" customFormat="1" x14ac:dyDescent="0.15">
      <c r="A28" s="12" t="s">
        <v>18</v>
      </c>
      <c r="B28" s="37"/>
      <c r="C28" s="36"/>
      <c r="D28" s="36"/>
      <c r="E28" s="36"/>
      <c r="F28" s="37">
        <f t="shared" ref="F28:P28" si="40">IFERROR((F9/B9)-1,0)</f>
        <v>0.45718901453958005</v>
      </c>
      <c r="G28" s="36">
        <f t="shared" si="40"/>
        <v>0.4103641456582634</v>
      </c>
      <c r="H28" s="36">
        <f t="shared" si="40"/>
        <v>0.38152610441767076</v>
      </c>
      <c r="I28" s="36">
        <f t="shared" si="40"/>
        <v>0.31766055045871555</v>
      </c>
      <c r="J28" s="37">
        <f t="shared" si="40"/>
        <v>0.2627494456762749</v>
      </c>
      <c r="K28" s="36">
        <f t="shared" si="40"/>
        <v>0.26415094339622636</v>
      </c>
      <c r="L28" s="36">
        <f t="shared" si="40"/>
        <v>0.31007751937984507</v>
      </c>
      <c r="M28" s="36">
        <f t="shared" si="40"/>
        <v>0.30113141862489123</v>
      </c>
      <c r="N28" s="37">
        <f>IFERROR((N9/J9)-1,0)</f>
        <v>0.32660228270412639</v>
      </c>
      <c r="O28" s="36">
        <f t="shared" si="40"/>
        <v>0.30950510604870396</v>
      </c>
      <c r="P28" s="36">
        <f t="shared" si="40"/>
        <v>0.28032544378698221</v>
      </c>
      <c r="Q28" s="36">
        <f>IFERROR((Q9/M9)-1,0)</f>
        <v>0.24080267558528434</v>
      </c>
      <c r="R28" s="37">
        <f>IFERROR((R9/N9)-1,0)</f>
        <v>0.22303110522832559</v>
      </c>
    </row>
    <row r="29" spans="1:18" s="12" customFormat="1" x14ac:dyDescent="0.15">
      <c r="A29" s="6" t="s">
        <v>50</v>
      </c>
      <c r="B29" s="39"/>
      <c r="C29" s="38"/>
      <c r="D29" s="38"/>
      <c r="E29" s="38"/>
      <c r="F29" s="39">
        <f t="shared" ref="F29:R31" si="41">F12/B12-1</f>
        <v>0.90476190476190466</v>
      </c>
      <c r="G29" s="38">
        <f t="shared" si="41"/>
        <v>0.82692307692307687</v>
      </c>
      <c r="H29" s="38">
        <f t="shared" si="41"/>
        <v>0.92156862745098045</v>
      </c>
      <c r="I29" s="38">
        <f t="shared" si="41"/>
        <v>0.9838709677419355</v>
      </c>
      <c r="J29" s="39">
        <f t="shared" si="41"/>
        <v>0.4375</v>
      </c>
      <c r="K29" s="38">
        <f t="shared" si="41"/>
        <v>0.50526315789473686</v>
      </c>
      <c r="L29" s="38">
        <f t="shared" si="41"/>
        <v>0.37755102040816335</v>
      </c>
      <c r="M29" s="38">
        <f t="shared" si="41"/>
        <v>-0.18699186991869921</v>
      </c>
      <c r="N29" s="39">
        <f t="shared" si="41"/>
        <v>0.34782608695652173</v>
      </c>
      <c r="O29" s="38">
        <f t="shared" si="41"/>
        <v>5.5944055944056048E-2</v>
      </c>
      <c r="P29" s="38">
        <f t="shared" si="41"/>
        <v>7.4074074074073071E-3</v>
      </c>
      <c r="Q29" s="38">
        <f t="shared" si="41"/>
        <v>0.73</v>
      </c>
      <c r="R29" s="39">
        <f t="shared" si="41"/>
        <v>4.5161290322580649E-2</v>
      </c>
    </row>
    <row r="30" spans="1:18" s="12" customFormat="1" x14ac:dyDescent="0.15">
      <c r="A30" s="6" t="s">
        <v>51</v>
      </c>
      <c r="B30" s="39"/>
      <c r="C30" s="38"/>
      <c r="D30" s="38"/>
      <c r="E30" s="38"/>
      <c r="F30" s="39">
        <f t="shared" si="41"/>
        <v>0.74603174603174605</v>
      </c>
      <c r="G30" s="38">
        <f t="shared" si="41"/>
        <v>0.53684210526315779</v>
      </c>
      <c r="H30" s="38">
        <f t="shared" si="41"/>
        <v>0.64285714285714279</v>
      </c>
      <c r="I30" s="38">
        <f t="shared" si="41"/>
        <v>0.37301587301587302</v>
      </c>
      <c r="J30" s="39">
        <f t="shared" si="41"/>
        <v>0.25454545454545463</v>
      </c>
      <c r="K30" s="38">
        <f t="shared" si="41"/>
        <v>0.18493150684931514</v>
      </c>
      <c r="L30" s="38">
        <f t="shared" si="41"/>
        <v>5.7971014492753659E-2</v>
      </c>
      <c r="M30" s="38">
        <f t="shared" si="41"/>
        <v>-5.7803468208092457E-2</v>
      </c>
      <c r="N30" s="39">
        <f t="shared" si="41"/>
        <v>0.24637681159420288</v>
      </c>
      <c r="O30" s="38">
        <f t="shared" si="41"/>
        <v>0.1560693641618498</v>
      </c>
      <c r="P30" s="38">
        <f t="shared" si="41"/>
        <v>0.21917808219178081</v>
      </c>
      <c r="Q30" s="38">
        <f t="shared" si="41"/>
        <v>0.69325153374233128</v>
      </c>
      <c r="R30" s="39">
        <f t="shared" si="41"/>
        <v>0.34302325581395343</v>
      </c>
    </row>
    <row r="31" spans="1:18" s="12" customFormat="1" x14ac:dyDescent="0.15">
      <c r="A31" s="6" t="s">
        <v>52</v>
      </c>
      <c r="B31" s="39"/>
      <c r="C31" s="38"/>
      <c r="D31" s="38"/>
      <c r="E31" s="38"/>
      <c r="F31" s="39">
        <f t="shared" si="41"/>
        <v>0.74193548387096775</v>
      </c>
      <c r="G31" s="38">
        <f t="shared" si="41"/>
        <v>0.45833333333333326</v>
      </c>
      <c r="H31" s="38">
        <f t="shared" si="41"/>
        <v>0.52272727272727271</v>
      </c>
      <c r="I31" s="38">
        <f t="shared" si="41"/>
        <v>0.40384615384615374</v>
      </c>
      <c r="J31" s="39">
        <f t="shared" si="41"/>
        <v>0.31481481481481488</v>
      </c>
      <c r="K31" s="38">
        <f t="shared" si="41"/>
        <v>0.47142857142857153</v>
      </c>
      <c r="L31" s="38">
        <f t="shared" si="41"/>
        <v>0</v>
      </c>
      <c r="M31" s="38">
        <f t="shared" si="41"/>
        <v>-0.42465753424657537</v>
      </c>
      <c r="N31" s="39">
        <f t="shared" si="41"/>
        <v>0.3098591549295775</v>
      </c>
      <c r="O31" s="38">
        <f t="shared" si="41"/>
        <v>-0.16504854368932043</v>
      </c>
      <c r="P31" s="38">
        <f t="shared" ref="P31:R32" si="42">P14/L14-1</f>
        <v>8.9552238805970186E-2</v>
      </c>
      <c r="Q31" s="38">
        <f t="shared" si="42"/>
        <v>1.4285714285714284</v>
      </c>
      <c r="R31" s="39">
        <f t="shared" si="42"/>
        <v>3.2258064516129004E-2</v>
      </c>
    </row>
    <row r="32" spans="1:18" s="61" customFormat="1" x14ac:dyDescent="0.15">
      <c r="A32" s="14"/>
      <c r="B32" s="59"/>
      <c r="C32" s="60"/>
      <c r="D32" s="60"/>
      <c r="E32" s="60"/>
      <c r="F32" s="59">
        <f t="shared" ref="F32:M32" si="43">F15/B15-1</f>
        <v>0.79411764705882359</v>
      </c>
      <c r="G32" s="60">
        <f t="shared" si="43"/>
        <v>0.59487179487179498</v>
      </c>
      <c r="H32" s="60">
        <f t="shared" si="43"/>
        <v>0.6927374301675977</v>
      </c>
      <c r="I32" s="60">
        <f t="shared" si="43"/>
        <v>0.53750000000000009</v>
      </c>
      <c r="J32" s="59">
        <f t="shared" si="43"/>
        <v>0.32786885245901631</v>
      </c>
      <c r="K32" s="60">
        <f t="shared" si="43"/>
        <v>0.34726688102893899</v>
      </c>
      <c r="L32" s="60">
        <f t="shared" si="43"/>
        <v>0.14851485148514842</v>
      </c>
      <c r="M32" s="60">
        <f t="shared" si="43"/>
        <v>-0.17344173441734423</v>
      </c>
      <c r="N32" s="59">
        <f>N15/J15-1</f>
        <v>0.29629629629629628</v>
      </c>
      <c r="O32" s="60">
        <f>O15/K15-1</f>
        <v>4.2959427207637235E-2</v>
      </c>
      <c r="P32" s="60">
        <f t="shared" si="42"/>
        <v>0.11206896551724133</v>
      </c>
      <c r="Q32" s="60">
        <f t="shared" si="42"/>
        <v>0.80655737704918029</v>
      </c>
      <c r="R32" s="59">
        <f t="shared" si="42"/>
        <v>0.16428571428571437</v>
      </c>
    </row>
    <row r="33" spans="1:18" x14ac:dyDescent="0.15">
      <c r="R33" s="29"/>
    </row>
    <row r="34" spans="1:18" s="18" customFormat="1" x14ac:dyDescent="0.15">
      <c r="A34" s="18" t="s">
        <v>33</v>
      </c>
      <c r="B34" s="30"/>
      <c r="C34" s="31"/>
      <c r="D34" s="31"/>
      <c r="E34" s="31"/>
      <c r="F34" s="30"/>
      <c r="G34" s="31"/>
      <c r="H34" s="31"/>
      <c r="I34" s="32">
        <f t="shared" ref="I34:L34" si="44">I35-I36</f>
        <v>1530</v>
      </c>
      <c r="J34" s="33">
        <f t="shared" si="44"/>
        <v>1578</v>
      </c>
      <c r="K34" s="32">
        <f t="shared" si="44"/>
        <v>2728</v>
      </c>
      <c r="L34" s="32">
        <f t="shared" si="44"/>
        <v>3418</v>
      </c>
      <c r="M34" s="32">
        <f t="shared" ref="M34:Q34" si="45">M35-M36</f>
        <v>3517</v>
      </c>
      <c r="N34" s="33">
        <f t="shared" si="45"/>
        <v>3995</v>
      </c>
      <c r="O34" s="32">
        <f t="shared" si="45"/>
        <v>3444</v>
      </c>
      <c r="P34" s="32">
        <f t="shared" si="45"/>
        <v>3195</v>
      </c>
      <c r="Q34" s="32">
        <f t="shared" si="45"/>
        <v>3254</v>
      </c>
      <c r="R34" s="33">
        <f t="shared" ref="R34" si="46">R35-R36</f>
        <v>2996</v>
      </c>
    </row>
    <row r="35" spans="1:18" s="8" customFormat="1" x14ac:dyDescent="0.15">
      <c r="A35" s="8" t="s">
        <v>34</v>
      </c>
      <c r="B35" s="30"/>
      <c r="C35" s="31"/>
      <c r="D35" s="31"/>
      <c r="E35" s="31"/>
      <c r="F35" s="30"/>
      <c r="G35" s="31"/>
      <c r="H35" s="31"/>
      <c r="I35" s="31">
        <f>1+910+54+1032+477</f>
        <v>2474</v>
      </c>
      <c r="J35" s="30">
        <f>968+56+843+733</f>
        <v>2600</v>
      </c>
      <c r="K35" s="31">
        <f>968+65+885+810</f>
        <v>2728</v>
      </c>
      <c r="L35" s="31">
        <f>1589+65+669+1095</f>
        <v>3418</v>
      </c>
      <c r="M35" s="31">
        <f>1646+65+915+891</f>
        <v>3517</v>
      </c>
      <c r="N35" s="30">
        <f>2299+70+660+966</f>
        <v>3995</v>
      </c>
      <c r="O35" s="31">
        <f>586+909+66+1883</f>
        <v>3444</v>
      </c>
      <c r="P35" s="31">
        <f>1678+640+877</f>
        <v>3195</v>
      </c>
      <c r="Q35" s="31">
        <f>1065+692+1497</f>
        <v>3254</v>
      </c>
      <c r="R35" s="30">
        <f>951+733+1312</f>
        <v>2996</v>
      </c>
    </row>
    <row r="36" spans="1:18" s="8" customFormat="1" x14ac:dyDescent="0.15">
      <c r="A36" s="8" t="s">
        <v>35</v>
      </c>
      <c r="B36" s="30"/>
      <c r="C36" s="31"/>
      <c r="D36" s="31"/>
      <c r="E36" s="31"/>
      <c r="F36" s="30"/>
      <c r="G36" s="31"/>
      <c r="H36" s="31"/>
      <c r="I36" s="31">
        <v>944</v>
      </c>
      <c r="J36" s="30">
        <v>1022</v>
      </c>
      <c r="K36" s="31">
        <v>0</v>
      </c>
      <c r="L36" s="31">
        <v>0</v>
      </c>
      <c r="M36" s="31">
        <v>0</v>
      </c>
      <c r="N36" s="30">
        <v>0</v>
      </c>
      <c r="O36" s="31">
        <v>0</v>
      </c>
      <c r="P36" s="31">
        <v>0</v>
      </c>
      <c r="Q36" s="31">
        <v>0</v>
      </c>
      <c r="R36" s="30">
        <v>0</v>
      </c>
    </row>
    <row r="37" spans="1:18" s="8" customFormat="1" x14ac:dyDescent="0.15">
      <c r="B37" s="30"/>
      <c r="C37" s="31"/>
      <c r="D37" s="31"/>
      <c r="E37" s="31"/>
      <c r="F37" s="30"/>
      <c r="G37" s="31"/>
      <c r="H37" s="31"/>
      <c r="I37" s="31"/>
      <c r="J37" s="30"/>
      <c r="K37" s="31"/>
      <c r="L37" s="31"/>
      <c r="M37" s="31"/>
      <c r="N37" s="30"/>
      <c r="O37" s="31"/>
      <c r="P37" s="31"/>
      <c r="Q37" s="31"/>
      <c r="R37" s="30"/>
    </row>
    <row r="38" spans="1:18" s="8" customFormat="1" x14ac:dyDescent="0.15">
      <c r="A38" s="47" t="s">
        <v>64</v>
      </c>
      <c r="B38" s="30"/>
      <c r="C38" s="31"/>
      <c r="D38" s="31"/>
      <c r="E38" s="31"/>
      <c r="F38" s="30"/>
      <c r="G38" s="31"/>
      <c r="H38" s="31"/>
      <c r="I38" s="44">
        <v>162</v>
      </c>
      <c r="J38" s="30">
        <v>161</v>
      </c>
      <c r="K38" s="31">
        <v>175</v>
      </c>
      <c r="L38" s="31">
        <v>173</v>
      </c>
      <c r="M38" s="31">
        <v>174</v>
      </c>
      <c r="N38" s="30">
        <f>424+54</f>
        <v>478</v>
      </c>
      <c r="O38" s="31">
        <f>464+55</f>
        <v>519</v>
      </c>
      <c r="P38" s="31">
        <f>489+58</f>
        <v>547</v>
      </c>
      <c r="Q38" s="31">
        <f>478+58</f>
        <v>536</v>
      </c>
      <c r="R38" s="30">
        <f>627+87</f>
        <v>714</v>
      </c>
    </row>
    <row r="39" spans="1:18" s="8" customFormat="1" x14ac:dyDescent="0.15">
      <c r="A39" s="47" t="s">
        <v>65</v>
      </c>
      <c r="B39" s="30"/>
      <c r="C39" s="31"/>
      <c r="D39" s="31"/>
      <c r="E39" s="31"/>
      <c r="F39" s="30"/>
      <c r="G39" s="31"/>
      <c r="H39" s="31"/>
      <c r="I39" s="44">
        <v>3107</v>
      </c>
      <c r="J39" s="30">
        <v>3202</v>
      </c>
      <c r="K39" s="31">
        <v>3360</v>
      </c>
      <c r="L39" s="31">
        <v>4133</v>
      </c>
      <c r="M39" s="31">
        <v>4336</v>
      </c>
      <c r="N39" s="30">
        <v>5593</v>
      </c>
      <c r="O39" s="31">
        <v>5113</v>
      </c>
      <c r="P39" s="31">
        <v>5036</v>
      </c>
      <c r="Q39" s="31">
        <v>5122</v>
      </c>
      <c r="R39" s="30">
        <v>5026</v>
      </c>
    </row>
    <row r="40" spans="1:18" s="8" customFormat="1" x14ac:dyDescent="0.15">
      <c r="A40" s="47" t="s">
        <v>66</v>
      </c>
      <c r="B40" s="30"/>
      <c r="C40" s="31"/>
      <c r="D40" s="31"/>
      <c r="E40" s="31"/>
      <c r="F40" s="30"/>
      <c r="G40" s="31"/>
      <c r="H40" s="31"/>
      <c r="I40" s="44">
        <v>2869</v>
      </c>
      <c r="J40" s="30">
        <v>3041</v>
      </c>
      <c r="K40" s="31">
        <v>2361</v>
      </c>
      <c r="L40" s="31">
        <v>2539</v>
      </c>
      <c r="M40" s="31">
        <v>2242</v>
      </c>
      <c r="N40" s="30">
        <v>3131</v>
      </c>
      <c r="O40" s="31">
        <v>3168</v>
      </c>
      <c r="P40" s="31">
        <v>3094</v>
      </c>
      <c r="Q40" s="31">
        <v>3085</v>
      </c>
      <c r="R40" s="30">
        <v>3013</v>
      </c>
    </row>
    <row r="41" spans="1:18" s="8" customFormat="1" x14ac:dyDescent="0.15">
      <c r="B41" s="30"/>
      <c r="C41" s="31"/>
      <c r="D41" s="31"/>
      <c r="E41" s="31"/>
      <c r="F41" s="30"/>
      <c r="G41" s="31"/>
      <c r="H41" s="31"/>
      <c r="I41" s="44"/>
      <c r="J41" s="30"/>
      <c r="K41" s="31"/>
      <c r="L41" s="31"/>
      <c r="M41" s="31"/>
      <c r="N41" s="30"/>
      <c r="O41" s="31"/>
      <c r="P41" s="31"/>
      <c r="Q41" s="31"/>
      <c r="R41" s="30"/>
    </row>
    <row r="42" spans="1:18" s="8" customFormat="1" x14ac:dyDescent="0.15">
      <c r="A42" s="47" t="s">
        <v>67</v>
      </c>
      <c r="B42" s="30"/>
      <c r="C42" s="31"/>
      <c r="D42" s="31"/>
      <c r="E42" s="31"/>
      <c r="F42" s="30"/>
      <c r="G42" s="31"/>
      <c r="H42" s="31"/>
      <c r="I42" s="34">
        <f t="shared" ref="I42:K42" si="47">I39-I35-I38</f>
        <v>471</v>
      </c>
      <c r="J42" s="35">
        <f t="shared" si="47"/>
        <v>441</v>
      </c>
      <c r="K42" s="34">
        <f t="shared" si="47"/>
        <v>457</v>
      </c>
      <c r="L42" s="34">
        <f t="shared" ref="L42:R42" si="48">L39-L35-L38</f>
        <v>542</v>
      </c>
      <c r="M42" s="34">
        <f t="shared" si="48"/>
        <v>645</v>
      </c>
      <c r="N42" s="35">
        <f t="shared" si="48"/>
        <v>1120</v>
      </c>
      <c r="O42" s="34">
        <f t="shared" si="48"/>
        <v>1150</v>
      </c>
      <c r="P42" s="34">
        <f t="shared" si="48"/>
        <v>1294</v>
      </c>
      <c r="Q42" s="34">
        <f t="shared" si="48"/>
        <v>1332</v>
      </c>
      <c r="R42" s="35">
        <f t="shared" si="48"/>
        <v>1316</v>
      </c>
    </row>
    <row r="43" spans="1:18" s="8" customFormat="1" x14ac:dyDescent="0.15">
      <c r="A43" s="47" t="s">
        <v>68</v>
      </c>
      <c r="B43" s="30"/>
      <c r="C43" s="31"/>
      <c r="D43" s="31"/>
      <c r="E43" s="31"/>
      <c r="F43" s="30"/>
      <c r="G43" s="31"/>
      <c r="H43" s="31"/>
      <c r="I43" s="34">
        <f t="shared" ref="I43:L43" si="49">I39-I40</f>
        <v>238</v>
      </c>
      <c r="J43" s="35">
        <f t="shared" si="49"/>
        <v>161</v>
      </c>
      <c r="K43" s="34">
        <f t="shared" si="49"/>
        <v>999</v>
      </c>
      <c r="L43" s="34">
        <f t="shared" si="49"/>
        <v>1594</v>
      </c>
      <c r="M43" s="34">
        <f t="shared" ref="M43:O43" si="50">M39-M40</f>
        <v>2094</v>
      </c>
      <c r="N43" s="35">
        <f t="shared" si="50"/>
        <v>2462</v>
      </c>
      <c r="O43" s="34">
        <f t="shared" si="50"/>
        <v>1945</v>
      </c>
      <c r="P43" s="34">
        <f t="shared" ref="P43:Q43" si="51">P39-P40</f>
        <v>1942</v>
      </c>
      <c r="Q43" s="34">
        <f t="shared" si="51"/>
        <v>2037</v>
      </c>
      <c r="R43" s="35">
        <f t="shared" ref="R43" si="52">R39-R40</f>
        <v>2013</v>
      </c>
    </row>
    <row r="44" spans="1:18" s="8" customFormat="1" x14ac:dyDescent="0.15">
      <c r="B44" s="30"/>
      <c r="C44" s="31"/>
      <c r="D44" s="31"/>
      <c r="E44" s="31"/>
      <c r="F44" s="30"/>
      <c r="G44" s="31"/>
      <c r="H44" s="31"/>
      <c r="I44" s="44"/>
      <c r="J44" s="30"/>
      <c r="K44" s="31"/>
      <c r="L44" s="31"/>
      <c r="M44" s="31"/>
      <c r="N44" s="30"/>
      <c r="O44" s="31"/>
      <c r="P44" s="31"/>
      <c r="Q44" s="31"/>
      <c r="R44" s="30"/>
    </row>
    <row r="45" spans="1:18" s="18" customFormat="1" x14ac:dyDescent="0.15">
      <c r="A45" s="45" t="s">
        <v>69</v>
      </c>
      <c r="B45" s="30"/>
      <c r="C45" s="31"/>
      <c r="D45" s="31"/>
      <c r="E45" s="31"/>
      <c r="F45" s="30"/>
      <c r="G45" s="31"/>
      <c r="H45" s="31"/>
      <c r="I45" s="32">
        <f t="shared" ref="I45:P45" si="53">SUM(F20:I20)</f>
        <v>-1235</v>
      </c>
      <c r="J45" s="33">
        <f t="shared" si="53"/>
        <v>-1231</v>
      </c>
      <c r="K45" s="32">
        <f t="shared" si="53"/>
        <v>-1437</v>
      </c>
      <c r="L45" s="32">
        <f t="shared" si="53"/>
        <v>-1116</v>
      </c>
      <c r="M45" s="32">
        <f t="shared" si="53"/>
        <v>-78</v>
      </c>
      <c r="N45" s="33">
        <f t="shared" si="53"/>
        <v>-51</v>
      </c>
      <c r="O45" s="32">
        <f t="shared" si="53"/>
        <v>267</v>
      </c>
      <c r="P45" s="32">
        <f t="shared" si="53"/>
        <v>465</v>
      </c>
      <c r="Q45" s="32">
        <f>SUM(N20:Q20)</f>
        <v>-186</v>
      </c>
      <c r="R45" s="33">
        <f>SUM(O20:R20)</f>
        <v>-43</v>
      </c>
    </row>
    <row r="46" spans="1:18" x14ac:dyDescent="0.15">
      <c r="A46" s="26" t="s">
        <v>70</v>
      </c>
      <c r="I46" s="40">
        <f t="shared" ref="I46:K46" si="54">I45/I43</f>
        <v>-5.1890756302521011</v>
      </c>
      <c r="J46" s="41">
        <f t="shared" si="54"/>
        <v>-7.645962732919255</v>
      </c>
      <c r="K46" s="40">
        <f t="shared" si="54"/>
        <v>-1.4384384384384385</v>
      </c>
      <c r="L46" s="40">
        <f t="shared" ref="L46:R46" si="55">L45/L43</f>
        <v>-0.70012547051442908</v>
      </c>
      <c r="M46" s="40">
        <f t="shared" si="55"/>
        <v>-3.7249283667621778E-2</v>
      </c>
      <c r="N46" s="41">
        <f t="shared" si="55"/>
        <v>-2.0714865962632008E-2</v>
      </c>
      <c r="O46" s="40">
        <f t="shared" si="55"/>
        <v>0.1372750642673522</v>
      </c>
      <c r="P46" s="40">
        <f t="shared" si="55"/>
        <v>0.23944387229660144</v>
      </c>
      <c r="Q46" s="40">
        <f t="shared" si="55"/>
        <v>-9.1310751104565532E-2</v>
      </c>
      <c r="R46" s="41">
        <f t="shared" si="55"/>
        <v>-2.1361152508693491E-2</v>
      </c>
    </row>
    <row r="47" spans="1:18" x14ac:dyDescent="0.15">
      <c r="A47" s="26" t="s">
        <v>71</v>
      </c>
      <c r="I47" s="40">
        <f t="shared" ref="I47:K47" si="56">I45/I39</f>
        <v>-0.39748953974895396</v>
      </c>
      <c r="J47" s="41">
        <f t="shared" si="56"/>
        <v>-0.38444722048719548</v>
      </c>
      <c r="K47" s="40">
        <f t="shared" si="56"/>
        <v>-0.42767857142857141</v>
      </c>
      <c r="L47" s="40">
        <f t="shared" ref="L47:R47" si="57">L45/L39</f>
        <v>-0.27002177594967336</v>
      </c>
      <c r="M47" s="40">
        <f t="shared" si="57"/>
        <v>-1.7988929889298892E-2</v>
      </c>
      <c r="N47" s="41">
        <f t="shared" si="57"/>
        <v>-9.11854103343465E-3</v>
      </c>
      <c r="O47" s="40">
        <f t="shared" si="57"/>
        <v>5.2219831801290827E-2</v>
      </c>
      <c r="P47" s="40">
        <f t="shared" si="57"/>
        <v>9.2335186656076249E-2</v>
      </c>
      <c r="Q47" s="40">
        <f t="shared" si="57"/>
        <v>-3.631393986723936E-2</v>
      </c>
      <c r="R47" s="41">
        <f t="shared" si="57"/>
        <v>-8.5555113410266618E-3</v>
      </c>
    </row>
    <row r="48" spans="1:18" x14ac:dyDescent="0.15">
      <c r="A48" s="26" t="s">
        <v>72</v>
      </c>
      <c r="I48" s="40">
        <f t="shared" ref="I48:K48" si="58">I45/(I43-I38)</f>
        <v>-16.25</v>
      </c>
      <c r="J48" s="41" t="e">
        <f>J45/(J43-J38)</f>
        <v>#DIV/0!</v>
      </c>
      <c r="K48" s="40">
        <f t="shared" si="58"/>
        <v>-1.7439320388349515</v>
      </c>
      <c r="L48" s="40">
        <f t="shared" ref="L48:R48" si="59">L45/(L43-L38)</f>
        <v>-0.78536242083040109</v>
      </c>
      <c r="M48" s="40">
        <f t="shared" si="59"/>
        <v>-4.0625000000000001E-2</v>
      </c>
      <c r="N48" s="41">
        <f t="shared" si="59"/>
        <v>-2.5705645161290324E-2</v>
      </c>
      <c r="O48" s="40">
        <f t="shared" si="59"/>
        <v>0.18723702664796635</v>
      </c>
      <c r="P48" s="40">
        <f t="shared" si="59"/>
        <v>0.33333333333333331</v>
      </c>
      <c r="Q48" s="40">
        <f t="shared" si="59"/>
        <v>-0.12391738840772819</v>
      </c>
      <c r="R48" s="41">
        <f t="shared" si="59"/>
        <v>-3.3102386451116246E-2</v>
      </c>
    </row>
    <row r="49" spans="1:19" x14ac:dyDescent="0.15">
      <c r="A49" s="26" t="s">
        <v>73</v>
      </c>
      <c r="I49" s="40">
        <f t="shared" ref="I49:K49" si="60">I45/I42</f>
        <v>-2.6220806794055203</v>
      </c>
      <c r="J49" s="41">
        <f t="shared" si="60"/>
        <v>-2.7913832199546484</v>
      </c>
      <c r="K49" s="40">
        <f t="shared" si="60"/>
        <v>-3.1444201312910285</v>
      </c>
      <c r="L49" s="40">
        <f t="shared" ref="L49:R49" si="61">L45/L42</f>
        <v>-2.0590405904059041</v>
      </c>
      <c r="M49" s="40">
        <f t="shared" si="61"/>
        <v>-0.12093023255813953</v>
      </c>
      <c r="N49" s="41">
        <f t="shared" si="61"/>
        <v>-4.5535714285714284E-2</v>
      </c>
      <c r="O49" s="40">
        <f t="shared" si="61"/>
        <v>0.23217391304347826</v>
      </c>
      <c r="P49" s="40">
        <f t="shared" si="61"/>
        <v>0.35935085007727974</v>
      </c>
      <c r="Q49" s="40">
        <f t="shared" si="61"/>
        <v>-0.13963963963963963</v>
      </c>
      <c r="R49" s="41">
        <f t="shared" si="61"/>
        <v>-3.2674772036474162E-2</v>
      </c>
    </row>
    <row r="51" spans="1:19" x14ac:dyDescent="0.15">
      <c r="A51" s="6" t="s">
        <v>86</v>
      </c>
      <c r="F51" s="41">
        <f t="shared" ref="F51:R52" si="62">F3/B3-1</f>
        <v>0.46289752650176674</v>
      </c>
      <c r="G51" s="40">
        <f t="shared" si="62"/>
        <v>0.40590979782270598</v>
      </c>
      <c r="H51" s="40">
        <f t="shared" si="62"/>
        <v>0.37147102526002973</v>
      </c>
      <c r="I51" s="40">
        <f t="shared" si="62"/>
        <v>0.31483870967741945</v>
      </c>
      <c r="J51" s="41">
        <f t="shared" si="62"/>
        <v>0.25241545893719808</v>
      </c>
      <c r="K51" s="40">
        <f t="shared" si="62"/>
        <v>0.27212389380530966</v>
      </c>
      <c r="L51" s="40">
        <f t="shared" si="62"/>
        <v>0.31094257854821228</v>
      </c>
      <c r="M51" s="40">
        <f t="shared" si="62"/>
        <v>0.2953876349362119</v>
      </c>
      <c r="N51" s="41">
        <f t="shared" si="62"/>
        <v>0.33558341369334621</v>
      </c>
      <c r="O51" s="40">
        <f t="shared" si="62"/>
        <v>0.30608695652173923</v>
      </c>
      <c r="P51" s="40">
        <f t="shared" si="62"/>
        <v>0.29008264462809907</v>
      </c>
      <c r="Q51" s="40">
        <f t="shared" si="62"/>
        <v>0.24090909090909096</v>
      </c>
      <c r="R51" s="41">
        <f t="shared" si="62"/>
        <v>0.22743682310469304</v>
      </c>
    </row>
    <row r="52" spans="1:19" x14ac:dyDescent="0.15">
      <c r="A52" s="6" t="s">
        <v>87</v>
      </c>
      <c r="F52" s="41">
        <f t="shared" si="62"/>
        <v>0.39622641509433953</v>
      </c>
      <c r="G52" s="40">
        <f t="shared" si="62"/>
        <v>0.45070422535211274</v>
      </c>
      <c r="H52" s="40">
        <f t="shared" si="62"/>
        <v>0.47297297297297303</v>
      </c>
      <c r="I52" s="40">
        <f t="shared" si="62"/>
        <v>0.34020618556701021</v>
      </c>
      <c r="J52" s="41">
        <f t="shared" si="62"/>
        <v>0.37837837837837829</v>
      </c>
      <c r="K52" s="40">
        <f t="shared" si="62"/>
        <v>0.19417475728155331</v>
      </c>
      <c r="L52" s="40">
        <f t="shared" si="62"/>
        <v>0.30275229357798161</v>
      </c>
      <c r="M52" s="40">
        <f t="shared" si="62"/>
        <v>0.34615384615384626</v>
      </c>
      <c r="N52" s="41">
        <f t="shared" si="62"/>
        <v>0.23529411764705888</v>
      </c>
      <c r="O52" s="40">
        <f t="shared" si="62"/>
        <v>0.34146341463414642</v>
      </c>
      <c r="P52" s="40">
        <f t="shared" si="62"/>
        <v>0.19718309859154926</v>
      </c>
      <c r="Q52" s="40">
        <f t="shared" si="62"/>
        <v>0.24</v>
      </c>
      <c r="R52" s="41">
        <f t="shared" si="62"/>
        <v>0.17460317460317465</v>
      </c>
    </row>
    <row r="53" spans="1:19" x14ac:dyDescent="0.15">
      <c r="R53" s="29"/>
    </row>
    <row r="54" spans="1:19" x14ac:dyDescent="0.15">
      <c r="A54" s="6" t="s">
        <v>85</v>
      </c>
      <c r="B54" s="41"/>
      <c r="C54" s="40"/>
      <c r="D54" s="40"/>
      <c r="E54" s="40"/>
      <c r="F54" s="41">
        <f t="shared" ref="F54:J54" si="63">F6/B6-1</f>
        <v>0.73333333333333339</v>
      </c>
      <c r="G54" s="40">
        <f t="shared" si="63"/>
        <v>0.63888888888888884</v>
      </c>
      <c r="H54" s="40">
        <f t="shared" si="63"/>
        <v>0.55000000000000004</v>
      </c>
      <c r="I54" s="40">
        <f t="shared" si="63"/>
        <v>0.47916666666666674</v>
      </c>
      <c r="J54" s="41">
        <f t="shared" si="63"/>
        <v>0.44230769230769229</v>
      </c>
      <c r="K54" s="40">
        <f t="shared" ref="K54:R55" si="64">K6/G6-1</f>
        <v>0.40677966101694918</v>
      </c>
      <c r="L54" s="40">
        <f t="shared" si="64"/>
        <v>0.40322580645161299</v>
      </c>
      <c r="M54" s="40">
        <f t="shared" si="64"/>
        <v>0.352112676056338</v>
      </c>
      <c r="N54" s="41">
        <f t="shared" si="64"/>
        <v>0.33333333333333326</v>
      </c>
      <c r="O54" s="40">
        <f t="shared" si="64"/>
        <v>0.3012048192771084</v>
      </c>
      <c r="P54" s="40">
        <f t="shared" si="64"/>
        <v>0.29885057471264376</v>
      </c>
      <c r="Q54" s="40">
        <f t="shared" si="64"/>
        <v>0.29166666666666674</v>
      </c>
      <c r="R54" s="41">
        <f t="shared" si="64"/>
        <v>0.30000000000000004</v>
      </c>
    </row>
    <row r="55" spans="1:19" x14ac:dyDescent="0.15">
      <c r="A55" s="6" t="s">
        <v>76</v>
      </c>
      <c r="B55" s="41"/>
      <c r="C55" s="40"/>
      <c r="D55" s="40"/>
      <c r="E55" s="40"/>
      <c r="F55" s="41">
        <f t="shared" ref="F55:J55" si="65">F7/B7-1</f>
        <v>-0.15931403007331923</v>
      </c>
      <c r="G55" s="40">
        <f t="shared" si="65"/>
        <v>-0.13943882637800875</v>
      </c>
      <c r="H55" s="40">
        <f t="shared" si="65"/>
        <v>-0.10869283585956735</v>
      </c>
      <c r="I55" s="40">
        <f t="shared" si="65"/>
        <v>-0.10918723349269932</v>
      </c>
      <c r="J55" s="41">
        <f t="shared" si="65"/>
        <v>-0.12449371766444939</v>
      </c>
      <c r="K55" s="40">
        <f t="shared" si="64"/>
        <v>-0.10138667879063423</v>
      </c>
      <c r="L55" s="40">
        <f t="shared" si="64"/>
        <v>-6.6381537913213884E-2</v>
      </c>
      <c r="M55" s="40">
        <f t="shared" si="64"/>
        <v>-3.7704888308674245E-2</v>
      </c>
      <c r="N55" s="41">
        <f t="shared" si="64"/>
        <v>-5.0482879719052631E-3</v>
      </c>
      <c r="O55" s="40">
        <f t="shared" si="64"/>
        <v>6.3789240929852387E-3</v>
      </c>
      <c r="P55" s="40">
        <f t="shared" si="64"/>
        <v>-1.4262711420641949E-2</v>
      </c>
      <c r="Q55" s="40">
        <f t="shared" si="64"/>
        <v>-3.9378573740425082E-2</v>
      </c>
      <c r="R55" s="41">
        <f t="shared" si="64"/>
        <v>-5.9206842132057291E-2</v>
      </c>
    </row>
    <row r="56" spans="1:19" s="50" customFormat="1" x14ac:dyDescent="0.15">
      <c r="B56" s="53"/>
      <c r="F56" s="53"/>
      <c r="J56" s="53"/>
      <c r="N56" s="53"/>
      <c r="Q56" s="50" t="s">
        <v>94</v>
      </c>
      <c r="R56" s="53" t="s">
        <v>96</v>
      </c>
      <c r="S56" s="50" t="s">
        <v>99</v>
      </c>
    </row>
    <row r="57" spans="1:19" s="8" customFormat="1" x14ac:dyDescent="0.15">
      <c r="A57" s="8" t="s">
        <v>83</v>
      </c>
      <c r="B57" s="30">
        <v>96</v>
      </c>
      <c r="C57" s="31">
        <v>104</v>
      </c>
      <c r="D57" s="31">
        <v>113</v>
      </c>
      <c r="E57" s="31">
        <v>123</v>
      </c>
      <c r="F57" s="30">
        <v>131</v>
      </c>
      <c r="G57" s="31">
        <v>138</v>
      </c>
      <c r="H57" s="31">
        <v>150</v>
      </c>
      <c r="I57" s="31">
        <v>157</v>
      </c>
      <c r="J57" s="30">
        <v>170</v>
      </c>
      <c r="K57" s="31">
        <v>180</v>
      </c>
      <c r="L57" s="31">
        <v>191</v>
      </c>
      <c r="M57" s="31">
        <v>207</v>
      </c>
      <c r="N57" s="30">
        <v>217</v>
      </c>
      <c r="O57" s="31">
        <v>191</v>
      </c>
      <c r="P57" s="31">
        <v>248</v>
      </c>
      <c r="Q57" s="31">
        <v>271</v>
      </c>
      <c r="R57" s="54">
        <v>286</v>
      </c>
    </row>
    <row r="58" spans="1:19" s="23" customFormat="1" x14ac:dyDescent="0.15">
      <c r="A58" s="23" t="s">
        <v>84</v>
      </c>
      <c r="B58" s="41"/>
      <c r="C58" s="40"/>
      <c r="D58" s="40"/>
      <c r="E58" s="40"/>
      <c r="F58" s="41">
        <f t="shared" ref="F58:I58" si="66">F57/B57-1</f>
        <v>0.36458333333333326</v>
      </c>
      <c r="G58" s="40">
        <f t="shared" si="66"/>
        <v>0.32692307692307687</v>
      </c>
      <c r="H58" s="40">
        <f t="shared" si="66"/>
        <v>0.32743362831858414</v>
      </c>
      <c r="I58" s="40">
        <f t="shared" si="66"/>
        <v>0.27642276422764223</v>
      </c>
      <c r="J58" s="41">
        <f t="shared" ref="J58:R58" si="67">J57/F57-1</f>
        <v>0.29770992366412208</v>
      </c>
      <c r="K58" s="40">
        <f t="shared" si="67"/>
        <v>0.30434782608695654</v>
      </c>
      <c r="L58" s="40">
        <f t="shared" si="67"/>
        <v>0.27333333333333343</v>
      </c>
      <c r="M58" s="40">
        <f t="shared" si="67"/>
        <v>0.31847133757961776</v>
      </c>
      <c r="N58" s="41">
        <f t="shared" si="67"/>
        <v>0.27647058823529402</v>
      </c>
      <c r="O58" s="40">
        <f t="shared" si="67"/>
        <v>6.1111111111111116E-2</v>
      </c>
      <c r="P58" s="40">
        <f t="shared" si="67"/>
        <v>0.29842931937172779</v>
      </c>
      <c r="Q58" s="40">
        <f t="shared" si="67"/>
        <v>0.3091787439613527</v>
      </c>
      <c r="R58" s="41">
        <f t="shared" si="67"/>
        <v>0.31797235023041481</v>
      </c>
    </row>
    <row r="59" spans="1:19" x14ac:dyDescent="0.15">
      <c r="R59" s="29"/>
    </row>
    <row r="60" spans="1:19" s="23" customFormat="1" x14ac:dyDescent="0.15">
      <c r="A60" s="23" t="s">
        <v>88</v>
      </c>
      <c r="B60" s="40">
        <f t="shared" ref="B60:L60" si="68">B6/B57</f>
        <v>0.3125</v>
      </c>
      <c r="C60" s="40">
        <f t="shared" si="68"/>
        <v>0.34615384615384615</v>
      </c>
      <c r="D60" s="40">
        <f t="shared" si="68"/>
        <v>0.35398230088495575</v>
      </c>
      <c r="E60" s="40">
        <f t="shared" si="68"/>
        <v>0.3902439024390244</v>
      </c>
      <c r="F60" s="41">
        <f t="shared" si="68"/>
        <v>0.39694656488549618</v>
      </c>
      <c r="G60" s="40">
        <f t="shared" si="68"/>
        <v>0.42753623188405798</v>
      </c>
      <c r="H60" s="40">
        <f t="shared" si="68"/>
        <v>0.41333333333333333</v>
      </c>
      <c r="I60" s="40">
        <f t="shared" si="68"/>
        <v>0.45222929936305734</v>
      </c>
      <c r="J60" s="41">
        <f t="shared" si="68"/>
        <v>0.44117647058823528</v>
      </c>
      <c r="K60" s="40">
        <f t="shared" si="68"/>
        <v>0.46111111111111114</v>
      </c>
      <c r="L60" s="40">
        <f t="shared" si="68"/>
        <v>0.45549738219895286</v>
      </c>
      <c r="M60" s="40">
        <f>M6/M57</f>
        <v>0.46376811594202899</v>
      </c>
      <c r="N60" s="41">
        <f>N6/N57</f>
        <v>0.46082949308755761</v>
      </c>
      <c r="O60" s="40">
        <f t="shared" ref="O60:Q60" si="69">O6/O57</f>
        <v>0.56544502617801051</v>
      </c>
      <c r="P60" s="40">
        <f t="shared" si="69"/>
        <v>0.45564516129032256</v>
      </c>
      <c r="Q60" s="40">
        <f t="shared" si="69"/>
        <v>0.45756457564575648</v>
      </c>
      <c r="R60" s="41">
        <f t="shared" ref="R60" si="70">R6/R57</f>
        <v>0.45454545454545453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9" sqref="B9"/>
    </sheetView>
  </sheetViews>
  <sheetFormatPr baseColWidth="10" defaultRowHeight="13" x14ac:dyDescent="0.15"/>
  <cols>
    <col min="1" max="16384" width="10.832031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EUR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2020-06-24T12:21:14Z</dcterms:modified>
</cp:coreProperties>
</file>