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24D44EDE-6768-FC46-AD3F-331DD2978511}" xr6:coauthVersionLast="45" xr6:coauthVersionMax="45" xr10:uidLastSave="{00000000-0000-0000-0000-000000000000}"/>
  <bookViews>
    <workbookView xWindow="0" yWindow="460" windowWidth="20280" windowHeight="2026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3" i="2"/>
  <c r="N61" i="1" l="1"/>
  <c r="N39" i="1"/>
  <c r="N43" i="1" s="1"/>
  <c r="N36" i="1"/>
  <c r="N55" i="1"/>
  <c r="N54" i="1"/>
  <c r="N53" i="1"/>
  <c r="N52" i="1"/>
  <c r="N46" i="1"/>
  <c r="N44" i="1"/>
  <c r="N35" i="1"/>
  <c r="N33" i="1"/>
  <c r="N32" i="1"/>
  <c r="N31" i="1"/>
  <c r="N30" i="1"/>
  <c r="N28" i="1"/>
  <c r="N27" i="1"/>
  <c r="N26" i="1"/>
  <c r="N22" i="1"/>
  <c r="N23" i="1" s="1"/>
  <c r="N20" i="1"/>
  <c r="N19" i="1"/>
  <c r="N17" i="1"/>
  <c r="N18" i="1" s="1"/>
  <c r="N16" i="1"/>
  <c r="N13" i="1"/>
  <c r="N11" i="1"/>
  <c r="F15" i="2"/>
  <c r="G15" i="2" s="1"/>
  <c r="H15" i="2" s="1"/>
  <c r="I15" i="2" s="1"/>
  <c r="E15" i="2"/>
  <c r="F12" i="2"/>
  <c r="G12" i="2" s="1"/>
  <c r="H12" i="2" s="1"/>
  <c r="I12" i="2" s="1"/>
  <c r="E12" i="2"/>
  <c r="D12" i="2"/>
  <c r="M39" i="1"/>
  <c r="M36" i="1"/>
  <c r="M20" i="1"/>
  <c r="M19" i="1"/>
  <c r="M17" i="1"/>
  <c r="M18" i="1" s="1"/>
  <c r="M13" i="1"/>
  <c r="M16" i="1"/>
  <c r="M11" i="1"/>
  <c r="N49" i="1" l="1"/>
  <c r="N48" i="1"/>
  <c r="N47" i="1"/>
  <c r="N50" i="1"/>
  <c r="F4" i="2"/>
  <c r="D51" i="2"/>
  <c r="D50" i="2"/>
  <c r="D47" i="2"/>
  <c r="D33" i="2"/>
  <c r="E33" i="2" s="1"/>
  <c r="D30" i="2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P41" i="2" s="1"/>
  <c r="D23" i="2"/>
  <c r="C51" i="2"/>
  <c r="C50" i="2"/>
  <c r="C47" i="2"/>
  <c r="C33" i="2"/>
  <c r="C30" i="2"/>
  <c r="C24" i="2"/>
  <c r="C23" i="2"/>
  <c r="C21" i="2"/>
  <c r="C15" i="2"/>
  <c r="C14" i="2"/>
  <c r="C13" i="2"/>
  <c r="C12" i="2"/>
  <c r="B33" i="2"/>
  <c r="B30" i="2"/>
  <c r="B28" i="2"/>
  <c r="B24" i="2"/>
  <c r="B23" i="2"/>
  <c r="B21" i="2"/>
  <c r="B14" i="2"/>
  <c r="B13" i="2"/>
  <c r="C62" i="2" s="1"/>
  <c r="B12" i="2"/>
  <c r="M32" i="1"/>
  <c r="M31" i="1"/>
  <c r="D15" i="2"/>
  <c r="D14" i="2"/>
  <c r="E14" i="2" s="1"/>
  <c r="F14" i="2" s="1"/>
  <c r="G14" i="2" s="1"/>
  <c r="H14" i="2" s="1"/>
  <c r="I14" i="2" s="1"/>
  <c r="D13" i="2"/>
  <c r="M55" i="1"/>
  <c r="M52" i="1"/>
  <c r="M54" i="1"/>
  <c r="M53" i="1"/>
  <c r="M61" i="1"/>
  <c r="M44" i="1"/>
  <c r="M35" i="1"/>
  <c r="I54" i="1"/>
  <c r="I53" i="1"/>
  <c r="H54" i="1"/>
  <c r="H53" i="1"/>
  <c r="G54" i="1"/>
  <c r="G53" i="1"/>
  <c r="F54" i="1"/>
  <c r="F53" i="1"/>
  <c r="I52" i="1"/>
  <c r="F61" i="1"/>
  <c r="G61" i="1"/>
  <c r="H61" i="1"/>
  <c r="I61" i="1"/>
  <c r="B16" i="1"/>
  <c r="B25" i="2" s="1"/>
  <c r="B11" i="1"/>
  <c r="C16" i="1"/>
  <c r="C11" i="1"/>
  <c r="D19" i="1"/>
  <c r="D16" i="1"/>
  <c r="D11" i="1"/>
  <c r="E11" i="1"/>
  <c r="E30" i="1" s="1"/>
  <c r="E16" i="1"/>
  <c r="E32" i="1"/>
  <c r="E31" i="1"/>
  <c r="E17" i="1"/>
  <c r="E33" i="1"/>
  <c r="I19" i="1"/>
  <c r="I16" i="1"/>
  <c r="I11" i="1"/>
  <c r="D20" i="2" l="1"/>
  <c r="E13" i="2"/>
  <c r="Q24" i="2"/>
  <c r="B20" i="2"/>
  <c r="R24" i="2"/>
  <c r="R41" i="2" s="1"/>
  <c r="Q41" i="2"/>
  <c r="D54" i="2"/>
  <c r="D62" i="2"/>
  <c r="D63" i="2"/>
  <c r="M43" i="1"/>
  <c r="C61" i="2"/>
  <c r="E23" i="2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D46" i="2"/>
  <c r="D45" i="2" s="1"/>
  <c r="E28" i="2" s="1"/>
  <c r="C63" i="2"/>
  <c r="D49" i="2"/>
  <c r="E64" i="2"/>
  <c r="G64" i="2"/>
  <c r="D64" i="2"/>
  <c r="C20" i="2"/>
  <c r="D61" i="2"/>
  <c r="E13" i="1"/>
  <c r="J39" i="1"/>
  <c r="J36" i="1"/>
  <c r="J35" i="1" s="1"/>
  <c r="F19" i="1"/>
  <c r="F16" i="1"/>
  <c r="F11" i="1"/>
  <c r="J19" i="1"/>
  <c r="J16" i="1"/>
  <c r="J61" i="1"/>
  <c r="J55" i="1"/>
  <c r="J54" i="1"/>
  <c r="J53" i="1"/>
  <c r="J52" i="1"/>
  <c r="J44" i="1"/>
  <c r="J33" i="1"/>
  <c r="J32" i="1"/>
  <c r="J31" i="1"/>
  <c r="J11" i="1"/>
  <c r="K61" i="1"/>
  <c r="K39" i="1"/>
  <c r="K36" i="1"/>
  <c r="K35" i="1" s="1"/>
  <c r="G19" i="1"/>
  <c r="G16" i="1"/>
  <c r="G11" i="1"/>
  <c r="K19" i="1"/>
  <c r="K16" i="1"/>
  <c r="K33" i="1" s="1"/>
  <c r="K55" i="1"/>
  <c r="K54" i="1"/>
  <c r="K53" i="1"/>
  <c r="K52" i="1"/>
  <c r="K44" i="1"/>
  <c r="K32" i="1"/>
  <c r="K31" i="1"/>
  <c r="K11" i="1"/>
  <c r="K13" i="1" s="1"/>
  <c r="L55" i="1"/>
  <c r="L54" i="1"/>
  <c r="I39" i="1"/>
  <c r="C49" i="2" s="1"/>
  <c r="I36" i="1"/>
  <c r="C46" i="2" s="1"/>
  <c r="L39" i="1"/>
  <c r="L36" i="1"/>
  <c r="L35" i="1" s="1"/>
  <c r="H19" i="1"/>
  <c r="H16" i="1"/>
  <c r="H11" i="1"/>
  <c r="L19" i="1"/>
  <c r="L16" i="1"/>
  <c r="M33" i="1" s="1"/>
  <c r="L11" i="1"/>
  <c r="L61" i="1"/>
  <c r="L53" i="1"/>
  <c r="L52" i="1"/>
  <c r="L44" i="1"/>
  <c r="L32" i="1"/>
  <c r="L31" i="1"/>
  <c r="F13" i="2" l="1"/>
  <c r="E20" i="2"/>
  <c r="E39" i="2" s="1"/>
  <c r="E61" i="2"/>
  <c r="D53" i="2"/>
  <c r="F64" i="2"/>
  <c r="E62" i="2"/>
  <c r="M30" i="1"/>
  <c r="L33" i="1"/>
  <c r="J17" i="1"/>
  <c r="D25" i="2"/>
  <c r="E63" i="2"/>
  <c r="L43" i="1"/>
  <c r="D28" i="2"/>
  <c r="L17" i="1"/>
  <c r="C25" i="2"/>
  <c r="K43" i="1"/>
  <c r="C28" i="2"/>
  <c r="K17" i="1"/>
  <c r="K18" i="1" s="1"/>
  <c r="E26" i="1"/>
  <c r="E18" i="1"/>
  <c r="J43" i="1"/>
  <c r="J13" i="1"/>
  <c r="K26" i="1"/>
  <c r="H17" i="1"/>
  <c r="I17" i="1"/>
  <c r="F33" i="2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I43" i="1"/>
  <c r="I44" i="1"/>
  <c r="I35" i="1"/>
  <c r="I33" i="1"/>
  <c r="F52" i="1"/>
  <c r="J30" i="1"/>
  <c r="F17" i="1"/>
  <c r="F33" i="1"/>
  <c r="F32" i="1"/>
  <c r="F31" i="1"/>
  <c r="G52" i="1"/>
  <c r="G17" i="1"/>
  <c r="G33" i="1"/>
  <c r="G32" i="1"/>
  <c r="G31" i="1"/>
  <c r="K30" i="1"/>
  <c r="C13" i="1"/>
  <c r="B17" i="1"/>
  <c r="C17" i="1"/>
  <c r="D17" i="1"/>
  <c r="I31" i="1"/>
  <c r="I32" i="1"/>
  <c r="H52" i="1"/>
  <c r="H33" i="1"/>
  <c r="H32" i="1"/>
  <c r="H31" i="1"/>
  <c r="C4" i="2"/>
  <c r="D31" i="1"/>
  <c r="B31" i="1"/>
  <c r="C31" i="1"/>
  <c r="B32" i="1"/>
  <c r="C32" i="1"/>
  <c r="D32" i="1"/>
  <c r="B33" i="1"/>
  <c r="C33" i="1"/>
  <c r="D33" i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G13" i="2" l="1"/>
  <c r="F20" i="2"/>
  <c r="F39" i="2" s="1"/>
  <c r="H64" i="2"/>
  <c r="P11" i="2"/>
  <c r="Q11" i="2" s="1"/>
  <c r="R11" i="2" s="1"/>
  <c r="S11" i="2" s="1"/>
  <c r="T11" i="2" s="1"/>
  <c r="P40" i="2"/>
  <c r="F61" i="2"/>
  <c r="F62" i="2"/>
  <c r="G62" i="2"/>
  <c r="E25" i="2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D26" i="2"/>
  <c r="D42" i="2"/>
  <c r="F63" i="2"/>
  <c r="G61" i="2"/>
  <c r="I64" i="2"/>
  <c r="C45" i="2"/>
  <c r="C54" i="2"/>
  <c r="E27" i="1"/>
  <c r="E20" i="1"/>
  <c r="J26" i="1"/>
  <c r="J18" i="1"/>
  <c r="K27" i="1"/>
  <c r="K20" i="1"/>
  <c r="H30" i="1"/>
  <c r="C26" i="2"/>
  <c r="L30" i="1"/>
  <c r="L13" i="1"/>
  <c r="C6" i="2"/>
  <c r="C7" i="2" s="1"/>
  <c r="D40" i="2"/>
  <c r="B30" i="1"/>
  <c r="D41" i="2"/>
  <c r="I13" i="1"/>
  <c r="C18" i="1"/>
  <c r="C26" i="1"/>
  <c r="F13" i="1"/>
  <c r="F30" i="1"/>
  <c r="G13" i="1"/>
  <c r="G30" i="1"/>
  <c r="C30" i="1"/>
  <c r="B13" i="1"/>
  <c r="I30" i="1"/>
  <c r="D13" i="1"/>
  <c r="H13" i="1"/>
  <c r="C42" i="2"/>
  <c r="C53" i="2"/>
  <c r="H13" i="2" l="1"/>
  <c r="G20" i="2"/>
  <c r="Q40" i="2"/>
  <c r="G63" i="2"/>
  <c r="D43" i="2"/>
  <c r="I26" i="2"/>
  <c r="H61" i="2"/>
  <c r="E22" i="1"/>
  <c r="E23" i="1" s="1"/>
  <c r="E28" i="1"/>
  <c r="J27" i="1"/>
  <c r="J20" i="1"/>
  <c r="K28" i="1"/>
  <c r="K22" i="1"/>
  <c r="L26" i="1"/>
  <c r="L18" i="1"/>
  <c r="D30" i="1"/>
  <c r="C41" i="2"/>
  <c r="E42" i="2"/>
  <c r="B18" i="1"/>
  <c r="B26" i="1"/>
  <c r="G18" i="1"/>
  <c r="G26" i="1"/>
  <c r="C20" i="1"/>
  <c r="C27" i="1"/>
  <c r="I18" i="1"/>
  <c r="I26" i="1"/>
  <c r="B26" i="2"/>
  <c r="C43" i="2" s="1"/>
  <c r="C40" i="2"/>
  <c r="E41" i="2"/>
  <c r="D26" i="1"/>
  <c r="D18" i="1"/>
  <c r="E26" i="2"/>
  <c r="E43" i="2" s="1"/>
  <c r="E40" i="2"/>
  <c r="F18" i="1"/>
  <c r="F26" i="1"/>
  <c r="H18" i="1"/>
  <c r="H26" i="1"/>
  <c r="I13" i="2" l="1"/>
  <c r="H62" i="2"/>
  <c r="H20" i="2"/>
  <c r="P42" i="2"/>
  <c r="P26" i="2"/>
  <c r="R40" i="2"/>
  <c r="D21" i="2"/>
  <c r="D22" i="2" s="1"/>
  <c r="D27" i="2" s="1"/>
  <c r="D29" i="2" s="1"/>
  <c r="M26" i="1"/>
  <c r="I63" i="2"/>
  <c r="H63" i="2"/>
  <c r="I61" i="2"/>
  <c r="C39" i="2"/>
  <c r="J22" i="1"/>
  <c r="J28" i="1"/>
  <c r="K23" i="1"/>
  <c r="L27" i="1"/>
  <c r="L20" i="1"/>
  <c r="I20" i="1"/>
  <c r="I27" i="1"/>
  <c r="C22" i="1"/>
  <c r="C28" i="1"/>
  <c r="H20" i="1"/>
  <c r="H27" i="1"/>
  <c r="G27" i="1"/>
  <c r="G20" i="1"/>
  <c r="F27" i="1"/>
  <c r="F20" i="1"/>
  <c r="F42" i="2"/>
  <c r="D27" i="1"/>
  <c r="D20" i="1"/>
  <c r="F41" i="2"/>
  <c r="C22" i="2"/>
  <c r="B20" i="1"/>
  <c r="B27" i="1"/>
  <c r="F40" i="2"/>
  <c r="F26" i="2"/>
  <c r="F43" i="2" s="1"/>
  <c r="I62" i="2" l="1"/>
  <c r="I20" i="2"/>
  <c r="J20" i="2" s="1"/>
  <c r="K20" i="2" s="1"/>
  <c r="L20" i="2" s="1"/>
  <c r="M20" i="2" s="1"/>
  <c r="N20" i="2" s="1"/>
  <c r="O20" i="2" s="1"/>
  <c r="P20" i="2" s="1"/>
  <c r="Q42" i="2"/>
  <c r="Q26" i="2"/>
  <c r="Q43" i="2" s="1"/>
  <c r="M27" i="1"/>
  <c r="B22" i="2"/>
  <c r="B35" i="2" s="1"/>
  <c r="J23" i="1"/>
  <c r="L28" i="1"/>
  <c r="L22" i="1"/>
  <c r="G26" i="2"/>
  <c r="G43" i="2" s="1"/>
  <c r="G40" i="2"/>
  <c r="C27" i="2"/>
  <c r="C35" i="2"/>
  <c r="D39" i="2"/>
  <c r="H22" i="1"/>
  <c r="H23" i="1" s="1"/>
  <c r="H28" i="1"/>
  <c r="C23" i="1"/>
  <c r="I28" i="1"/>
  <c r="I22" i="1"/>
  <c r="I23" i="1" s="1"/>
  <c r="D28" i="1"/>
  <c r="D22" i="1"/>
  <c r="F28" i="1"/>
  <c r="F22" i="1"/>
  <c r="G22" i="1"/>
  <c r="G23" i="1" s="1"/>
  <c r="G28" i="1"/>
  <c r="G41" i="2"/>
  <c r="B28" i="1"/>
  <c r="B22" i="1"/>
  <c r="G42" i="2"/>
  <c r="R42" i="2" l="1"/>
  <c r="R26" i="2"/>
  <c r="R43" i="2" s="1"/>
  <c r="Q20" i="2"/>
  <c r="P39" i="2"/>
  <c r="M28" i="1"/>
  <c r="M22" i="1"/>
  <c r="M23" i="1" s="1"/>
  <c r="B27" i="2"/>
  <c r="B29" i="2" s="1"/>
  <c r="J46" i="1"/>
  <c r="J49" i="1" s="1"/>
  <c r="K46" i="1"/>
  <c r="L23" i="1"/>
  <c r="L46" i="1"/>
  <c r="I46" i="1"/>
  <c r="F23" i="1"/>
  <c r="H26" i="2"/>
  <c r="H43" i="2" s="1"/>
  <c r="H40" i="2"/>
  <c r="H42" i="2"/>
  <c r="H41" i="2"/>
  <c r="D23" i="1"/>
  <c r="C36" i="2"/>
  <c r="C29" i="2"/>
  <c r="B23" i="1"/>
  <c r="R20" i="2" l="1"/>
  <c r="Q39" i="2"/>
  <c r="M46" i="1"/>
  <c r="B36" i="2"/>
  <c r="J47" i="1"/>
  <c r="J50" i="1"/>
  <c r="J48" i="1"/>
  <c r="K49" i="1"/>
  <c r="K47" i="1"/>
  <c r="K48" i="1"/>
  <c r="K50" i="1"/>
  <c r="D35" i="2"/>
  <c r="L48" i="1"/>
  <c r="L50" i="1"/>
  <c r="L49" i="1"/>
  <c r="L47" i="1"/>
  <c r="I41" i="2"/>
  <c r="I50" i="1"/>
  <c r="I49" i="1"/>
  <c r="I48" i="1"/>
  <c r="I47" i="1"/>
  <c r="I42" i="2"/>
  <c r="C31" i="2"/>
  <c r="C37" i="2"/>
  <c r="I40" i="2"/>
  <c r="I43" i="2"/>
  <c r="B37" i="2"/>
  <c r="D36" i="2"/>
  <c r="R39" i="2" l="1"/>
  <c r="M49" i="1"/>
  <c r="M48" i="1"/>
  <c r="M50" i="1"/>
  <c r="M47" i="1"/>
  <c r="E22" i="2"/>
  <c r="E21" i="2" s="1"/>
  <c r="C59" i="2"/>
  <c r="C58" i="2"/>
  <c r="C57" i="2"/>
  <c r="C56" i="2"/>
  <c r="C32" i="2"/>
  <c r="J42" i="2"/>
  <c r="J41" i="2"/>
  <c r="J26" i="2"/>
  <c r="J43" i="2" s="1"/>
  <c r="J40" i="2"/>
  <c r="D37" i="2"/>
  <c r="G39" i="2"/>
  <c r="B31" i="2"/>
  <c r="B32" i="2" s="1"/>
  <c r="E35" i="2" l="1"/>
  <c r="F22" i="2" s="1"/>
  <c r="F21" i="2" s="1"/>
  <c r="E27" i="2"/>
  <c r="E36" i="2" s="1"/>
  <c r="D31" i="2"/>
  <c r="D32" i="2" s="1"/>
  <c r="K41" i="2"/>
  <c r="K42" i="2"/>
  <c r="H39" i="2"/>
  <c r="K40" i="2"/>
  <c r="K26" i="2"/>
  <c r="K43" i="2" s="1"/>
  <c r="F27" i="2" l="1"/>
  <c r="F36" i="2" s="1"/>
  <c r="F35" i="2"/>
  <c r="G22" i="2" s="1"/>
  <c r="G27" i="2" s="1"/>
  <c r="G36" i="2" s="1"/>
  <c r="D57" i="2"/>
  <c r="D58" i="2"/>
  <c r="D59" i="2"/>
  <c r="D56" i="2"/>
  <c r="L42" i="2"/>
  <c r="L26" i="2"/>
  <c r="L43" i="2" s="1"/>
  <c r="L40" i="2"/>
  <c r="I39" i="2"/>
  <c r="E29" i="2"/>
  <c r="E30" i="2" s="1"/>
  <c r="L41" i="2"/>
  <c r="G21" i="2" l="1"/>
  <c r="G35" i="2"/>
  <c r="H22" i="2" s="1"/>
  <c r="H21" i="2" s="1"/>
  <c r="E37" i="2"/>
  <c r="J39" i="2"/>
  <c r="M40" i="2"/>
  <c r="M26" i="2"/>
  <c r="M43" i="2" s="1"/>
  <c r="M41" i="2"/>
  <c r="M42" i="2"/>
  <c r="H35" i="2" l="1"/>
  <c r="I22" i="2" s="1"/>
  <c r="I27" i="2" s="1"/>
  <c r="I36" i="2" s="1"/>
  <c r="H27" i="2"/>
  <c r="H36" i="2" s="1"/>
  <c r="E31" i="2"/>
  <c r="E45" i="2" s="1"/>
  <c r="N41" i="2"/>
  <c r="O41" i="2"/>
  <c r="N40" i="2"/>
  <c r="N26" i="2"/>
  <c r="N43" i="2" s="1"/>
  <c r="K39" i="2"/>
  <c r="N42" i="2"/>
  <c r="O42" i="2"/>
  <c r="I35" i="2" l="1"/>
  <c r="J22" i="2" s="1"/>
  <c r="I21" i="2"/>
  <c r="E32" i="2"/>
  <c r="F28" i="2"/>
  <c r="F29" i="2" s="1"/>
  <c r="L39" i="2"/>
  <c r="O40" i="2"/>
  <c r="O26" i="2"/>
  <c r="O43" i="2" l="1"/>
  <c r="P43" i="2"/>
  <c r="J21" i="2"/>
  <c r="J35" i="2"/>
  <c r="K22" i="2" s="1"/>
  <c r="J27" i="2"/>
  <c r="J36" i="2" s="1"/>
  <c r="M39" i="2"/>
  <c r="F30" i="2"/>
  <c r="F37" i="2" s="1"/>
  <c r="K21" i="2" l="1"/>
  <c r="K27" i="2"/>
  <c r="K36" i="2" s="1"/>
  <c r="K35" i="2"/>
  <c r="L22" i="2" s="1"/>
  <c r="F31" i="2"/>
  <c r="N39" i="2"/>
  <c r="L21" i="2" l="1"/>
  <c r="L35" i="2"/>
  <c r="M22" i="2" s="1"/>
  <c r="L27" i="2"/>
  <c r="L36" i="2" s="1"/>
  <c r="F32" i="2"/>
  <c r="F45" i="2"/>
  <c r="G28" i="2" s="1"/>
  <c r="G29" i="2" s="1"/>
  <c r="O39" i="2"/>
  <c r="M35" i="2" l="1"/>
  <c r="N22" i="2" s="1"/>
  <c r="M27" i="2"/>
  <c r="M36" i="2" s="1"/>
  <c r="M21" i="2"/>
  <c r="G30" i="2"/>
  <c r="G37" i="2" s="1"/>
  <c r="N21" i="2" l="1"/>
  <c r="N27" i="2"/>
  <c r="N36" i="2" s="1"/>
  <c r="N35" i="2"/>
  <c r="O22" i="2" s="1"/>
  <c r="G31" i="2"/>
  <c r="O21" i="2" l="1"/>
  <c r="O35" i="2"/>
  <c r="P22" i="2" s="1"/>
  <c r="O27" i="2"/>
  <c r="O36" i="2" s="1"/>
  <c r="G32" i="2"/>
  <c r="G45" i="2"/>
  <c r="H28" i="2" s="1"/>
  <c r="H29" i="2" s="1"/>
  <c r="P27" i="2" l="1"/>
  <c r="P35" i="2"/>
  <c r="Q22" i="2" s="1"/>
  <c r="P21" i="2"/>
  <c r="H30" i="2"/>
  <c r="H37" i="2" s="1"/>
  <c r="Q27" i="2" l="1"/>
  <c r="Q35" i="2"/>
  <c r="R22" i="2" s="1"/>
  <c r="Q21" i="2"/>
  <c r="P36" i="2"/>
  <c r="H31" i="2"/>
  <c r="R35" i="2" l="1"/>
  <c r="R27" i="2"/>
  <c r="R21" i="2"/>
  <c r="Q36" i="2"/>
  <c r="H32" i="2"/>
  <c r="H45" i="2"/>
  <c r="I28" i="2" s="1"/>
  <c r="I29" i="2" s="1"/>
  <c r="R36" i="2" l="1"/>
  <c r="I30" i="2"/>
  <c r="I37" i="2" s="1"/>
  <c r="I31" i="2" l="1"/>
  <c r="I32" i="2" l="1"/>
  <c r="I45" i="2"/>
  <c r="J28" i="2" s="1"/>
  <c r="J29" i="2" s="1"/>
  <c r="J30" i="2" l="1"/>
  <c r="J37" i="2" s="1"/>
  <c r="J31" i="2" l="1"/>
  <c r="J32" i="2" l="1"/>
  <c r="J45" i="2"/>
  <c r="K28" i="2" l="1"/>
  <c r="K29" i="2" s="1"/>
  <c r="K30" i="2" l="1"/>
  <c r="K37" i="2" s="1"/>
  <c r="K31" i="2" l="1"/>
  <c r="K32" i="2" s="1"/>
  <c r="K45" i="2" l="1"/>
  <c r="L28" i="2"/>
  <c r="L29" i="2" s="1"/>
  <c r="L30" i="2" l="1"/>
  <c r="L37" i="2" s="1"/>
  <c r="L31" i="2" l="1"/>
  <c r="L32" i="2"/>
  <c r="L45" i="2"/>
  <c r="M28" i="2" l="1"/>
  <c r="M29" i="2" s="1"/>
  <c r="M30" i="2" l="1"/>
  <c r="M37" i="2" s="1"/>
  <c r="M31" i="2"/>
  <c r="M32" i="2" l="1"/>
  <c r="M45" i="2"/>
  <c r="N28" i="2" l="1"/>
  <c r="N29" i="2" s="1"/>
  <c r="N30" i="2" l="1"/>
  <c r="N37" i="2" s="1"/>
  <c r="N31" i="2" l="1"/>
  <c r="N32" i="2" s="1"/>
  <c r="N45" i="2" l="1"/>
  <c r="O28" i="2" s="1"/>
  <c r="O29" i="2" s="1"/>
  <c r="O30" i="2" l="1"/>
  <c r="O37" i="2" s="1"/>
  <c r="O31" i="2"/>
  <c r="O32" i="2" l="1"/>
  <c r="O45" i="2"/>
  <c r="P28" i="2" l="1"/>
  <c r="P29" i="2" s="1"/>
  <c r="P30" i="2" l="1"/>
  <c r="P37" i="2" s="1"/>
  <c r="P31" i="2"/>
  <c r="P32" i="2" l="1"/>
  <c r="P45" i="2"/>
  <c r="Q28" i="2" l="1"/>
  <c r="Q29" i="2" s="1"/>
  <c r="Q30" i="2" l="1"/>
  <c r="Q37" i="2" s="1"/>
  <c r="Q31" i="2"/>
  <c r="Q32" i="2" l="1"/>
  <c r="Q45" i="2"/>
  <c r="R28" i="2" l="1"/>
  <c r="R29" i="2" s="1"/>
  <c r="R30" i="2" l="1"/>
  <c r="R37" i="2" s="1"/>
  <c r="R31" i="2"/>
  <c r="S31" i="2" l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EG31" i="2" s="1"/>
  <c r="EH31" i="2" s="1"/>
  <c r="EI31" i="2" s="1"/>
  <c r="EJ31" i="2" s="1"/>
  <c r="EK31" i="2" s="1"/>
  <c r="EL31" i="2" s="1"/>
  <c r="EM31" i="2" s="1"/>
  <c r="EN31" i="2" s="1"/>
  <c r="EO31" i="2" s="1"/>
  <c r="EP31" i="2" s="1"/>
  <c r="EQ31" i="2" s="1"/>
  <c r="ER31" i="2" s="1"/>
  <c r="ES31" i="2" s="1"/>
  <c r="ET31" i="2" s="1"/>
  <c r="EU31" i="2" s="1"/>
  <c r="EV31" i="2" s="1"/>
  <c r="EW31" i="2" s="1"/>
  <c r="EX31" i="2" s="1"/>
  <c r="EY31" i="2" s="1"/>
  <c r="EZ31" i="2" s="1"/>
  <c r="FA31" i="2" s="1"/>
  <c r="FB31" i="2" s="1"/>
  <c r="FC31" i="2" s="1"/>
  <c r="FD31" i="2" s="1"/>
  <c r="FE31" i="2" s="1"/>
  <c r="FF31" i="2" s="1"/>
  <c r="FG31" i="2" s="1"/>
  <c r="FH31" i="2" s="1"/>
  <c r="FI31" i="2" s="1"/>
  <c r="FJ31" i="2" s="1"/>
  <c r="FK31" i="2" s="1"/>
  <c r="FL31" i="2" s="1"/>
  <c r="FM31" i="2" s="1"/>
  <c r="FN31" i="2" s="1"/>
  <c r="FO31" i="2" s="1"/>
  <c r="FP31" i="2" s="1"/>
  <c r="FQ31" i="2" s="1"/>
  <c r="FR31" i="2" s="1"/>
  <c r="FS31" i="2" s="1"/>
  <c r="FT31" i="2" s="1"/>
  <c r="FU31" i="2" s="1"/>
  <c r="FV31" i="2" s="1"/>
  <c r="FW31" i="2" s="1"/>
  <c r="FX31" i="2" s="1"/>
  <c r="FY31" i="2" s="1"/>
  <c r="FZ31" i="2" s="1"/>
  <c r="GA31" i="2" s="1"/>
  <c r="GB31" i="2" s="1"/>
  <c r="GC31" i="2" s="1"/>
  <c r="GD31" i="2" s="1"/>
  <c r="GE31" i="2" s="1"/>
  <c r="GF31" i="2" s="1"/>
  <c r="GG31" i="2" s="1"/>
  <c r="GH31" i="2" s="1"/>
  <c r="GI31" i="2" s="1"/>
  <c r="GJ31" i="2" s="1"/>
  <c r="GK31" i="2" s="1"/>
  <c r="GL31" i="2" s="1"/>
  <c r="GM31" i="2" s="1"/>
  <c r="GN31" i="2" s="1"/>
  <c r="GO31" i="2" s="1"/>
  <c r="GP31" i="2" s="1"/>
  <c r="GQ31" i="2" s="1"/>
  <c r="GR31" i="2" s="1"/>
  <c r="GS31" i="2" s="1"/>
  <c r="GT31" i="2" s="1"/>
  <c r="GU31" i="2" s="1"/>
  <c r="GV31" i="2" s="1"/>
  <c r="GW31" i="2" s="1"/>
  <c r="GX31" i="2" s="1"/>
  <c r="GY31" i="2" s="1"/>
  <c r="GZ31" i="2" s="1"/>
  <c r="HA31" i="2" s="1"/>
  <c r="HB31" i="2" s="1"/>
  <c r="HC31" i="2" s="1"/>
  <c r="HD31" i="2" s="1"/>
  <c r="HE31" i="2" s="1"/>
  <c r="HF31" i="2" s="1"/>
  <c r="HG31" i="2" s="1"/>
  <c r="HH31" i="2" s="1"/>
  <c r="HI31" i="2" s="1"/>
  <c r="HJ31" i="2" s="1"/>
  <c r="HK31" i="2" s="1"/>
  <c r="HL31" i="2" s="1"/>
  <c r="HM31" i="2" s="1"/>
  <c r="HN31" i="2" s="1"/>
  <c r="HO31" i="2" s="1"/>
  <c r="HP31" i="2" s="1"/>
  <c r="HQ31" i="2" s="1"/>
  <c r="HR31" i="2" s="1"/>
  <c r="HS31" i="2" s="1"/>
  <c r="HT31" i="2" s="1"/>
  <c r="HU31" i="2" s="1"/>
  <c r="HV31" i="2" s="1"/>
  <c r="HW31" i="2" s="1"/>
  <c r="HX31" i="2" s="1"/>
  <c r="HY31" i="2" s="1"/>
  <c r="HZ31" i="2" s="1"/>
  <c r="IA31" i="2" s="1"/>
  <c r="IB31" i="2" s="1"/>
  <c r="IC31" i="2" s="1"/>
  <c r="ID31" i="2" s="1"/>
  <c r="IE31" i="2" s="1"/>
  <c r="IF31" i="2" s="1"/>
  <c r="IG31" i="2" s="1"/>
  <c r="IH31" i="2" s="1"/>
  <c r="II31" i="2" s="1"/>
  <c r="R32" i="2"/>
  <c r="R45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<sst xmlns="http://schemas.openxmlformats.org/spreadsheetml/2006/main" count="157" uniqueCount="106">
  <si>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</si>
  <si>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</si>
  <si>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</si>
  <si>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</si>
  <si>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</si>
  <si>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</si>
  <si>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</si>
  <si>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</si>
  <si>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</si>
  <si>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</si>
  <si>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</si>
  <si>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</si>
  <si>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</si>
  <si>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</si>
  <si>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</si>
  <si>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</si>
  <si>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</si>
  <si>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</si>
  <si>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</si>
  <si>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</si>
  <si>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</si>
  <si>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</si>
  <si>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30/9/2017</t>
  </si>
  <si>
    <t>30/6/2017</t>
  </si>
  <si>
    <t>31/3/2017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</si>
  <si>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</si>
  <si>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</si>
  <si>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</si>
  <si>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</si>
  <si>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</si>
  <si>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</si>
  <si>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</si>
  <si>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</si>
  <si>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</si>
  <si>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</si>
  <si>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</si>
  <si>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</si>
  <si>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</si>
  <si>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</si>
  <si>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</si>
  <si>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</si>
  <si>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</si>
  <si>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MAU</t>
  </si>
  <si>
    <t>R&amp;D y/y</t>
  </si>
  <si>
    <t>S&amp;M y/y</t>
  </si>
  <si>
    <t>G&amp;A y/y</t>
  </si>
  <si>
    <t>EDGAR</t>
  </si>
  <si>
    <t>Investor Relations</t>
  </si>
  <si>
    <t>CEO</t>
  </si>
  <si>
    <t>Founder</t>
  </si>
  <si>
    <t>Jack Dorsey</t>
  </si>
  <si>
    <t>Price</t>
  </si>
  <si>
    <t>Market Cap</t>
  </si>
  <si>
    <t>EV</t>
  </si>
  <si>
    <t>per share</t>
  </si>
  <si>
    <t>ARPU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</si>
  <si>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</si>
  <si>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</si>
  <si>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</si>
  <si>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</si>
  <si>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</si>
  <si>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</si>
  <si>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</si>
  <si>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</si>
  <si>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</si>
  <si>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ARPU y/y</t>
  </si>
  <si>
    <t>NI 12M</t>
  </si>
  <si>
    <t>MAU y/y</t>
  </si>
  <si>
    <t>Square, Inc (SQ)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</si>
  <si>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</si>
  <si>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</si>
  <si>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</si>
  <si>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</si>
  <si>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</si>
  <si>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</si>
  <si>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</si>
  <si>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</si>
  <si>
    <t>Transactions</t>
  </si>
  <si>
    <t>Subscriptions</t>
  </si>
  <si>
    <t>Hardware</t>
  </si>
  <si>
    <t>Bitcoin</t>
  </si>
  <si>
    <t>Gross Payment Volume</t>
  </si>
  <si>
    <t>Gross Payment Volume y/y</t>
  </si>
  <si>
    <t>Transactions y/y</t>
  </si>
  <si>
    <t>Subscriptions y/y</t>
  </si>
  <si>
    <t>Hardware y/y</t>
  </si>
  <si>
    <t>Bitcoin y/y</t>
  </si>
  <si>
    <t>Jim McKelvey</t>
  </si>
  <si>
    <t>Tristan O'Tierney</t>
  </si>
  <si>
    <t>OE y/y</t>
  </si>
  <si>
    <t>Products</t>
  </si>
  <si>
    <t>Square Reader</t>
  </si>
  <si>
    <t>Mobile payment card reader</t>
  </si>
  <si>
    <t>Square Stand</t>
  </si>
  <si>
    <t>Point of sale system</t>
  </si>
  <si>
    <t>Cash App</t>
  </si>
  <si>
    <t>Person-to-person money transfers, bitcoin trading, debit card</t>
  </si>
  <si>
    <t>Caviar</t>
  </si>
  <si>
    <t>Food delivery service (aquired by DoorDash)</t>
  </si>
  <si>
    <t>Other</t>
  </si>
  <si>
    <t>Square Capital</t>
  </si>
  <si>
    <t>Credit lending to companies</t>
  </si>
  <si>
    <t>1 340-1 360</t>
  </si>
  <si>
    <t>1 160-1 180</t>
  </si>
  <si>
    <t>5 900-5 960</t>
  </si>
  <si>
    <t>Q120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</si>
</sst>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13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7" fillId="0" borderId="0" xfId="4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4" fontId="4" fillId="0" borderId="0" xfId="0" applyNumberFormat="1" applyFont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4" fontId="8" fillId="0" borderId="0" xfId="0" applyNumberFormat="1" applyFont="1"/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1" xfId="0" applyNumberFormat="1" applyFont="1" applyBorder="1"/>
    <xf numFmtId="9" fontId="8" fillId="0" borderId="0" xfId="0" applyNumberFormat="1" applyFont="1"/>
    <xf numFmtId="165" fontId="8" fillId="0" borderId="1" xfId="0" applyNumberFormat="1" applyFont="1" applyBorder="1" applyAlignment="1">
      <alignment horizontal="right"/>
    </xf>
    <xf numFmtId="0" fontId="12" fillId="0" borderId="0" xfId="4" applyFont="1"/>
    <xf numFmtId="0" fontId="11" fillId="0" borderId="0" xfId="0" applyFont="1"/>
    <xf numFmtId="9" fontId="11" fillId="0" borderId="0" xfId="1" applyFont="1" applyBorder="1"/>
    <xf numFmtId="3" fontId="5" fillId="0" borderId="0" xfId="0" applyNumberFormat="1" applyFont="1"/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0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right"/>
    </xf>
    <xf numFmtId="165" fontId="8" fillId="0" borderId="0" xfId="0" applyNumberFormat="1" applyFont="1" applyFill="1" applyAlignment="1">
      <alignment horizontal="right"/>
    </xf>
    <xf numFmtId="165" fontId="8" fillId="0" borderId="1" xfId="0" applyNumberFormat="1" applyFont="1" applyBorder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4" fontId="8" fillId="0" borderId="1" xfId="0" applyNumberFormat="1" applyFont="1" applyBorder="1"/>
    <xf numFmtId="3" fontId="5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10</xdr:row>
      <xdr:rowOff>0</xdr:rowOff>
    </xdr:from>
    <xdr:to>
      <xdr:col>4</xdr:col>
      <xdr:colOff>215900</xdr:colOff>
      <xdr:row>68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343400" y="1651000"/>
          <a:ext cx="0" cy="9410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1</xdr:row>
      <xdr:rowOff>12700</xdr:rowOff>
    </xdr:from>
    <xdr:to>
      <xdr:col>14</xdr:col>
      <xdr:colOff>215900</xdr:colOff>
      <xdr:row>62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2814300" y="177800"/>
          <a:ext cx="0" cy="100711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quareup.com/us/en/about/investors" TargetMode="External"/><Relationship Id="rId2" Type="http://schemas.openxmlformats.org/officeDocument/2006/relationships/hyperlink" Target="https://en.wikipedia.org/wiki/Jack_Dorsey" TargetMode="External"/><Relationship Id="rId1" Type="http://schemas.openxmlformats.org/officeDocument/2006/relationships/hyperlink" Target="https://en.wikipedia.org/wiki/Jack_Dorse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Jim_McKelv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67"/>
  <sheetViews>
    <sheetView tabSelected="1" workbookViewId="0">
      <pane xSplit="1" ySplit="11" topLeftCell="C12" activePane="bottomRight" state="frozen"/>
      <selection pane="topRight" activeCell="B1" sqref="B1"/>
      <selection pane="bottomLeft" activeCell="A11" sqref="A11"/>
      <selection pane="bottomRight" activeCell="G18" sqref="G18"/>
    </sheetView>
  </sheetViews>
  <sheetFormatPr baseColWidth="10" defaultRowHeight="13" x14ac:dyDescent="0.15"/>
  <cols>
    <col min="1" max="1" width="21.6640625" style="1" customWidth="1"/>
    <col min="2" max="16384" width="10.83203125" style="1"/>
  </cols>
  <sheetData>
    <row r="1" spans="1:20" x14ac:dyDescent="0.15">
      <c r="A1" s="34" t="s">
        <v>47</v>
      </c>
      <c r="B1" s="16" t="s">
        <v>68</v>
      </c>
    </row>
    <row r="2" spans="1:20" x14ac:dyDescent="0.15">
      <c r="B2" s="1" t="s">
        <v>51</v>
      </c>
      <c r="C2" s="2">
        <v>73.790000000000006</v>
      </c>
      <c r="D2" s="85">
        <v>43964</v>
      </c>
      <c r="E2" s="3" t="s">
        <v>29</v>
      </c>
      <c r="F2" s="4">
        <v>-5.0000000000000001E-3</v>
      </c>
      <c r="I2" s="17"/>
    </row>
    <row r="3" spans="1:20" x14ac:dyDescent="0.15">
      <c r="A3" s="16" t="s">
        <v>48</v>
      </c>
      <c r="B3" s="1" t="s">
        <v>17</v>
      </c>
      <c r="C3" s="5">
        <f>Reports!N24</f>
        <v>434.94</v>
      </c>
      <c r="D3" s="86" t="s">
        <v>105</v>
      </c>
      <c r="E3" s="3" t="s">
        <v>30</v>
      </c>
      <c r="F3" s="4">
        <v>0.02</v>
      </c>
      <c r="G3" s="6"/>
      <c r="I3" s="17"/>
    </row>
    <row r="4" spans="1:20" x14ac:dyDescent="0.15">
      <c r="A4" s="15" t="s">
        <v>50</v>
      </c>
      <c r="B4" s="1" t="s">
        <v>52</v>
      </c>
      <c r="C4" s="7">
        <f>C2*C3</f>
        <v>32094.222600000001</v>
      </c>
      <c r="D4" s="87"/>
      <c r="E4" s="3" t="s">
        <v>31</v>
      </c>
      <c r="F4" s="4">
        <f>6%</f>
        <v>0.06</v>
      </c>
      <c r="G4" s="6"/>
      <c r="I4" s="14"/>
    </row>
    <row r="5" spans="1:20" x14ac:dyDescent="0.15">
      <c r="B5" s="1" t="s">
        <v>25</v>
      </c>
      <c r="C5" s="5">
        <f>Reports!N35</f>
        <v>1252</v>
      </c>
      <c r="D5" s="86" t="s">
        <v>105</v>
      </c>
      <c r="E5" s="3" t="s">
        <v>32</v>
      </c>
      <c r="F5" s="8">
        <f>NPV(F4,E31:DP31)</f>
        <v>66855.165933642245</v>
      </c>
      <c r="G5" s="6"/>
      <c r="I5" s="14"/>
    </row>
    <row r="6" spans="1:20" x14ac:dyDescent="0.15">
      <c r="A6" s="16" t="s">
        <v>49</v>
      </c>
      <c r="B6" s="1" t="s">
        <v>53</v>
      </c>
      <c r="C6" s="7">
        <f>C4-C5</f>
        <v>30842.222600000001</v>
      </c>
      <c r="D6" s="87"/>
      <c r="E6" s="9" t="s">
        <v>33</v>
      </c>
      <c r="F6" s="10">
        <f>F5+C5</f>
        <v>68107.165933642245</v>
      </c>
      <c r="I6" s="14"/>
    </row>
    <row r="7" spans="1:20" x14ac:dyDescent="0.15">
      <c r="A7" s="15" t="s">
        <v>50</v>
      </c>
      <c r="B7" s="6" t="s">
        <v>54</v>
      </c>
      <c r="C7" s="11">
        <f>C6/C3</f>
        <v>70.911442037982255</v>
      </c>
      <c r="D7" s="87"/>
      <c r="E7" s="12" t="s">
        <v>54</v>
      </c>
      <c r="F7" s="13">
        <f>F6/C3</f>
        <v>156.58979614117405</v>
      </c>
      <c r="G7" s="14">
        <f>F7/C2-1</f>
        <v>1.1221005033361435</v>
      </c>
    </row>
    <row r="8" spans="1:20" x14ac:dyDescent="0.15">
      <c r="A8" s="34" t="s">
        <v>87</v>
      </c>
    </row>
    <row r="9" spans="1:20" x14ac:dyDescent="0.15">
      <c r="A9" s="68" t="s">
        <v>88</v>
      </c>
    </row>
    <row r="10" spans="1:20" x14ac:dyDescent="0.15">
      <c r="A10" s="15"/>
    </row>
    <row r="11" spans="1:20" x14ac:dyDescent="0.15">
      <c r="B11" s="1">
        <v>2017</v>
      </c>
      <c r="C11" s="1">
        <f>B11+1</f>
        <v>2018</v>
      </c>
      <c r="D11" s="1">
        <f t="shared" ref="D11:T11" si="0">C11+1</f>
        <v>2019</v>
      </c>
      <c r="E11" s="1">
        <f t="shared" si="0"/>
        <v>2020</v>
      </c>
      <c r="F11" s="1">
        <f t="shared" si="0"/>
        <v>2021</v>
      </c>
      <c r="G11" s="1">
        <f t="shared" si="0"/>
        <v>2022</v>
      </c>
      <c r="H11" s="1">
        <f t="shared" si="0"/>
        <v>2023</v>
      </c>
      <c r="I11" s="1">
        <f t="shared" si="0"/>
        <v>2024</v>
      </c>
      <c r="J11" s="1">
        <f t="shared" si="0"/>
        <v>2025</v>
      </c>
      <c r="K11" s="1">
        <f t="shared" si="0"/>
        <v>2026</v>
      </c>
      <c r="L11" s="1">
        <f t="shared" si="0"/>
        <v>2027</v>
      </c>
      <c r="M11" s="1">
        <f t="shared" si="0"/>
        <v>2028</v>
      </c>
      <c r="N11" s="1">
        <f t="shared" si="0"/>
        <v>2029</v>
      </c>
      <c r="O11" s="1">
        <f t="shared" si="0"/>
        <v>2030</v>
      </c>
      <c r="P11" s="1">
        <f t="shared" si="0"/>
        <v>2031</v>
      </c>
      <c r="Q11" s="1">
        <f t="shared" si="0"/>
        <v>2032</v>
      </c>
      <c r="R11" s="1">
        <f t="shared" si="0"/>
        <v>2033</v>
      </c>
      <c r="S11" s="1">
        <f t="shared" si="0"/>
        <v>2034</v>
      </c>
      <c r="T11" s="1">
        <f t="shared" si="0"/>
        <v>2035</v>
      </c>
    </row>
    <row r="12" spans="1:20" x14ac:dyDescent="0.15">
      <c r="A12" s="36" t="s">
        <v>77</v>
      </c>
      <c r="B12" s="17">
        <f>SUM(Reports!B3:E3)</f>
        <v>1920</v>
      </c>
      <c r="C12" s="17">
        <f>SUM(Reports!F3:I3)</f>
        <v>2471</v>
      </c>
      <c r="D12" s="17">
        <f>SUM(Reports!J3:M3)</f>
        <v>3082.18</v>
      </c>
      <c r="E12" s="17">
        <f>D12*1.2</f>
        <v>3698.6159999999995</v>
      </c>
      <c r="F12" s="17">
        <f t="shared" ref="F12:I12" si="1">E12*1.2</f>
        <v>4438.3391999999994</v>
      </c>
      <c r="G12" s="17">
        <f t="shared" si="1"/>
        <v>5326.0070399999995</v>
      </c>
      <c r="H12" s="17">
        <f t="shared" si="1"/>
        <v>6391.2084479999994</v>
      </c>
      <c r="I12" s="17">
        <f t="shared" si="1"/>
        <v>7669.4501375999989</v>
      </c>
    </row>
    <row r="13" spans="1:20" x14ac:dyDescent="0.15">
      <c r="A13" s="36" t="s">
        <v>78</v>
      </c>
      <c r="B13" s="17">
        <f>SUM(Reports!B4:E4)</f>
        <v>252</v>
      </c>
      <c r="C13" s="17">
        <f>SUM(Reports!F4:I4)</f>
        <v>591</v>
      </c>
      <c r="D13" s="17">
        <f>SUM(Reports!J4:M4)</f>
        <v>1031.415</v>
      </c>
      <c r="E13" s="17">
        <f>D13*1.35</f>
        <v>1392.4102500000001</v>
      </c>
      <c r="F13" s="17">
        <f t="shared" ref="F13:I13" si="2">E13*1.35</f>
        <v>1879.7538375000004</v>
      </c>
      <c r="G13" s="17">
        <f t="shared" si="2"/>
        <v>2537.6676806250007</v>
      </c>
      <c r="H13" s="17">
        <f t="shared" si="2"/>
        <v>3425.8513688437511</v>
      </c>
      <c r="I13" s="17">
        <f t="shared" si="2"/>
        <v>4624.8993479390647</v>
      </c>
    </row>
    <row r="14" spans="1:20" x14ac:dyDescent="0.15">
      <c r="A14" s="36" t="s">
        <v>79</v>
      </c>
      <c r="B14" s="17">
        <f>SUM(Reports!B5:E5)</f>
        <v>41</v>
      </c>
      <c r="C14" s="17">
        <f>SUM(Reports!F5:I5)</f>
        <v>68</v>
      </c>
      <c r="D14" s="17">
        <f>SUM(Reports!J5:M5)</f>
        <v>84.567000000000007</v>
      </c>
      <c r="E14" s="17">
        <f>D14*1.1</f>
        <v>93.023700000000019</v>
      </c>
      <c r="F14" s="17">
        <f t="shared" ref="F14:I14" si="3">E14*1.1</f>
        <v>102.32607000000003</v>
      </c>
      <c r="G14" s="17">
        <f t="shared" si="3"/>
        <v>112.55867700000005</v>
      </c>
      <c r="H14" s="17">
        <f t="shared" si="3"/>
        <v>123.81454470000006</v>
      </c>
      <c r="I14" s="17">
        <f t="shared" si="3"/>
        <v>136.19599917000008</v>
      </c>
    </row>
    <row r="15" spans="1:20" x14ac:dyDescent="0.15">
      <c r="A15" s="36" t="s">
        <v>80</v>
      </c>
      <c r="B15" s="17"/>
      <c r="C15" s="17">
        <f>SUM(Reports!F6:I6)</f>
        <v>166</v>
      </c>
      <c r="D15" s="17">
        <f>SUM(Reports!J6:M6)</f>
        <v>516.56700000000001</v>
      </c>
      <c r="E15" s="17">
        <f>D15*1.5</f>
        <v>774.85050000000001</v>
      </c>
      <c r="F15" s="17">
        <f t="shared" ref="F15:I15" si="4">E15*1.5</f>
        <v>1162.27575</v>
      </c>
      <c r="G15" s="17">
        <f t="shared" si="4"/>
        <v>1743.4136250000001</v>
      </c>
      <c r="H15" s="17">
        <f t="shared" si="4"/>
        <v>2615.1204375000002</v>
      </c>
      <c r="I15" s="17">
        <f t="shared" si="4"/>
        <v>3922.6806562500005</v>
      </c>
    </row>
    <row r="16" spans="1:20" x14ac:dyDescent="0.15">
      <c r="B16" s="17"/>
      <c r="C16" s="17"/>
      <c r="D16" s="17"/>
      <c r="E16" s="17"/>
      <c r="F16" s="17"/>
      <c r="G16" s="17"/>
    </row>
    <row r="17" spans="1:243" s="17" customFormat="1" x14ac:dyDescent="0.15">
      <c r="A17" s="17" t="s">
        <v>42</v>
      </c>
    </row>
    <row r="18" spans="1:243" x14ac:dyDescent="0.15">
      <c r="A18" s="1" t="s">
        <v>55</v>
      </c>
      <c r="B18" s="17"/>
      <c r="C18" s="17"/>
      <c r="D18" s="17"/>
      <c r="E18" s="25"/>
      <c r="F18" s="25"/>
      <c r="G18" s="25"/>
      <c r="H18" s="25"/>
    </row>
    <row r="19" spans="1:243" s="6" customFormat="1" x14ac:dyDescent="0.15">
      <c r="E19" s="6" t="s">
        <v>104</v>
      </c>
    </row>
    <row r="20" spans="1:243" x14ac:dyDescent="0.15">
      <c r="A20" s="16" t="s">
        <v>4</v>
      </c>
      <c r="B20" s="23">
        <f>SUM(B12:B15)</f>
        <v>2213</v>
      </c>
      <c r="C20" s="23">
        <f>SUM(C12:C15)</f>
        <v>3296</v>
      </c>
      <c r="D20" s="23">
        <f>SUM(D12:D15)</f>
        <v>4714.7289999999994</v>
      </c>
      <c r="E20" s="18">
        <f>SUM(E12:E15)</f>
        <v>5958.9004499999992</v>
      </c>
      <c r="F20" s="18">
        <f t="shared" ref="F20:I20" si="5">SUM(F12:F15)</f>
        <v>7582.6948574999997</v>
      </c>
      <c r="G20" s="18">
        <f t="shared" si="5"/>
        <v>9719.6470226250003</v>
      </c>
      <c r="H20" s="18">
        <f t="shared" si="5"/>
        <v>12555.99479904375</v>
      </c>
      <c r="I20" s="18">
        <f t="shared" si="5"/>
        <v>16353.226140959065</v>
      </c>
      <c r="J20" s="18">
        <f>I20*1.1</f>
        <v>17988.548755054973</v>
      </c>
      <c r="K20" s="18">
        <f t="shared" ref="K20:R20" si="6">J20*1.1</f>
        <v>19787.403630560471</v>
      </c>
      <c r="L20" s="18">
        <f t="shared" si="6"/>
        <v>21766.143993616519</v>
      </c>
      <c r="M20" s="18">
        <f t="shared" si="6"/>
        <v>23942.758392978172</v>
      </c>
      <c r="N20" s="18">
        <f t="shared" si="6"/>
        <v>26337.03423227599</v>
      </c>
      <c r="O20" s="18">
        <f t="shared" si="6"/>
        <v>28970.737655503592</v>
      </c>
      <c r="P20" s="18">
        <f t="shared" si="6"/>
        <v>31867.811421053953</v>
      </c>
      <c r="Q20" s="18">
        <f t="shared" si="6"/>
        <v>35054.592563159349</v>
      </c>
      <c r="R20" s="18">
        <f t="shared" si="6"/>
        <v>38560.051819475288</v>
      </c>
      <c r="S20" s="18"/>
      <c r="T20" s="18"/>
    </row>
    <row r="21" spans="1:243" x14ac:dyDescent="0.15">
      <c r="A21" s="1" t="s">
        <v>5</v>
      </c>
      <c r="B21" s="17">
        <f>SUM(Reports!B12:E12)</f>
        <v>1375</v>
      </c>
      <c r="C21" s="17">
        <f>SUM(Reports!F12:I12)</f>
        <v>1993</v>
      </c>
      <c r="D21" s="17">
        <f>SUM(Reports!J12:M12)</f>
        <v>2823.38</v>
      </c>
      <c r="E21" s="5">
        <f t="shared" ref="E21:F21" si="7">E20-E22</f>
        <v>3568.4427148455406</v>
      </c>
      <c r="F21" s="5">
        <f t="shared" si="7"/>
        <v>4540.8397824707108</v>
      </c>
      <c r="G21" s="5">
        <f t="shared" ref="G21:O21" si="8">G20-G22</f>
        <v>5820.5375135535851</v>
      </c>
      <c r="H21" s="5">
        <f t="shared" si="8"/>
        <v>7519.0630459829499</v>
      </c>
      <c r="I21" s="5">
        <f t="shared" si="8"/>
        <v>9793.0064743617295</v>
      </c>
      <c r="J21" s="5">
        <f t="shared" si="8"/>
        <v>10772.307121797905</v>
      </c>
      <c r="K21" s="5">
        <f t="shared" si="8"/>
        <v>11849.537833977694</v>
      </c>
      <c r="L21" s="5">
        <f t="shared" si="8"/>
        <v>13034.491617375466</v>
      </c>
      <c r="M21" s="5">
        <f t="shared" si="8"/>
        <v>14337.940779113014</v>
      </c>
      <c r="N21" s="5">
        <f t="shared" si="8"/>
        <v>15771.734857024316</v>
      </c>
      <c r="O21" s="5">
        <f t="shared" si="8"/>
        <v>17348.908342726747</v>
      </c>
      <c r="P21" s="5">
        <f t="shared" ref="P21:R21" si="9">P20-P22</f>
        <v>19083.799176999426</v>
      </c>
      <c r="Q21" s="5">
        <f t="shared" si="9"/>
        <v>20992.179094699368</v>
      </c>
      <c r="R21" s="5">
        <f t="shared" si="9"/>
        <v>23091.39700416931</v>
      </c>
      <c r="S21" s="5"/>
      <c r="T21" s="5"/>
    </row>
    <row r="22" spans="1:243" x14ac:dyDescent="0.15">
      <c r="A22" s="1" t="s">
        <v>6</v>
      </c>
      <c r="B22" s="7">
        <f>B20-B21</f>
        <v>838</v>
      </c>
      <c r="C22" s="7">
        <f>C20-C21</f>
        <v>1303</v>
      </c>
      <c r="D22" s="7">
        <f>D20-D21</f>
        <v>1891.3489999999993</v>
      </c>
      <c r="E22" s="5">
        <f>E20*D35</f>
        <v>2390.4577351544585</v>
      </c>
      <c r="F22" s="5">
        <f t="shared" ref="F22:R22" si="10">F20*E35</f>
        <v>3041.8550750292889</v>
      </c>
      <c r="G22" s="5">
        <f t="shared" si="10"/>
        <v>3899.1095090714157</v>
      </c>
      <c r="H22" s="5">
        <f t="shared" si="10"/>
        <v>5036.9317530608005</v>
      </c>
      <c r="I22" s="5">
        <f t="shared" si="10"/>
        <v>6560.2196665973343</v>
      </c>
      <c r="J22" s="5">
        <f t="shared" si="10"/>
        <v>7216.2416332570683</v>
      </c>
      <c r="K22" s="5">
        <f t="shared" si="10"/>
        <v>7937.8657965827761</v>
      </c>
      <c r="L22" s="5">
        <f t="shared" si="10"/>
        <v>8731.6523762410525</v>
      </c>
      <c r="M22" s="5">
        <f t="shared" si="10"/>
        <v>9604.8176138651579</v>
      </c>
      <c r="N22" s="5">
        <f t="shared" si="10"/>
        <v>10565.299375251674</v>
      </c>
      <c r="O22" s="5">
        <f t="shared" si="10"/>
        <v>11621.829312776843</v>
      </c>
      <c r="P22" s="5">
        <f t="shared" si="10"/>
        <v>12784.012244054527</v>
      </c>
      <c r="Q22" s="5">
        <f t="shared" si="10"/>
        <v>14062.413468459981</v>
      </c>
      <c r="R22" s="5">
        <f t="shared" si="10"/>
        <v>15468.654815305979</v>
      </c>
      <c r="S22" s="5"/>
      <c r="T22" s="5"/>
    </row>
    <row r="23" spans="1:243" x14ac:dyDescent="0.15">
      <c r="A23" s="1" t="s">
        <v>7</v>
      </c>
      <c r="B23" s="17">
        <f>SUM(Reports!B14:E14)</f>
        <v>323</v>
      </c>
      <c r="C23" s="17">
        <f>SUM(Reports!F14:I14)</f>
        <v>498</v>
      </c>
      <c r="D23" s="17">
        <f>SUM(Reports!J14:M14)</f>
        <v>670.28399999999999</v>
      </c>
      <c r="E23" s="5">
        <f>D23*1.25</f>
        <v>837.85500000000002</v>
      </c>
      <c r="F23" s="5">
        <f t="shared" ref="F23:I23" si="11">E23*1.25</f>
        <v>1047.3187499999999</v>
      </c>
      <c r="G23" s="5">
        <f t="shared" si="11"/>
        <v>1309.1484375</v>
      </c>
      <c r="H23" s="5">
        <f t="shared" si="11"/>
        <v>1636.435546875</v>
      </c>
      <c r="I23" s="5">
        <f t="shared" si="11"/>
        <v>2045.54443359375</v>
      </c>
      <c r="J23" s="5">
        <f>I23*1.1</f>
        <v>2250.098876953125</v>
      </c>
      <c r="K23" s="5">
        <f t="shared" ref="K23" si="12">J23*1.1</f>
        <v>2475.1087646484375</v>
      </c>
      <c r="L23" s="5">
        <f t="shared" ref="L23:R23" si="13">K23*1.1</f>
        <v>2722.6196411132814</v>
      </c>
      <c r="M23" s="5">
        <f t="shared" si="13"/>
        <v>2994.8816052246098</v>
      </c>
      <c r="N23" s="5">
        <f t="shared" si="13"/>
        <v>3294.3697657470711</v>
      </c>
      <c r="O23" s="5">
        <f t="shared" si="13"/>
        <v>3623.8067423217785</v>
      </c>
      <c r="P23" s="5">
        <f t="shared" si="13"/>
        <v>3986.1874165539566</v>
      </c>
      <c r="Q23" s="5">
        <f t="shared" si="13"/>
        <v>4384.8061582093524</v>
      </c>
      <c r="R23" s="5">
        <f t="shared" si="13"/>
        <v>4823.2867740302881</v>
      </c>
      <c r="S23" s="5"/>
      <c r="T23" s="5"/>
    </row>
    <row r="24" spans="1:243" x14ac:dyDescent="0.15">
      <c r="A24" s="1" t="s">
        <v>8</v>
      </c>
      <c r="B24" s="17">
        <f>SUM(Reports!B15:E15)</f>
        <v>254</v>
      </c>
      <c r="C24" s="17">
        <f>SUM(Reports!F15:I15)</f>
        <v>410</v>
      </c>
      <c r="D24" s="17">
        <f>SUM(Reports!J15:M15)</f>
        <v>624.23099999999999</v>
      </c>
      <c r="E24" s="5">
        <f>D24*1.25</f>
        <v>780.28874999999994</v>
      </c>
      <c r="F24" s="5">
        <f t="shared" ref="F24:I24" si="14">E24*1.25</f>
        <v>975.36093749999986</v>
      </c>
      <c r="G24" s="5">
        <f t="shared" si="14"/>
        <v>1219.2011718749998</v>
      </c>
      <c r="H24" s="5">
        <f t="shared" si="14"/>
        <v>1524.0014648437498</v>
      </c>
      <c r="I24" s="5">
        <f t="shared" si="14"/>
        <v>1905.0018310546873</v>
      </c>
      <c r="J24" s="5">
        <f>I24*1.05</f>
        <v>2000.2519226074216</v>
      </c>
      <c r="K24" s="5">
        <f>J24*1.02</f>
        <v>2040.2569610595701</v>
      </c>
      <c r="L24" s="5">
        <f t="shared" ref="L24:R24" si="15">K24*1.02</f>
        <v>2081.0621002807616</v>
      </c>
      <c r="M24" s="5">
        <f t="shared" si="15"/>
        <v>2122.683342286377</v>
      </c>
      <c r="N24" s="5">
        <f t="shared" si="15"/>
        <v>2165.1370091321046</v>
      </c>
      <c r="O24" s="5">
        <f t="shared" si="15"/>
        <v>2208.4397493147467</v>
      </c>
      <c r="P24" s="5">
        <f t="shared" si="15"/>
        <v>2252.6085443010415</v>
      </c>
      <c r="Q24" s="5">
        <f t="shared" si="15"/>
        <v>2297.6607151870626</v>
      </c>
      <c r="R24" s="5">
        <f t="shared" si="15"/>
        <v>2343.6139294908039</v>
      </c>
      <c r="S24" s="5"/>
      <c r="T24" s="5"/>
    </row>
    <row r="25" spans="1:243" x14ac:dyDescent="0.15">
      <c r="A25" s="1" t="s">
        <v>9</v>
      </c>
      <c r="B25" s="17">
        <f>SUM(Reports!B16:E16)</f>
        <v>317</v>
      </c>
      <c r="C25" s="17">
        <f>SUM(Reports!F16:I16)</f>
        <v>431</v>
      </c>
      <c r="D25" s="17">
        <f>SUM(Reports!J16:M16)</f>
        <v>569</v>
      </c>
      <c r="E25" s="5">
        <f>D25*1.15</f>
        <v>654.34999999999991</v>
      </c>
      <c r="F25" s="5">
        <f t="shared" ref="F25:I25" si="16">E25*1.15</f>
        <v>752.50249999999983</v>
      </c>
      <c r="G25" s="5">
        <f t="shared" si="16"/>
        <v>865.37787499999979</v>
      </c>
      <c r="H25" s="5">
        <f t="shared" si="16"/>
        <v>995.18455624999967</v>
      </c>
      <c r="I25" s="5">
        <f t="shared" si="16"/>
        <v>1144.4622396874995</v>
      </c>
      <c r="J25" s="5">
        <f>I25*0.98</f>
        <v>1121.5729948937494</v>
      </c>
      <c r="K25" s="5">
        <f t="shared" ref="K25" si="17">J25*0.98</f>
        <v>1099.1415349958745</v>
      </c>
      <c r="L25" s="5">
        <f t="shared" ref="L25:R25" si="18">K25*0.98</f>
        <v>1077.158704295957</v>
      </c>
      <c r="M25" s="5">
        <f t="shared" si="18"/>
        <v>1055.6155302100378</v>
      </c>
      <c r="N25" s="5">
        <f t="shared" si="18"/>
        <v>1034.5032196058371</v>
      </c>
      <c r="O25" s="5">
        <f t="shared" si="18"/>
        <v>1013.8131552137204</v>
      </c>
      <c r="P25" s="5">
        <f t="shared" si="18"/>
        <v>993.53689210944594</v>
      </c>
      <c r="Q25" s="5">
        <f t="shared" si="18"/>
        <v>973.66615426725696</v>
      </c>
      <c r="R25" s="5">
        <f t="shared" si="18"/>
        <v>954.19283118191186</v>
      </c>
      <c r="S25" s="5"/>
      <c r="T25" s="5"/>
    </row>
    <row r="26" spans="1:243" x14ac:dyDescent="0.15">
      <c r="A26" s="1" t="s">
        <v>10</v>
      </c>
      <c r="B26" s="7">
        <f>SUM(B23:B25)</f>
        <v>894</v>
      </c>
      <c r="C26" s="7">
        <f>SUM(C23:C25)</f>
        <v>1339</v>
      </c>
      <c r="D26" s="7">
        <f>SUM(D23:D25)</f>
        <v>1863.5149999999999</v>
      </c>
      <c r="E26" s="5">
        <f t="shared" ref="E26:F26" si="19">SUM(E23:E25)</f>
        <v>2272.4937499999996</v>
      </c>
      <c r="F26" s="5">
        <f t="shared" si="19"/>
        <v>2775.1821874999996</v>
      </c>
      <c r="G26" s="5">
        <f t="shared" ref="G26:O26" si="20">SUM(G23:G25)</f>
        <v>3393.7274843749997</v>
      </c>
      <c r="H26" s="5">
        <f t="shared" si="20"/>
        <v>4155.6215679687493</v>
      </c>
      <c r="I26" s="5">
        <f>SUM(I23:I25)</f>
        <v>5095.0085043359368</v>
      </c>
      <c r="J26" s="5">
        <f t="shared" si="20"/>
        <v>5371.9237944542965</v>
      </c>
      <c r="K26" s="5">
        <f t="shared" si="20"/>
        <v>5614.5072607038819</v>
      </c>
      <c r="L26" s="5">
        <f t="shared" si="20"/>
        <v>5880.8404456899998</v>
      </c>
      <c r="M26" s="5">
        <f t="shared" si="20"/>
        <v>6173.1804777210245</v>
      </c>
      <c r="N26" s="5">
        <f t="shared" si="20"/>
        <v>6494.0099944850126</v>
      </c>
      <c r="O26" s="5">
        <f t="shared" si="20"/>
        <v>6846.0596468502454</v>
      </c>
      <c r="P26" s="5">
        <f t="shared" ref="P26:R26" si="21">SUM(P23:P25)</f>
        <v>7232.3328529644441</v>
      </c>
      <c r="Q26" s="5">
        <f t="shared" si="21"/>
        <v>7656.1330276636727</v>
      </c>
      <c r="R26" s="5">
        <f t="shared" si="21"/>
        <v>8121.0935347030045</v>
      </c>
      <c r="S26" s="5"/>
      <c r="T26" s="5"/>
    </row>
    <row r="27" spans="1:243" x14ac:dyDescent="0.15">
      <c r="A27" s="1" t="s">
        <v>11</v>
      </c>
      <c r="B27" s="7">
        <f>B22-B26</f>
        <v>-56</v>
      </c>
      <c r="C27" s="7">
        <f>C22-C26</f>
        <v>-36</v>
      </c>
      <c r="D27" s="7">
        <f>D22-D26</f>
        <v>27.833999999999378</v>
      </c>
      <c r="E27" s="5">
        <f t="shared" ref="E27:F27" si="22">E22-E26</f>
        <v>117.9639851544589</v>
      </c>
      <c r="F27" s="5">
        <f t="shared" si="22"/>
        <v>266.67288752928926</v>
      </c>
      <c r="G27" s="5">
        <f t="shared" ref="G27:O27" si="23">G22-G26</f>
        <v>505.38202469641601</v>
      </c>
      <c r="H27" s="5">
        <f t="shared" si="23"/>
        <v>881.31018509205114</v>
      </c>
      <c r="I27" s="5">
        <f>I22-I26</f>
        <v>1465.2111622613975</v>
      </c>
      <c r="J27" s="5">
        <f t="shared" si="23"/>
        <v>1844.3178388027718</v>
      </c>
      <c r="K27" s="5">
        <f t="shared" si="23"/>
        <v>2323.3585358788941</v>
      </c>
      <c r="L27" s="5">
        <f t="shared" si="23"/>
        <v>2850.8119305510527</v>
      </c>
      <c r="M27" s="5">
        <f t="shared" si="23"/>
        <v>3431.6371361441334</v>
      </c>
      <c r="N27" s="5">
        <f t="shared" si="23"/>
        <v>4071.2893807666615</v>
      </c>
      <c r="O27" s="5">
        <f t="shared" si="23"/>
        <v>4775.7696659265976</v>
      </c>
      <c r="P27" s="5">
        <f t="shared" ref="P27:R27" si="24">P22-P26</f>
        <v>5551.6793910900833</v>
      </c>
      <c r="Q27" s="5">
        <f t="shared" si="24"/>
        <v>6406.2804407963085</v>
      </c>
      <c r="R27" s="5">
        <f t="shared" si="24"/>
        <v>7347.5612806029749</v>
      </c>
      <c r="S27" s="5"/>
      <c r="T27" s="5"/>
    </row>
    <row r="28" spans="1:243" x14ac:dyDescent="0.15">
      <c r="A28" s="1" t="s">
        <v>12</v>
      </c>
      <c r="B28" s="17">
        <f>SUM(Reports!B19:E19)</f>
        <v>-8</v>
      </c>
      <c r="C28" s="17">
        <f>SUM(Reports!F19:I19)</f>
        <v>2</v>
      </c>
      <c r="D28" s="17">
        <f>SUM(Reports!J19:M19)</f>
        <v>348</v>
      </c>
      <c r="E28" s="5">
        <f t="shared" ref="E28:R28" si="25">D45*$F$3</f>
        <v>22.740000000000002</v>
      </c>
      <c r="F28" s="5">
        <f t="shared" si="25"/>
        <v>25.131967747625801</v>
      </c>
      <c r="G28" s="5">
        <f t="shared" si="25"/>
        <v>30.092650287333356</v>
      </c>
      <c r="H28" s="5">
        <f t="shared" si="25"/>
        <v>39.195719762057095</v>
      </c>
      <c r="I28" s="5">
        <f t="shared" si="25"/>
        <v>54.844320144576933</v>
      </c>
      <c r="J28" s="5">
        <f t="shared" si="25"/>
        <v>80.685263345478504</v>
      </c>
      <c r="K28" s="5">
        <f t="shared" si="25"/>
        <v>113.41031608199876</v>
      </c>
      <c r="L28" s="5">
        <f t="shared" si="25"/>
        <v>154.83538656533395</v>
      </c>
      <c r="M28" s="5">
        <f t="shared" si="25"/>
        <v>205.9313909563125</v>
      </c>
      <c r="N28" s="5">
        <f t="shared" si="25"/>
        <v>267.7700559170201</v>
      </c>
      <c r="O28" s="5">
        <f t="shared" si="25"/>
        <v>341.53406634064271</v>
      </c>
      <c r="P28" s="5">
        <f t="shared" si="25"/>
        <v>428.52822978918573</v>
      </c>
      <c r="Q28" s="5">
        <f t="shared" si="25"/>
        <v>530.19175934413329</v>
      </c>
      <c r="R28" s="5">
        <f t="shared" si="25"/>
        <v>648.11178674652081</v>
      </c>
      <c r="S28" s="5"/>
      <c r="T28" s="5"/>
    </row>
    <row r="29" spans="1:243" x14ac:dyDescent="0.15">
      <c r="A29" s="1" t="s">
        <v>13</v>
      </c>
      <c r="B29" s="7">
        <f>B27+B28</f>
        <v>-64</v>
      </c>
      <c r="C29" s="7">
        <f>C27+C28</f>
        <v>-34</v>
      </c>
      <c r="D29" s="7">
        <f>D27+D28</f>
        <v>375.83399999999938</v>
      </c>
      <c r="E29" s="5">
        <f t="shared" ref="E29:F29" si="26">E27+E28</f>
        <v>140.70398515445891</v>
      </c>
      <c r="F29" s="5">
        <f t="shared" si="26"/>
        <v>291.80485527691508</v>
      </c>
      <c r="G29" s="5">
        <f t="shared" ref="G29:O29" si="27">G27+G28</f>
        <v>535.47467498374931</v>
      </c>
      <c r="H29" s="5">
        <f t="shared" si="27"/>
        <v>920.50590485410828</v>
      </c>
      <c r="I29" s="5">
        <f t="shared" si="27"/>
        <v>1520.0554824059743</v>
      </c>
      <c r="J29" s="5">
        <f t="shared" si="27"/>
        <v>1925.0031021482503</v>
      </c>
      <c r="K29" s="5">
        <f t="shared" si="27"/>
        <v>2436.7688519608928</v>
      </c>
      <c r="L29" s="5">
        <f t="shared" si="27"/>
        <v>3005.6473171163866</v>
      </c>
      <c r="M29" s="5">
        <f t="shared" si="27"/>
        <v>3637.5685271004459</v>
      </c>
      <c r="N29" s="5">
        <f t="shared" si="27"/>
        <v>4339.0594366836813</v>
      </c>
      <c r="O29" s="5">
        <f t="shared" si="27"/>
        <v>5117.3037322672399</v>
      </c>
      <c r="P29" s="5">
        <f t="shared" ref="P29:R29" si="28">P27+P28</f>
        <v>5980.2076208792687</v>
      </c>
      <c r="Q29" s="5">
        <f t="shared" si="28"/>
        <v>6936.4722001404416</v>
      </c>
      <c r="R29" s="5">
        <f t="shared" si="28"/>
        <v>7995.6730673494958</v>
      </c>
      <c r="S29" s="5"/>
      <c r="T29" s="5"/>
    </row>
    <row r="30" spans="1:243" x14ac:dyDescent="0.15">
      <c r="A30" s="1" t="s">
        <v>14</v>
      </c>
      <c r="B30" s="17">
        <f>SUM(Reports!B21:E21)</f>
        <v>-1</v>
      </c>
      <c r="C30" s="17">
        <f>SUM(Reports!F21:I21)</f>
        <v>2</v>
      </c>
      <c r="D30" s="17">
        <f>SUM(Reports!J21:M21)</f>
        <v>4</v>
      </c>
      <c r="E30" s="5">
        <f>E29*0.15</f>
        <v>21.105597773168835</v>
      </c>
      <c r="F30" s="5">
        <f t="shared" ref="F30:O30" si="29">F29*0.15</f>
        <v>43.77072829153726</v>
      </c>
      <c r="G30" s="5">
        <f t="shared" si="29"/>
        <v>80.321201247562399</v>
      </c>
      <c r="H30" s="5">
        <f t="shared" si="29"/>
        <v>138.07588572811625</v>
      </c>
      <c r="I30" s="5">
        <f t="shared" si="29"/>
        <v>228.00832236089613</v>
      </c>
      <c r="J30" s="5">
        <f t="shared" si="29"/>
        <v>288.75046532223752</v>
      </c>
      <c r="K30" s="5">
        <f t="shared" si="29"/>
        <v>365.5153277941339</v>
      </c>
      <c r="L30" s="5">
        <f t="shared" si="29"/>
        <v>450.84709756745798</v>
      </c>
      <c r="M30" s="5">
        <f t="shared" si="29"/>
        <v>545.63527906506681</v>
      </c>
      <c r="N30" s="5">
        <f t="shared" si="29"/>
        <v>650.85891550255212</v>
      </c>
      <c r="O30" s="5">
        <f t="shared" si="29"/>
        <v>767.59555984008591</v>
      </c>
      <c r="P30" s="5">
        <f t="shared" ref="P30:R30" si="30">P29*0.15</f>
        <v>897.0311431318903</v>
      </c>
      <c r="Q30" s="5">
        <f t="shared" si="30"/>
        <v>1040.4708300210661</v>
      </c>
      <c r="R30" s="5">
        <f t="shared" si="30"/>
        <v>1199.3509601024243</v>
      </c>
      <c r="S30" s="5"/>
      <c r="T30" s="5"/>
    </row>
    <row r="31" spans="1:243" s="16" customFormat="1" x14ac:dyDescent="0.15">
      <c r="A31" s="16" t="s">
        <v>15</v>
      </c>
      <c r="B31" s="23">
        <f>B29-B30</f>
        <v>-63</v>
      </c>
      <c r="C31" s="23">
        <f>C29-C30</f>
        <v>-36</v>
      </c>
      <c r="D31" s="23">
        <f t="shared" ref="D31:F31" si="31">D29-D30</f>
        <v>371.83399999999938</v>
      </c>
      <c r="E31" s="23">
        <f t="shared" si="31"/>
        <v>119.59838738129007</v>
      </c>
      <c r="F31" s="23">
        <f t="shared" si="31"/>
        <v>248.03412698537781</v>
      </c>
      <c r="G31" s="23">
        <f t="shared" ref="G31" si="32">G29-G30</f>
        <v>455.15347373618692</v>
      </c>
      <c r="H31" s="23">
        <f t="shared" ref="H31" si="33">H29-H30</f>
        <v>782.43001912599198</v>
      </c>
      <c r="I31" s="23">
        <f t="shared" ref="I31" si="34">I29-I30</f>
        <v>1292.0471600450783</v>
      </c>
      <c r="J31" s="23">
        <f t="shared" ref="J31" si="35">J29-J30</f>
        <v>1636.2526368260128</v>
      </c>
      <c r="K31" s="23">
        <f t="shared" ref="K31" si="36">K29-K30</f>
        <v>2071.2535241667588</v>
      </c>
      <c r="L31" s="23">
        <f t="shared" ref="L31" si="37">L29-L30</f>
        <v>2554.8002195489285</v>
      </c>
      <c r="M31" s="23">
        <f t="shared" ref="M31" si="38">M29-M30</f>
        <v>3091.9332480353792</v>
      </c>
      <c r="N31" s="23">
        <f t="shared" ref="N31" si="39">N29-N30</f>
        <v>3688.2005211811293</v>
      </c>
      <c r="O31" s="23">
        <f t="shared" ref="O31:P31" si="40">O29-O30</f>
        <v>4349.7081724271538</v>
      </c>
      <c r="P31" s="23">
        <f t="shared" si="40"/>
        <v>5083.1764777473782</v>
      </c>
      <c r="Q31" s="23">
        <f t="shared" ref="Q31:R31" si="41">Q29-Q30</f>
        <v>5896.0013701193757</v>
      </c>
      <c r="R31" s="23">
        <f t="shared" si="41"/>
        <v>6796.3221072470715</v>
      </c>
      <c r="S31" s="23">
        <f t="shared" ref="S31:AU31" si="42">R31*($F$2+1)</f>
        <v>6762.3404967108363</v>
      </c>
      <c r="T31" s="23">
        <f t="shared" si="42"/>
        <v>6728.5287942272817</v>
      </c>
      <c r="U31" s="23">
        <f t="shared" si="42"/>
        <v>6694.8861502561449</v>
      </c>
      <c r="V31" s="23">
        <f t="shared" si="42"/>
        <v>6661.4117195048639</v>
      </c>
      <c r="W31" s="23">
        <f t="shared" si="42"/>
        <v>6628.1046609073392</v>
      </c>
      <c r="X31" s="23">
        <f t="shared" si="42"/>
        <v>6594.9641376028021</v>
      </c>
      <c r="Y31" s="23">
        <f t="shared" si="42"/>
        <v>6561.9893169147881</v>
      </c>
      <c r="Z31" s="23">
        <f t="shared" si="42"/>
        <v>6529.1793703302137</v>
      </c>
      <c r="AA31" s="23">
        <f t="shared" si="42"/>
        <v>6496.5334734785629</v>
      </c>
      <c r="AB31" s="23">
        <f t="shared" si="42"/>
        <v>6464.0508061111705</v>
      </c>
      <c r="AC31" s="23">
        <f t="shared" si="42"/>
        <v>6431.7305520806149</v>
      </c>
      <c r="AD31" s="23">
        <f t="shared" si="42"/>
        <v>6399.5718993202117</v>
      </c>
      <c r="AE31" s="23">
        <f t="shared" si="42"/>
        <v>6367.5740398236103</v>
      </c>
      <c r="AF31" s="23">
        <f t="shared" si="42"/>
        <v>6335.7361696244925</v>
      </c>
      <c r="AG31" s="23">
        <f t="shared" si="42"/>
        <v>6304.0574887763696</v>
      </c>
      <c r="AH31" s="23">
        <f t="shared" si="42"/>
        <v>6272.5372013324877</v>
      </c>
      <c r="AI31" s="23">
        <f t="shared" si="42"/>
        <v>6241.1745153258253</v>
      </c>
      <c r="AJ31" s="23">
        <f t="shared" si="42"/>
        <v>6209.9686427491961</v>
      </c>
      <c r="AK31" s="23">
        <f t="shared" si="42"/>
        <v>6178.9187995354505</v>
      </c>
      <c r="AL31" s="23">
        <f t="shared" si="42"/>
        <v>6148.024205537773</v>
      </c>
      <c r="AM31" s="23">
        <f t="shared" si="42"/>
        <v>6117.2840845100845</v>
      </c>
      <c r="AN31" s="23">
        <f t="shared" si="42"/>
        <v>6086.6976640875337</v>
      </c>
      <c r="AO31" s="23">
        <f t="shared" si="42"/>
        <v>6056.2641757670963</v>
      </c>
      <c r="AP31" s="23">
        <f t="shared" si="42"/>
        <v>6025.9828548882606</v>
      </c>
      <c r="AQ31" s="23">
        <f t="shared" si="42"/>
        <v>5995.8529406138196</v>
      </c>
      <c r="AR31" s="23">
        <f t="shared" si="42"/>
        <v>5965.8736759107505</v>
      </c>
      <c r="AS31" s="23">
        <f t="shared" si="42"/>
        <v>5936.0443075311969</v>
      </c>
      <c r="AT31" s="23">
        <f t="shared" si="42"/>
        <v>5906.3640859935413</v>
      </c>
      <c r="AU31" s="23">
        <f t="shared" si="42"/>
        <v>5876.8322655635739</v>
      </c>
      <c r="AV31" s="23">
        <f t="shared" ref="AV31:CA31" si="43">AU31*($F$2+1)</f>
        <v>5847.4481042357556</v>
      </c>
      <c r="AW31" s="23">
        <f t="shared" si="43"/>
        <v>5818.2108637145766</v>
      </c>
      <c r="AX31" s="23">
        <f t="shared" si="43"/>
        <v>5789.1198093960038</v>
      </c>
      <c r="AY31" s="23">
        <f t="shared" si="43"/>
        <v>5760.1742103490242</v>
      </c>
      <c r="AZ31" s="23">
        <f t="shared" si="43"/>
        <v>5731.373339297279</v>
      </c>
      <c r="BA31" s="23">
        <f t="shared" si="43"/>
        <v>5702.7164726007923</v>
      </c>
      <c r="BB31" s="23">
        <f t="shared" si="43"/>
        <v>5674.2028902377879</v>
      </c>
      <c r="BC31" s="23">
        <f t="shared" si="43"/>
        <v>5645.8318757865991</v>
      </c>
      <c r="BD31" s="23">
        <f t="shared" si="43"/>
        <v>5617.6027164076659</v>
      </c>
      <c r="BE31" s="23">
        <f t="shared" si="43"/>
        <v>5589.5147028256279</v>
      </c>
      <c r="BF31" s="23">
        <f t="shared" si="43"/>
        <v>5561.5671293115001</v>
      </c>
      <c r="BG31" s="23">
        <f t="shared" si="43"/>
        <v>5533.7592936649426</v>
      </c>
      <c r="BH31" s="23">
        <f t="shared" si="43"/>
        <v>5506.0904971966174</v>
      </c>
      <c r="BI31" s="23">
        <f t="shared" si="43"/>
        <v>5478.5600447106344</v>
      </c>
      <c r="BJ31" s="23">
        <f t="shared" si="43"/>
        <v>5451.167244487081</v>
      </c>
      <c r="BK31" s="23">
        <f t="shared" si="43"/>
        <v>5423.9114082646456</v>
      </c>
      <c r="BL31" s="23">
        <f t="shared" si="43"/>
        <v>5396.7918512233227</v>
      </c>
      <c r="BM31" s="23">
        <f t="shared" si="43"/>
        <v>5369.8078919672062</v>
      </c>
      <c r="BN31" s="23">
        <f t="shared" si="43"/>
        <v>5342.9588525073705</v>
      </c>
      <c r="BO31" s="23">
        <f t="shared" si="43"/>
        <v>5316.2440582448335</v>
      </c>
      <c r="BP31" s="23">
        <f t="shared" si="43"/>
        <v>5289.6628379536096</v>
      </c>
      <c r="BQ31" s="23">
        <f t="shared" si="43"/>
        <v>5263.2145237638415</v>
      </c>
      <c r="BR31" s="23">
        <f t="shared" si="43"/>
        <v>5236.8984511450226</v>
      </c>
      <c r="BS31" s="23">
        <f t="shared" si="43"/>
        <v>5210.7139588892978</v>
      </c>
      <c r="BT31" s="23">
        <f t="shared" si="43"/>
        <v>5184.6603890948509</v>
      </c>
      <c r="BU31" s="23">
        <f t="shared" si="43"/>
        <v>5158.7370871493767</v>
      </c>
      <c r="BV31" s="23">
        <f t="shared" si="43"/>
        <v>5132.94340171363</v>
      </c>
      <c r="BW31" s="23">
        <f t="shared" si="43"/>
        <v>5107.278684705062</v>
      </c>
      <c r="BX31" s="23">
        <f t="shared" si="43"/>
        <v>5081.7422912815364</v>
      </c>
      <c r="BY31" s="23">
        <f t="shared" si="43"/>
        <v>5056.3335798251283</v>
      </c>
      <c r="BZ31" s="23">
        <f t="shared" si="43"/>
        <v>5031.0519119260025</v>
      </c>
      <c r="CA31" s="23">
        <f t="shared" si="43"/>
        <v>5005.8966523663721</v>
      </c>
      <c r="CB31" s="23">
        <f t="shared" ref="CB31:DG31" si="44">CA31*($F$2+1)</f>
        <v>4980.8671691045402</v>
      </c>
      <c r="CC31" s="23">
        <f t="shared" si="44"/>
        <v>4955.9628332590173</v>
      </c>
      <c r="CD31" s="23">
        <f t="shared" si="44"/>
        <v>4931.1830190927221</v>
      </c>
      <c r="CE31" s="23">
        <f t="shared" si="44"/>
        <v>4906.5271039972586</v>
      </c>
      <c r="CF31" s="23">
        <f t="shared" si="44"/>
        <v>4881.9944684772727</v>
      </c>
      <c r="CG31" s="23">
        <f t="shared" si="44"/>
        <v>4857.5844961348866</v>
      </c>
      <c r="CH31" s="23">
        <f t="shared" si="44"/>
        <v>4833.2965736542119</v>
      </c>
      <c r="CI31" s="23">
        <f t="shared" si="44"/>
        <v>4809.1300907859404</v>
      </c>
      <c r="CJ31" s="23">
        <f t="shared" si="44"/>
        <v>4785.0844403320107</v>
      </c>
      <c r="CK31" s="23">
        <f t="shared" si="44"/>
        <v>4761.1590181303509</v>
      </c>
      <c r="CL31" s="23">
        <f t="shared" si="44"/>
        <v>4737.3532230396995</v>
      </c>
      <c r="CM31" s="23">
        <f t="shared" si="44"/>
        <v>4713.6664569245013</v>
      </c>
      <c r="CN31" s="23">
        <f t="shared" si="44"/>
        <v>4690.0981246398787</v>
      </c>
      <c r="CO31" s="23">
        <f t="shared" si="44"/>
        <v>4666.6476340166791</v>
      </c>
      <c r="CP31" s="23">
        <f t="shared" si="44"/>
        <v>4643.3143958465953</v>
      </c>
      <c r="CQ31" s="23">
        <f t="shared" si="44"/>
        <v>4620.0978238673624</v>
      </c>
      <c r="CR31" s="23">
        <f t="shared" si="44"/>
        <v>4596.9973347480254</v>
      </c>
      <c r="CS31" s="23">
        <f t="shared" si="44"/>
        <v>4574.012348074285</v>
      </c>
      <c r="CT31" s="23">
        <f t="shared" si="44"/>
        <v>4551.1422863339139</v>
      </c>
      <c r="CU31" s="23">
        <f t="shared" si="44"/>
        <v>4528.3865749022443</v>
      </c>
      <c r="CV31" s="23">
        <f t="shared" si="44"/>
        <v>4505.7446420277329</v>
      </c>
      <c r="CW31" s="23">
        <f t="shared" si="44"/>
        <v>4483.2159188175938</v>
      </c>
      <c r="CX31" s="23">
        <f t="shared" si="44"/>
        <v>4460.7998392235058</v>
      </c>
      <c r="CY31" s="23">
        <f t="shared" si="44"/>
        <v>4438.4958400273881</v>
      </c>
      <c r="CZ31" s="23">
        <f t="shared" si="44"/>
        <v>4416.3033608272508</v>
      </c>
      <c r="DA31" s="23">
        <f t="shared" si="44"/>
        <v>4394.2218440231145</v>
      </c>
      <c r="DB31" s="23">
        <f t="shared" si="44"/>
        <v>4372.2507348029985</v>
      </c>
      <c r="DC31" s="23">
        <f t="shared" si="44"/>
        <v>4350.3894811289838</v>
      </c>
      <c r="DD31" s="23">
        <f t="shared" si="44"/>
        <v>4328.6375337233385</v>
      </c>
      <c r="DE31" s="23">
        <f t="shared" si="44"/>
        <v>4306.994346054722</v>
      </c>
      <c r="DF31" s="23">
        <f t="shared" si="44"/>
        <v>4285.4593743244486</v>
      </c>
      <c r="DG31" s="23">
        <f t="shared" si="44"/>
        <v>4264.0320774528263</v>
      </c>
      <c r="DH31" s="23">
        <f t="shared" ref="DH31:DP31" si="45">DG31*($F$2+1)</f>
        <v>4242.7119170655624</v>
      </c>
      <c r="DI31" s="23">
        <f t="shared" si="45"/>
        <v>4221.4983574802345</v>
      </c>
      <c r="DJ31" s="23">
        <f t="shared" si="45"/>
        <v>4200.3908656928334</v>
      </c>
      <c r="DK31" s="23">
        <f t="shared" si="45"/>
        <v>4179.3889113643691</v>
      </c>
      <c r="DL31" s="23">
        <f t="shared" si="45"/>
        <v>4158.4919668075472</v>
      </c>
      <c r="DM31" s="23">
        <f t="shared" si="45"/>
        <v>4137.6995069735094</v>
      </c>
      <c r="DN31" s="23">
        <f t="shared" si="45"/>
        <v>4117.0110094386418</v>
      </c>
      <c r="DO31" s="23">
        <f t="shared" si="45"/>
        <v>4096.4259543914486</v>
      </c>
      <c r="DP31" s="23">
        <f t="shared" si="45"/>
        <v>4075.9438246194914</v>
      </c>
      <c r="DQ31" s="23">
        <f t="shared" ref="DQ31" si="46">DP31*($F$2+1)</f>
        <v>4055.5641054963939</v>
      </c>
      <c r="DR31" s="23">
        <f t="shared" ref="DR31" si="47">DQ31*($F$2+1)</f>
        <v>4035.2862849689118</v>
      </c>
      <c r="DS31" s="23">
        <f t="shared" ref="DS31" si="48">DR31*($F$2+1)</f>
        <v>4015.1098535440674</v>
      </c>
      <c r="DT31" s="23">
        <f t="shared" ref="DT31" si="49">DS31*($F$2+1)</f>
        <v>3995.034304276347</v>
      </c>
      <c r="DU31" s="23">
        <f t="shared" ref="DU31" si="50">DT31*($F$2+1)</f>
        <v>3975.0591327549655</v>
      </c>
      <c r="DV31" s="23">
        <f t="shared" ref="DV31" si="51">DU31*($F$2+1)</f>
        <v>3955.1838370911905</v>
      </c>
      <c r="DW31" s="23">
        <f t="shared" ref="DW31" si="52">DV31*($F$2+1)</f>
        <v>3935.4079179057344</v>
      </c>
      <c r="DX31" s="23">
        <f t="shared" ref="DX31" si="53">DW31*($F$2+1)</f>
        <v>3915.7308783162057</v>
      </c>
      <c r="DY31" s="23">
        <f t="shared" ref="DY31" si="54">DX31*($F$2+1)</f>
        <v>3896.1522239246246</v>
      </c>
      <c r="DZ31" s="23">
        <f t="shared" ref="DZ31" si="55">DY31*($F$2+1)</f>
        <v>3876.6714628050013</v>
      </c>
      <c r="EA31" s="23">
        <f t="shared" ref="EA31" si="56">DZ31*($F$2+1)</f>
        <v>3857.2881054909762</v>
      </c>
      <c r="EB31" s="23">
        <f t="shared" ref="EB31" si="57">EA31*($F$2+1)</f>
        <v>3838.0016649635213</v>
      </c>
      <c r="EC31" s="23">
        <f t="shared" ref="EC31" si="58">EB31*($F$2+1)</f>
        <v>3818.8116566387039</v>
      </c>
      <c r="ED31" s="23">
        <f t="shared" ref="ED31" si="59">EC31*($F$2+1)</f>
        <v>3799.7175983555103</v>
      </c>
      <c r="EE31" s="23">
        <f t="shared" ref="EE31" si="60">ED31*($F$2+1)</f>
        <v>3780.7190103637327</v>
      </c>
      <c r="EF31" s="23">
        <f t="shared" ref="EF31" si="61">EE31*($F$2+1)</f>
        <v>3761.815415311914</v>
      </c>
      <c r="EG31" s="23">
        <f t="shared" ref="EG31" si="62">EF31*($F$2+1)</f>
        <v>3743.0063382353542</v>
      </c>
      <c r="EH31" s="23">
        <f t="shared" ref="EH31" si="63">EG31*($F$2+1)</f>
        <v>3724.2913065441776</v>
      </c>
      <c r="EI31" s="23">
        <f t="shared" ref="EI31" si="64">EH31*($F$2+1)</f>
        <v>3705.6698500114567</v>
      </c>
      <c r="EJ31" s="23">
        <f t="shared" ref="EJ31" si="65">EI31*($F$2+1)</f>
        <v>3687.1415007613996</v>
      </c>
      <c r="EK31" s="23">
        <f t="shared" ref="EK31" si="66">EJ31*($F$2+1)</f>
        <v>3668.7057932575926</v>
      </c>
      <c r="EL31" s="23">
        <f t="shared" ref="EL31" si="67">EK31*($F$2+1)</f>
        <v>3650.3622642913047</v>
      </c>
      <c r="EM31" s="23">
        <f t="shared" ref="EM31" si="68">EL31*($F$2+1)</f>
        <v>3632.1104529698482</v>
      </c>
      <c r="EN31" s="23">
        <f t="shared" ref="EN31" si="69">EM31*($F$2+1)</f>
        <v>3613.949900704999</v>
      </c>
      <c r="EO31" s="23">
        <f t="shared" ref="EO31" si="70">EN31*($F$2+1)</f>
        <v>3595.8801512014738</v>
      </c>
      <c r="EP31" s="23">
        <f t="shared" ref="EP31" si="71">EO31*($F$2+1)</f>
        <v>3577.9007504454667</v>
      </c>
      <c r="EQ31" s="23">
        <f t="shared" ref="EQ31" si="72">EP31*($F$2+1)</f>
        <v>3560.0112466932392</v>
      </c>
      <c r="ER31" s="23">
        <f t="shared" ref="ER31" si="73">EQ31*($F$2+1)</f>
        <v>3542.2111904597728</v>
      </c>
      <c r="ES31" s="23">
        <f t="shared" ref="ES31" si="74">ER31*($F$2+1)</f>
        <v>3524.5001345074738</v>
      </c>
      <c r="ET31" s="23">
        <f t="shared" ref="ET31" si="75">ES31*($F$2+1)</f>
        <v>3506.8776338349367</v>
      </c>
      <c r="EU31" s="23">
        <f t="shared" ref="EU31" si="76">ET31*($F$2+1)</f>
        <v>3489.343245665762</v>
      </c>
      <c r="EV31" s="23">
        <f t="shared" ref="EV31" si="77">EU31*($F$2+1)</f>
        <v>3471.8965294374329</v>
      </c>
      <c r="EW31" s="23">
        <f t="shared" ref="EW31" si="78">EV31*($F$2+1)</f>
        <v>3454.5370467902458</v>
      </c>
      <c r="EX31" s="23">
        <f t="shared" ref="EX31" si="79">EW31*($F$2+1)</f>
        <v>3437.2643615562947</v>
      </c>
      <c r="EY31" s="23">
        <f t="shared" ref="EY31" si="80">EX31*($F$2+1)</f>
        <v>3420.0780397485132</v>
      </c>
      <c r="EZ31" s="23">
        <f t="shared" ref="EZ31" si="81">EY31*($F$2+1)</f>
        <v>3402.9776495497708</v>
      </c>
      <c r="FA31" s="23">
        <f t="shared" ref="FA31" si="82">EZ31*($F$2+1)</f>
        <v>3385.962761302022</v>
      </c>
      <c r="FB31" s="23">
        <f t="shared" ref="FB31" si="83">FA31*($F$2+1)</f>
        <v>3369.032947495512</v>
      </c>
      <c r="FC31" s="23">
        <f t="shared" ref="FC31" si="84">FB31*($F$2+1)</f>
        <v>3352.1877827580342</v>
      </c>
      <c r="FD31" s="23">
        <f t="shared" ref="FD31" si="85">FC31*($F$2+1)</f>
        <v>3335.4268438442441</v>
      </c>
      <c r="FE31" s="23">
        <f t="shared" ref="FE31" si="86">FD31*($F$2+1)</f>
        <v>3318.7497096250227</v>
      </c>
      <c r="FF31" s="23">
        <f t="shared" ref="FF31" si="87">FE31*($F$2+1)</f>
        <v>3302.1559610768977</v>
      </c>
      <c r="FG31" s="23">
        <f t="shared" ref="FG31" si="88">FF31*($F$2+1)</f>
        <v>3285.6451812715131</v>
      </c>
      <c r="FH31" s="23">
        <f t="shared" ref="FH31" si="89">FG31*($F$2+1)</f>
        <v>3269.2169553651556</v>
      </c>
      <c r="FI31" s="23">
        <f t="shared" ref="FI31" si="90">FH31*($F$2+1)</f>
        <v>3252.87087058833</v>
      </c>
      <c r="FJ31" s="23">
        <f t="shared" ref="FJ31" si="91">FI31*($F$2+1)</f>
        <v>3236.6065162353884</v>
      </c>
      <c r="FK31" s="23">
        <f t="shared" ref="FK31" si="92">FJ31*($F$2+1)</f>
        <v>3220.4234836542114</v>
      </c>
      <c r="FL31" s="23">
        <f t="shared" ref="FL31" si="93">FK31*($F$2+1)</f>
        <v>3204.3213662359403</v>
      </c>
      <c r="FM31" s="23">
        <f t="shared" ref="FM31" si="94">FL31*($F$2+1)</f>
        <v>3188.2997594047606</v>
      </c>
      <c r="FN31" s="23">
        <f t="shared" ref="FN31" si="95">FM31*($F$2+1)</f>
        <v>3172.3582606077366</v>
      </c>
      <c r="FO31" s="23">
        <f t="shared" ref="FO31" si="96">FN31*($F$2+1)</f>
        <v>3156.4964693046977</v>
      </c>
      <c r="FP31" s="23">
        <f t="shared" ref="FP31" si="97">FO31*($F$2+1)</f>
        <v>3140.7139869581742</v>
      </c>
      <c r="FQ31" s="23">
        <f t="shared" ref="FQ31" si="98">FP31*($F$2+1)</f>
        <v>3125.0104170233835</v>
      </c>
      <c r="FR31" s="23">
        <f t="shared" ref="FR31" si="99">FQ31*($F$2+1)</f>
        <v>3109.3853649382668</v>
      </c>
      <c r="FS31" s="23">
        <f t="shared" ref="FS31" si="100">FR31*($F$2+1)</f>
        <v>3093.8384381135756</v>
      </c>
      <c r="FT31" s="23">
        <f t="shared" ref="FT31" si="101">FS31*($F$2+1)</f>
        <v>3078.3692459230078</v>
      </c>
      <c r="FU31" s="23">
        <f t="shared" ref="FU31" si="102">FT31*($F$2+1)</f>
        <v>3062.9773996933927</v>
      </c>
      <c r="FV31" s="23">
        <f t="shared" ref="FV31" si="103">FU31*($F$2+1)</f>
        <v>3047.6625126949257</v>
      </c>
      <c r="FW31" s="23">
        <f t="shared" ref="FW31" si="104">FV31*($F$2+1)</f>
        <v>3032.424200131451</v>
      </c>
      <c r="FX31" s="23">
        <f t="shared" ref="FX31" si="105">FW31*($F$2+1)</f>
        <v>3017.2620791307936</v>
      </c>
      <c r="FY31" s="23">
        <f t="shared" ref="FY31" si="106">FX31*($F$2+1)</f>
        <v>3002.1757687351396</v>
      </c>
      <c r="FZ31" s="23">
        <f t="shared" ref="FZ31" si="107">FY31*($F$2+1)</f>
        <v>2987.1648898914641</v>
      </c>
      <c r="GA31" s="23">
        <f t="shared" ref="GA31" si="108">FZ31*($F$2+1)</f>
        <v>2972.2290654420067</v>
      </c>
      <c r="GB31" s="23">
        <f t="shared" ref="GB31" si="109">GA31*($F$2+1)</f>
        <v>2957.3679201147966</v>
      </c>
      <c r="GC31" s="23">
        <f t="shared" ref="GC31" si="110">GB31*($F$2+1)</f>
        <v>2942.5810805142228</v>
      </c>
      <c r="GD31" s="23">
        <f t="shared" ref="GD31" si="111">GC31*($F$2+1)</f>
        <v>2927.8681751116515</v>
      </c>
      <c r="GE31" s="23">
        <f t="shared" ref="GE31" si="112">GD31*($F$2+1)</f>
        <v>2913.228834236093</v>
      </c>
      <c r="GF31" s="23">
        <f t="shared" ref="GF31" si="113">GE31*($F$2+1)</f>
        <v>2898.6626900649126</v>
      </c>
      <c r="GG31" s="23">
        <f t="shared" ref="GG31" si="114">GF31*($F$2+1)</f>
        <v>2884.1693766145881</v>
      </c>
      <c r="GH31" s="23">
        <f t="shared" ref="GH31" si="115">GG31*($F$2+1)</f>
        <v>2869.7485297315152</v>
      </c>
      <c r="GI31" s="23">
        <f t="shared" ref="GI31" si="116">GH31*($F$2+1)</f>
        <v>2855.3997870828575</v>
      </c>
      <c r="GJ31" s="23">
        <f t="shared" ref="GJ31" si="117">GI31*($F$2+1)</f>
        <v>2841.1227881474433</v>
      </c>
      <c r="GK31" s="23">
        <f t="shared" ref="GK31" si="118">GJ31*($F$2+1)</f>
        <v>2826.917174206706</v>
      </c>
      <c r="GL31" s="23">
        <f t="shared" ref="GL31" si="119">GK31*($F$2+1)</f>
        <v>2812.7825883356727</v>
      </c>
      <c r="GM31" s="23">
        <f t="shared" ref="GM31" si="120">GL31*($F$2+1)</f>
        <v>2798.7186753939945</v>
      </c>
      <c r="GN31" s="23">
        <f t="shared" ref="GN31" si="121">GM31*($F$2+1)</f>
        <v>2784.7250820170248</v>
      </c>
      <c r="GO31" s="23">
        <f t="shared" ref="GO31" si="122">GN31*($F$2+1)</f>
        <v>2770.8014566069396</v>
      </c>
      <c r="GP31" s="23">
        <f t="shared" ref="GP31" si="123">GO31*($F$2+1)</f>
        <v>2756.9474493239049</v>
      </c>
      <c r="GQ31" s="23">
        <f t="shared" ref="GQ31" si="124">GP31*($F$2+1)</f>
        <v>2743.1627120772855</v>
      </c>
      <c r="GR31" s="23">
        <f t="shared" ref="GR31" si="125">GQ31*($F$2+1)</f>
        <v>2729.4468985168992</v>
      </c>
      <c r="GS31" s="23">
        <f t="shared" ref="GS31" si="126">GR31*($F$2+1)</f>
        <v>2715.7996640243146</v>
      </c>
      <c r="GT31" s="23">
        <f t="shared" ref="GT31" si="127">GS31*($F$2+1)</f>
        <v>2702.2206657041929</v>
      </c>
      <c r="GU31" s="23">
        <f t="shared" ref="GU31" si="128">GT31*($F$2+1)</f>
        <v>2688.7095623756718</v>
      </c>
      <c r="GV31" s="23">
        <f t="shared" ref="GV31" si="129">GU31*($F$2+1)</f>
        <v>2675.2660145637933</v>
      </c>
      <c r="GW31" s="23">
        <f t="shared" ref="GW31" si="130">GV31*($F$2+1)</f>
        <v>2661.8896844909741</v>
      </c>
      <c r="GX31" s="23">
        <f t="shared" ref="GX31" si="131">GW31*($F$2+1)</f>
        <v>2648.5802360685193</v>
      </c>
      <c r="GY31" s="23">
        <f t="shared" ref="GY31" si="132">GX31*($F$2+1)</f>
        <v>2635.3373348881769</v>
      </c>
      <c r="GZ31" s="23">
        <f t="shared" ref="GZ31" si="133">GY31*($F$2+1)</f>
        <v>2622.1606482137358</v>
      </c>
      <c r="HA31" s="23">
        <f t="shared" ref="HA31" si="134">GZ31*($F$2+1)</f>
        <v>2609.049844972667</v>
      </c>
      <c r="HB31" s="23">
        <f t="shared" ref="HB31" si="135">HA31*($F$2+1)</f>
        <v>2596.0045957478037</v>
      </c>
      <c r="HC31" s="23">
        <f t="shared" ref="HC31" si="136">HB31*($F$2+1)</f>
        <v>2583.0245727690649</v>
      </c>
      <c r="HD31" s="23">
        <f t="shared" ref="HD31" si="137">HC31*($F$2+1)</f>
        <v>2570.1094499052197</v>
      </c>
      <c r="HE31" s="23">
        <f t="shared" ref="HE31" si="138">HD31*($F$2+1)</f>
        <v>2557.2589026556934</v>
      </c>
      <c r="HF31" s="23">
        <f t="shared" ref="HF31" si="139">HE31*($F$2+1)</f>
        <v>2544.4726081424151</v>
      </c>
      <c r="HG31" s="23">
        <f t="shared" ref="HG31" si="140">HF31*($F$2+1)</f>
        <v>2531.7502451017031</v>
      </c>
      <c r="HH31" s="23">
        <f t="shared" ref="HH31" si="141">HG31*($F$2+1)</f>
        <v>2519.0914938761944</v>
      </c>
      <c r="HI31" s="23">
        <f t="shared" ref="HI31" si="142">HH31*($F$2+1)</f>
        <v>2506.4960364068133</v>
      </c>
      <c r="HJ31" s="23">
        <f t="shared" ref="HJ31" si="143">HI31*($F$2+1)</f>
        <v>2493.9635562247795</v>
      </c>
      <c r="HK31" s="23">
        <f t="shared" ref="HK31" si="144">HJ31*($F$2+1)</f>
        <v>2481.4937384436557</v>
      </c>
      <c r="HL31" s="23">
        <f t="shared" ref="HL31" si="145">HK31*($F$2+1)</f>
        <v>2469.0862697514376</v>
      </c>
      <c r="HM31" s="23">
        <f t="shared" ref="HM31" si="146">HL31*($F$2+1)</f>
        <v>2456.7408384026803</v>
      </c>
      <c r="HN31" s="23">
        <f t="shared" ref="HN31" si="147">HM31*($F$2+1)</f>
        <v>2444.4571342106669</v>
      </c>
      <c r="HO31" s="23">
        <f t="shared" ref="HO31" si="148">HN31*($F$2+1)</f>
        <v>2432.2348485396137</v>
      </c>
      <c r="HP31" s="23">
        <f t="shared" ref="HP31" si="149">HO31*($F$2+1)</f>
        <v>2420.0736742969157</v>
      </c>
      <c r="HQ31" s="23">
        <f t="shared" ref="HQ31" si="150">HP31*($F$2+1)</f>
        <v>2407.9733059254313</v>
      </c>
      <c r="HR31" s="23">
        <f t="shared" ref="HR31" si="151">HQ31*($F$2+1)</f>
        <v>2395.9334393958043</v>
      </c>
      <c r="HS31" s="23">
        <f t="shared" ref="HS31" si="152">HR31*($F$2+1)</f>
        <v>2383.9537721988254</v>
      </c>
      <c r="HT31" s="23">
        <f t="shared" ref="HT31" si="153">HS31*($F$2+1)</f>
        <v>2372.0340033378311</v>
      </c>
      <c r="HU31" s="23">
        <f t="shared" ref="HU31" si="154">HT31*($F$2+1)</f>
        <v>2360.173833321142</v>
      </c>
      <c r="HV31" s="23">
        <f t="shared" ref="HV31" si="155">HU31*($F$2+1)</f>
        <v>2348.372964154536</v>
      </c>
      <c r="HW31" s="23">
        <f t="shared" ref="HW31" si="156">HV31*($F$2+1)</f>
        <v>2336.6310993337634</v>
      </c>
      <c r="HX31" s="23">
        <f t="shared" ref="HX31" si="157">HW31*($F$2+1)</f>
        <v>2324.9479438370945</v>
      </c>
      <c r="HY31" s="23">
        <f t="shared" ref="HY31" si="158">HX31*($F$2+1)</f>
        <v>2313.323204117909</v>
      </c>
      <c r="HZ31" s="23">
        <f t="shared" ref="HZ31" si="159">HY31*($F$2+1)</f>
        <v>2301.7565880973193</v>
      </c>
      <c r="IA31" s="23">
        <f t="shared" ref="IA31" si="160">HZ31*($F$2+1)</f>
        <v>2290.2478051568328</v>
      </c>
      <c r="IB31" s="23">
        <f t="shared" ref="IB31" si="161">IA31*($F$2+1)</f>
        <v>2278.7965661310486</v>
      </c>
      <c r="IC31" s="23">
        <f t="shared" ref="IC31" si="162">IB31*($F$2+1)</f>
        <v>2267.4025833003934</v>
      </c>
      <c r="ID31" s="23">
        <f t="shared" ref="ID31" si="163">IC31*($F$2+1)</f>
        <v>2256.0655703838916</v>
      </c>
      <c r="IE31" s="23">
        <f t="shared" ref="IE31" si="164">ID31*($F$2+1)</f>
        <v>2244.785242531972</v>
      </c>
      <c r="IF31" s="23">
        <f t="shared" ref="IF31" si="165">IE31*($F$2+1)</f>
        <v>2233.561316319312</v>
      </c>
      <c r="IG31" s="23">
        <f t="shared" ref="IG31" si="166">IF31*($F$2+1)</f>
        <v>2222.3935097377152</v>
      </c>
      <c r="IH31" s="23">
        <f t="shared" ref="IH31" si="167">IG31*($F$2+1)</f>
        <v>2211.2815421890268</v>
      </c>
      <c r="II31" s="23">
        <f t="shared" ref="II31" si="168">IH31*($F$2+1)</f>
        <v>2200.2251344780816</v>
      </c>
    </row>
    <row r="32" spans="1:243" x14ac:dyDescent="0.15">
      <c r="A32" s="1" t="s">
        <v>16</v>
      </c>
      <c r="B32" s="24">
        <f>B31/B33</f>
        <v>-0.16153846153846155</v>
      </c>
      <c r="C32" s="24">
        <f>C31/C33</f>
        <v>-8.6956521739130432E-2</v>
      </c>
      <c r="D32" s="24">
        <f>D31/D33</f>
        <v>0.76604572780050717</v>
      </c>
      <c r="E32" s="19">
        <f t="shared" ref="E32:F32" si="169">E31/E33</f>
        <v>0.2463944494190082</v>
      </c>
      <c r="F32" s="19">
        <f t="shared" si="169"/>
        <v>0.51099545314811845</v>
      </c>
      <c r="G32" s="19">
        <f t="shared" ref="G32:O32" si="170">G31/G33</f>
        <v>0.93769901098115538</v>
      </c>
      <c r="H32" s="19">
        <f t="shared" si="170"/>
        <v>1.6119482711487823</v>
      </c>
      <c r="I32" s="19">
        <f t="shared" si="170"/>
        <v>2.6618523509665928</v>
      </c>
      <c r="J32" s="19">
        <f t="shared" si="170"/>
        <v>3.3709782915034237</v>
      </c>
      <c r="K32" s="19">
        <f t="shared" si="170"/>
        <v>4.2671593059797992</v>
      </c>
      <c r="L32" s="19">
        <f t="shared" si="170"/>
        <v>5.2633535221880132</v>
      </c>
      <c r="M32" s="19">
        <f t="shared" si="170"/>
        <v>6.3699453393230634</v>
      </c>
      <c r="N32" s="19">
        <f t="shared" si="170"/>
        <v>7.5983644651172639</v>
      </c>
      <c r="O32" s="19">
        <f t="shared" si="170"/>
        <v>8.9611906460054183</v>
      </c>
      <c r="P32" s="19">
        <f t="shared" ref="P32:R32" si="171">P31/P33</f>
        <v>10.472268873837292</v>
      </c>
      <c r="Q32" s="19">
        <f t="shared" si="171"/>
        <v>12.146836116885202</v>
      </c>
      <c r="R32" s="19">
        <f t="shared" si="171"/>
        <v>14.001660727670863</v>
      </c>
      <c r="S32" s="19"/>
      <c r="T32" s="19"/>
    </row>
    <row r="33" spans="1:20" x14ac:dyDescent="0.15">
      <c r="A33" s="1" t="s">
        <v>17</v>
      </c>
      <c r="B33" s="5">
        <f>Reports!E24</f>
        <v>390</v>
      </c>
      <c r="C33" s="5">
        <f>Reports!I24</f>
        <v>414</v>
      </c>
      <c r="D33" s="5">
        <f>Reports!M24</f>
        <v>485.39400000000001</v>
      </c>
      <c r="E33" s="5">
        <f>D33</f>
        <v>485.39400000000001</v>
      </c>
      <c r="F33" s="5">
        <f t="shared" ref="F33" si="172">E33</f>
        <v>485.39400000000001</v>
      </c>
      <c r="G33" s="5">
        <f t="shared" ref="G33" si="173">F33</f>
        <v>485.39400000000001</v>
      </c>
      <c r="H33" s="5">
        <f t="shared" ref="H33" si="174">G33</f>
        <v>485.39400000000001</v>
      </c>
      <c r="I33" s="5">
        <f t="shared" ref="I33" si="175">H33</f>
        <v>485.39400000000001</v>
      </c>
      <c r="J33" s="5">
        <f t="shared" ref="J33" si="176">I33</f>
        <v>485.39400000000001</v>
      </c>
      <c r="K33" s="5">
        <f t="shared" ref="K33" si="177">J33</f>
        <v>485.39400000000001</v>
      </c>
      <c r="L33" s="5">
        <f t="shared" ref="L33" si="178">K33</f>
        <v>485.39400000000001</v>
      </c>
      <c r="M33" s="5">
        <f t="shared" ref="M33" si="179">L33</f>
        <v>485.39400000000001</v>
      </c>
      <c r="N33" s="5">
        <f t="shared" ref="N33" si="180">M33</f>
        <v>485.39400000000001</v>
      </c>
      <c r="O33" s="5">
        <f t="shared" ref="O33:R33" si="181">N33</f>
        <v>485.39400000000001</v>
      </c>
      <c r="P33" s="5">
        <f t="shared" si="181"/>
        <v>485.39400000000001</v>
      </c>
      <c r="Q33" s="5">
        <f t="shared" si="181"/>
        <v>485.39400000000001</v>
      </c>
      <c r="R33" s="5">
        <f t="shared" si="181"/>
        <v>485.39400000000001</v>
      </c>
      <c r="S33" s="5"/>
      <c r="T33" s="5"/>
    </row>
    <row r="34" spans="1:20" x14ac:dyDescent="0.1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15">
      <c r="A35" s="1" t="s">
        <v>19</v>
      </c>
      <c r="B35" s="22">
        <f t="shared" ref="B35:O35" si="182">IFERROR(B22/B20,0)</f>
        <v>0.37867148666967915</v>
      </c>
      <c r="C35" s="22">
        <f t="shared" si="182"/>
        <v>0.39532766990291263</v>
      </c>
      <c r="D35" s="22">
        <f t="shared" si="182"/>
        <v>0.40115752146093647</v>
      </c>
      <c r="E35" s="22">
        <f t="shared" si="182"/>
        <v>0.40115752146093647</v>
      </c>
      <c r="F35" s="22">
        <f t="shared" si="182"/>
        <v>0.40115752146093647</v>
      </c>
      <c r="G35" s="22">
        <f t="shared" si="182"/>
        <v>0.40115752146093647</v>
      </c>
      <c r="H35" s="22">
        <f t="shared" si="182"/>
        <v>0.40115752146093653</v>
      </c>
      <c r="I35" s="22">
        <f t="shared" si="182"/>
        <v>0.40115752146093653</v>
      </c>
      <c r="J35" s="22">
        <f t="shared" si="182"/>
        <v>0.40115752146093653</v>
      </c>
      <c r="K35" s="22">
        <f t="shared" si="182"/>
        <v>0.40115752146093653</v>
      </c>
      <c r="L35" s="22">
        <f t="shared" si="182"/>
        <v>0.40115752146093647</v>
      </c>
      <c r="M35" s="22">
        <f t="shared" si="182"/>
        <v>0.40115752146093647</v>
      </c>
      <c r="N35" s="22">
        <f t="shared" si="182"/>
        <v>0.40115752146093647</v>
      </c>
      <c r="O35" s="22">
        <f t="shared" si="182"/>
        <v>0.40115752146093647</v>
      </c>
      <c r="P35" s="22">
        <f t="shared" ref="P35:R35" si="183">IFERROR(P22/P20,0)</f>
        <v>0.40115752146093647</v>
      </c>
      <c r="Q35" s="22">
        <f t="shared" si="183"/>
        <v>0.40115752146093647</v>
      </c>
      <c r="R35" s="22">
        <f t="shared" si="183"/>
        <v>0.40115752146093647</v>
      </c>
      <c r="S35" s="22"/>
      <c r="T35" s="22"/>
    </row>
    <row r="36" spans="1:20" x14ac:dyDescent="0.15">
      <c r="A36" s="1" t="s">
        <v>20</v>
      </c>
      <c r="B36" s="21">
        <f t="shared" ref="B36:O36" si="184">IFERROR(B27/B20,0)</f>
        <v>-2.5305015815634886E-2</v>
      </c>
      <c r="C36" s="21">
        <f t="shared" si="184"/>
        <v>-1.0922330097087379E-2</v>
      </c>
      <c r="D36" s="21">
        <f t="shared" si="184"/>
        <v>5.9036266983742607E-3</v>
      </c>
      <c r="E36" s="21">
        <f t="shared" si="184"/>
        <v>1.9796267137582223E-2</v>
      </c>
      <c r="F36" s="21">
        <f t="shared" si="184"/>
        <v>3.5168616506508189E-2</v>
      </c>
      <c r="G36" s="21">
        <f t="shared" si="184"/>
        <v>5.1995923670891363E-2</v>
      </c>
      <c r="H36" s="21">
        <f t="shared" si="184"/>
        <v>7.0190391059987589E-2</v>
      </c>
      <c r="I36" s="21">
        <f t="shared" si="184"/>
        <v>8.9597682416410807E-2</v>
      </c>
      <c r="J36" s="21">
        <f t="shared" si="184"/>
        <v>0.10252732801941562</v>
      </c>
      <c r="K36" s="21">
        <f t="shared" si="184"/>
        <v>0.11741603796319214</v>
      </c>
      <c r="L36" s="21">
        <f t="shared" si="184"/>
        <v>0.13097459666659958</v>
      </c>
      <c r="M36" s="21">
        <f t="shared" si="184"/>
        <v>0.14332672450767198</v>
      </c>
      <c r="N36" s="21">
        <f t="shared" si="184"/>
        <v>0.1545842005162944</v>
      </c>
      <c r="O36" s="21">
        <f t="shared" si="184"/>
        <v>0.16484805194524763</v>
      </c>
      <c r="P36" s="21">
        <f t="shared" ref="P36:R36" si="185">IFERROR(P27/P20,0)</f>
        <v>0.17420962229688236</v>
      </c>
      <c r="Q36" s="21">
        <f t="shared" si="185"/>
        <v>0.1827515304664814</v>
      </c>
      <c r="R36" s="21">
        <f t="shared" si="185"/>
        <v>0.19054853232567462</v>
      </c>
      <c r="S36" s="21"/>
      <c r="T36" s="21"/>
    </row>
    <row r="37" spans="1:20" x14ac:dyDescent="0.15">
      <c r="A37" s="1" t="s">
        <v>21</v>
      </c>
      <c r="B37" s="21">
        <f t="shared" ref="B37:O37" si="186">IFERROR(B30/B29,0)</f>
        <v>1.5625E-2</v>
      </c>
      <c r="C37" s="21">
        <f t="shared" si="186"/>
        <v>-5.8823529411764705E-2</v>
      </c>
      <c r="D37" s="21">
        <f t="shared" si="186"/>
        <v>1.0642996642134576E-2</v>
      </c>
      <c r="E37" s="21">
        <f t="shared" si="186"/>
        <v>0.15</v>
      </c>
      <c r="F37" s="21">
        <f t="shared" si="186"/>
        <v>0.15</v>
      </c>
      <c r="G37" s="21">
        <f t="shared" si="186"/>
        <v>0.15</v>
      </c>
      <c r="H37" s="21">
        <f t="shared" si="186"/>
        <v>0.15</v>
      </c>
      <c r="I37" s="21">
        <f t="shared" si="186"/>
        <v>0.15</v>
      </c>
      <c r="J37" s="21">
        <f t="shared" si="186"/>
        <v>0.15</v>
      </c>
      <c r="K37" s="21">
        <f t="shared" si="186"/>
        <v>0.15</v>
      </c>
      <c r="L37" s="21">
        <f t="shared" si="186"/>
        <v>0.15</v>
      </c>
      <c r="M37" s="21">
        <f t="shared" si="186"/>
        <v>0.15</v>
      </c>
      <c r="N37" s="21">
        <f t="shared" si="186"/>
        <v>0.15</v>
      </c>
      <c r="O37" s="21">
        <f t="shared" si="186"/>
        <v>0.15</v>
      </c>
      <c r="P37" s="21">
        <f t="shared" ref="P37:R37" si="187">IFERROR(P30/P29,0)</f>
        <v>0.15</v>
      </c>
      <c r="Q37" s="21">
        <f t="shared" si="187"/>
        <v>0.15</v>
      </c>
      <c r="R37" s="21">
        <f t="shared" si="187"/>
        <v>0.15</v>
      </c>
      <c r="S37" s="21"/>
      <c r="T37" s="21"/>
    </row>
    <row r="38" spans="1:20" x14ac:dyDescent="0.1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15">
      <c r="A39" s="16" t="s">
        <v>18</v>
      </c>
      <c r="B39" s="20"/>
      <c r="C39" s="20">
        <f>C20/B20-1</f>
        <v>0.48938093086308188</v>
      </c>
      <c r="D39" s="20">
        <f t="shared" ref="D39:R39" si="188">D20/C20-1</f>
        <v>0.43043962378640765</v>
      </c>
      <c r="E39" s="20">
        <f>E20/D20-1</f>
        <v>0.26389034237174602</v>
      </c>
      <c r="F39" s="20">
        <f>F20/E20-1</f>
        <v>0.27249899895541985</v>
      </c>
      <c r="G39" s="20">
        <f t="shared" si="188"/>
        <v>0.28181961760090535</v>
      </c>
      <c r="H39" s="20">
        <f t="shared" si="188"/>
        <v>0.29181592395448264</v>
      </c>
      <c r="I39" s="20">
        <f t="shared" si="188"/>
        <v>0.30242377467411075</v>
      </c>
      <c r="J39" s="20">
        <f t="shared" si="188"/>
        <v>0.10000000000000009</v>
      </c>
      <c r="K39" s="20">
        <f t="shared" si="188"/>
        <v>0.10000000000000009</v>
      </c>
      <c r="L39" s="20">
        <f t="shared" si="188"/>
        <v>0.10000000000000009</v>
      </c>
      <c r="M39" s="20">
        <f t="shared" si="188"/>
        <v>0.10000000000000009</v>
      </c>
      <c r="N39" s="20">
        <f t="shared" si="188"/>
        <v>0.10000000000000009</v>
      </c>
      <c r="O39" s="20">
        <f t="shared" si="188"/>
        <v>0.10000000000000009</v>
      </c>
      <c r="P39" s="20">
        <f t="shared" si="188"/>
        <v>0.10000000000000009</v>
      </c>
      <c r="Q39" s="20">
        <f t="shared" si="188"/>
        <v>0.10000000000000009</v>
      </c>
      <c r="R39" s="20">
        <f t="shared" si="188"/>
        <v>0.10000000000000009</v>
      </c>
      <c r="S39" s="20"/>
      <c r="T39" s="20"/>
    </row>
    <row r="40" spans="1:20" x14ac:dyDescent="0.15">
      <c r="A40" s="1" t="s">
        <v>43</v>
      </c>
      <c r="B40" s="21"/>
      <c r="C40" s="21">
        <f t="shared" ref="C40:R40" si="189">C23/B23-1</f>
        <v>0.54179566563467496</v>
      </c>
      <c r="D40" s="21">
        <f t="shared" si="189"/>
        <v>0.34595180722891561</v>
      </c>
      <c r="E40" s="21">
        <f t="shared" si="189"/>
        <v>0.25</v>
      </c>
      <c r="F40" s="21">
        <f t="shared" si="189"/>
        <v>0.24999999999999978</v>
      </c>
      <c r="G40" s="21">
        <f t="shared" si="189"/>
        <v>0.25</v>
      </c>
      <c r="H40" s="21">
        <f t="shared" si="189"/>
        <v>0.25</v>
      </c>
      <c r="I40" s="21">
        <f t="shared" si="189"/>
        <v>0.25</v>
      </c>
      <c r="J40" s="21">
        <f t="shared" si="189"/>
        <v>0.10000000000000009</v>
      </c>
      <c r="K40" s="21">
        <f t="shared" si="189"/>
        <v>0.10000000000000009</v>
      </c>
      <c r="L40" s="21">
        <f t="shared" si="189"/>
        <v>0.10000000000000009</v>
      </c>
      <c r="M40" s="21">
        <f t="shared" si="189"/>
        <v>0.10000000000000009</v>
      </c>
      <c r="N40" s="21">
        <f t="shared" si="189"/>
        <v>0.10000000000000009</v>
      </c>
      <c r="O40" s="21">
        <f t="shared" si="189"/>
        <v>0.10000000000000009</v>
      </c>
      <c r="P40" s="21">
        <f t="shared" si="189"/>
        <v>0.10000000000000009</v>
      </c>
      <c r="Q40" s="21">
        <f t="shared" si="189"/>
        <v>0.10000000000000009</v>
      </c>
      <c r="R40" s="21">
        <f t="shared" si="189"/>
        <v>0.10000000000000009</v>
      </c>
      <c r="S40" s="21"/>
      <c r="T40" s="21"/>
    </row>
    <row r="41" spans="1:20" x14ac:dyDescent="0.15">
      <c r="A41" s="1" t="s">
        <v>44</v>
      </c>
      <c r="B41" s="21"/>
      <c r="C41" s="21">
        <f t="shared" ref="C41:R41" si="190">C24/B24-1</f>
        <v>0.61417322834645671</v>
      </c>
      <c r="D41" s="21">
        <f t="shared" si="190"/>
        <v>0.52251463414634136</v>
      </c>
      <c r="E41" s="21">
        <f t="shared" si="190"/>
        <v>0.25</v>
      </c>
      <c r="F41" s="21">
        <f t="shared" si="190"/>
        <v>0.25</v>
      </c>
      <c r="G41" s="21">
        <f t="shared" si="190"/>
        <v>0.25</v>
      </c>
      <c r="H41" s="21">
        <f t="shared" si="190"/>
        <v>0.25</v>
      </c>
      <c r="I41" s="21">
        <f t="shared" si="190"/>
        <v>0.25</v>
      </c>
      <c r="J41" s="21">
        <f t="shared" si="190"/>
        <v>5.0000000000000044E-2</v>
      </c>
      <c r="K41" s="21">
        <f t="shared" si="190"/>
        <v>2.0000000000000018E-2</v>
      </c>
      <c r="L41" s="21">
        <f t="shared" si="190"/>
        <v>2.0000000000000018E-2</v>
      </c>
      <c r="M41" s="21">
        <f t="shared" si="190"/>
        <v>2.0000000000000018E-2</v>
      </c>
      <c r="N41" s="21">
        <f t="shared" si="190"/>
        <v>2.0000000000000018E-2</v>
      </c>
      <c r="O41" s="21">
        <f t="shared" si="190"/>
        <v>2.0000000000000018E-2</v>
      </c>
      <c r="P41" s="21">
        <f t="shared" si="190"/>
        <v>2.0000000000000018E-2</v>
      </c>
      <c r="Q41" s="21">
        <f t="shared" si="190"/>
        <v>2.0000000000000018E-2</v>
      </c>
      <c r="R41" s="21">
        <f t="shared" si="190"/>
        <v>2.0000000000000018E-2</v>
      </c>
      <c r="S41" s="21"/>
      <c r="T41" s="21"/>
    </row>
    <row r="42" spans="1:20" x14ac:dyDescent="0.15">
      <c r="A42" s="1" t="s">
        <v>45</v>
      </c>
      <c r="B42" s="21"/>
      <c r="C42" s="21">
        <f t="shared" ref="C42:R42" si="191">C25/B25-1</f>
        <v>0.35962145110410093</v>
      </c>
      <c r="D42" s="21">
        <f t="shared" si="191"/>
        <v>0.32018561484918795</v>
      </c>
      <c r="E42" s="21">
        <f t="shared" si="191"/>
        <v>0.14999999999999991</v>
      </c>
      <c r="F42" s="21">
        <f t="shared" si="191"/>
        <v>0.14999999999999991</v>
      </c>
      <c r="G42" s="21">
        <f t="shared" si="191"/>
        <v>0.14999999999999991</v>
      </c>
      <c r="H42" s="21">
        <f t="shared" si="191"/>
        <v>0.14999999999999991</v>
      </c>
      <c r="I42" s="21">
        <f t="shared" si="191"/>
        <v>0.14999999999999991</v>
      </c>
      <c r="J42" s="21">
        <f t="shared" si="191"/>
        <v>-2.0000000000000129E-2</v>
      </c>
      <c r="K42" s="21">
        <f t="shared" si="191"/>
        <v>-1.9999999999999907E-2</v>
      </c>
      <c r="L42" s="21">
        <f t="shared" si="191"/>
        <v>-2.0000000000000018E-2</v>
      </c>
      <c r="M42" s="21">
        <f t="shared" si="191"/>
        <v>-2.0000000000000018E-2</v>
      </c>
      <c r="N42" s="21">
        <f t="shared" si="191"/>
        <v>-2.0000000000000018E-2</v>
      </c>
      <c r="O42" s="21">
        <f t="shared" si="191"/>
        <v>-2.0000000000000018E-2</v>
      </c>
      <c r="P42" s="21">
        <f t="shared" si="191"/>
        <v>-2.0000000000000018E-2</v>
      </c>
      <c r="Q42" s="21">
        <f t="shared" si="191"/>
        <v>-2.0000000000000018E-2</v>
      </c>
      <c r="R42" s="21">
        <f t="shared" si="191"/>
        <v>-1.9999999999999907E-2</v>
      </c>
      <c r="S42" s="21"/>
      <c r="T42" s="21"/>
    </row>
    <row r="43" spans="1:20" s="69" customFormat="1" x14ac:dyDescent="0.15">
      <c r="A43" s="69" t="s">
        <v>89</v>
      </c>
      <c r="B43" s="70"/>
      <c r="C43" s="70">
        <f>C26/B26-1</f>
        <v>0.49776286353467558</v>
      </c>
      <c r="D43" s="70">
        <f t="shared" ref="D43:R43" si="192">D26/C26-1</f>
        <v>0.39172143390589986</v>
      </c>
      <c r="E43" s="70">
        <f t="shared" si="192"/>
        <v>0.21946630426908276</v>
      </c>
      <c r="F43" s="70">
        <f t="shared" si="192"/>
        <v>0.22120564137965171</v>
      </c>
      <c r="G43" s="70">
        <f t="shared" si="192"/>
        <v>0.222884573006074</v>
      </c>
      <c r="H43" s="70">
        <f t="shared" si="192"/>
        <v>0.22450066692201198</v>
      </c>
      <c r="I43" s="70">
        <f t="shared" si="192"/>
        <v>0.22605208896014939</v>
      </c>
      <c r="J43" s="70">
        <f t="shared" si="192"/>
        <v>5.435030969677479E-2</v>
      </c>
      <c r="K43" s="70">
        <f t="shared" si="192"/>
        <v>4.5157652180400687E-2</v>
      </c>
      <c r="L43" s="70">
        <f t="shared" si="192"/>
        <v>4.7436608881102016E-2</v>
      </c>
      <c r="M43" s="70">
        <f t="shared" si="192"/>
        <v>4.9710587241875936E-2</v>
      </c>
      <c r="N43" s="70">
        <f t="shared" si="192"/>
        <v>5.1971510945105326E-2</v>
      </c>
      <c r="O43" s="70">
        <f t="shared" si="192"/>
        <v>5.4211442955001354E-2</v>
      </c>
      <c r="P43" s="70">
        <f t="shared" si="192"/>
        <v>5.6422705328300182E-2</v>
      </c>
      <c r="Q43" s="70">
        <f t="shared" si="192"/>
        <v>5.8597990899370567E-2</v>
      </c>
      <c r="R43" s="70">
        <f t="shared" si="192"/>
        <v>6.0730463454501615E-2</v>
      </c>
      <c r="S43" s="70"/>
      <c r="T43" s="70"/>
    </row>
    <row r="44" spans="1:20" x14ac:dyDescent="0.1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15">
      <c r="A45" s="16" t="s">
        <v>25</v>
      </c>
      <c r="B45" s="3"/>
      <c r="C45" s="23">
        <f>C46-C47</f>
        <v>689</v>
      </c>
      <c r="D45" s="23">
        <f>D46-D47</f>
        <v>1137</v>
      </c>
      <c r="E45" s="18">
        <f>D45+E31</f>
        <v>1256.59838738129</v>
      </c>
      <c r="F45" s="18">
        <f t="shared" ref="F45:R45" si="193">E45+F31</f>
        <v>1504.6325143666677</v>
      </c>
      <c r="G45" s="18">
        <f t="shared" si="193"/>
        <v>1959.7859881028546</v>
      </c>
      <c r="H45" s="18">
        <f t="shared" si="193"/>
        <v>2742.2160072288466</v>
      </c>
      <c r="I45" s="18">
        <f t="shared" si="193"/>
        <v>4034.2631672739249</v>
      </c>
      <c r="J45" s="18">
        <f t="shared" si="193"/>
        <v>5670.5158040999377</v>
      </c>
      <c r="K45" s="18">
        <f t="shared" si="193"/>
        <v>7741.7693282666969</v>
      </c>
      <c r="L45" s="18">
        <f t="shared" si="193"/>
        <v>10296.569547815625</v>
      </c>
      <c r="M45" s="18">
        <f t="shared" si="193"/>
        <v>13388.502795851004</v>
      </c>
      <c r="N45" s="18">
        <f t="shared" si="193"/>
        <v>17076.703317032134</v>
      </c>
      <c r="O45" s="18">
        <f t="shared" si="193"/>
        <v>21426.411489459286</v>
      </c>
      <c r="P45" s="18">
        <f t="shared" si="193"/>
        <v>26509.587967206666</v>
      </c>
      <c r="Q45" s="18">
        <f t="shared" si="193"/>
        <v>32405.589337326041</v>
      </c>
      <c r="R45" s="18">
        <f t="shared" si="193"/>
        <v>39201.91144457311</v>
      </c>
      <c r="S45" s="18"/>
      <c r="T45" s="18"/>
    </row>
    <row r="46" spans="1:20" x14ac:dyDescent="0.15">
      <c r="A46" s="1" t="s">
        <v>26</v>
      </c>
      <c r="B46" s="3"/>
      <c r="C46" s="17">
        <f>Reports!I36</f>
        <v>1589</v>
      </c>
      <c r="D46" s="17">
        <f>Reports!M36</f>
        <v>2076</v>
      </c>
    </row>
    <row r="47" spans="1:20" x14ac:dyDescent="0.15">
      <c r="A47" s="1" t="s">
        <v>27</v>
      </c>
      <c r="B47" s="3"/>
      <c r="C47" s="17">
        <f>Reports!I37</f>
        <v>900</v>
      </c>
      <c r="D47" s="17">
        <f>Reports!M37</f>
        <v>939</v>
      </c>
    </row>
    <row r="48" spans="1:20" x14ac:dyDescent="0.15">
      <c r="B48" s="3"/>
    </row>
    <row r="49" spans="1:9" x14ac:dyDescent="0.15">
      <c r="A49" s="1" t="s">
        <v>56</v>
      </c>
      <c r="B49" s="3"/>
      <c r="C49" s="17">
        <f>Reports!I39</f>
        <v>339</v>
      </c>
      <c r="D49" s="17">
        <f>Reports!M39</f>
        <v>335</v>
      </c>
    </row>
    <row r="50" spans="1:9" x14ac:dyDescent="0.15">
      <c r="A50" s="1" t="s">
        <v>57</v>
      </c>
      <c r="B50" s="3"/>
      <c r="C50" s="17">
        <f>Reports!I40</f>
        <v>3281</v>
      </c>
      <c r="D50" s="17">
        <f>Reports!M40</f>
        <v>4551</v>
      </c>
    </row>
    <row r="51" spans="1:9" x14ac:dyDescent="0.15">
      <c r="A51" s="1" t="s">
        <v>58</v>
      </c>
      <c r="B51" s="3"/>
      <c r="C51" s="17">
        <f>Reports!I41</f>
        <v>2161</v>
      </c>
      <c r="D51" s="17">
        <f>Reports!M41</f>
        <v>2836</v>
      </c>
    </row>
    <row r="52" spans="1:9" x14ac:dyDescent="0.15">
      <c r="B52" s="3"/>
    </row>
    <row r="53" spans="1:9" x14ac:dyDescent="0.15">
      <c r="A53" s="1" t="s">
        <v>59</v>
      </c>
      <c r="B53" s="3"/>
      <c r="C53" s="26">
        <f>C50-C49-C46</f>
        <v>1353</v>
      </c>
      <c r="D53" s="26">
        <f>D50-D49-D46</f>
        <v>2140</v>
      </c>
    </row>
    <row r="54" spans="1:9" x14ac:dyDescent="0.15">
      <c r="A54" s="1" t="s">
        <v>60</v>
      </c>
      <c r="B54" s="3"/>
      <c r="C54" s="26">
        <f>C50-C51</f>
        <v>1120</v>
      </c>
      <c r="D54" s="26">
        <f>D50-D51</f>
        <v>1715</v>
      </c>
    </row>
    <row r="55" spans="1:9" x14ac:dyDescent="0.15">
      <c r="B55" s="3"/>
    </row>
    <row r="56" spans="1:9" x14ac:dyDescent="0.15">
      <c r="A56" s="1" t="s">
        <v>61</v>
      </c>
      <c r="B56" s="3"/>
      <c r="C56" s="14">
        <f>C31/C54</f>
        <v>-3.214285714285714E-2</v>
      </c>
      <c r="D56" s="14">
        <f>D31/D54</f>
        <v>0.21681282798833784</v>
      </c>
    </row>
    <row r="57" spans="1:9" x14ac:dyDescent="0.15">
      <c r="A57" s="1" t="s">
        <v>62</v>
      </c>
      <c r="B57" s="3"/>
      <c r="C57" s="14">
        <f>C31/C50</f>
        <v>-1.0972264553489789E-2</v>
      </c>
      <c r="D57" s="14">
        <f>D31/D50</f>
        <v>8.1703801362337805E-2</v>
      </c>
    </row>
    <row r="58" spans="1:9" x14ac:dyDescent="0.15">
      <c r="A58" s="1" t="s">
        <v>63</v>
      </c>
      <c r="B58" s="3"/>
      <c r="C58" s="14">
        <f>C31/(C54-C49)</f>
        <v>-4.6094750320102434E-2</v>
      </c>
      <c r="D58" s="14">
        <f>D31/(D54-D49)</f>
        <v>0.26944492753623145</v>
      </c>
    </row>
    <row r="59" spans="1:9" x14ac:dyDescent="0.15">
      <c r="A59" s="1" t="s">
        <v>64</v>
      </c>
      <c r="B59" s="3"/>
      <c r="C59" s="14">
        <f>C31/C53</f>
        <v>-2.6607538802660754E-2</v>
      </c>
      <c r="D59" s="14">
        <f>D31/D53</f>
        <v>0.17375420560747634</v>
      </c>
    </row>
    <row r="61" spans="1:9" x14ac:dyDescent="0.15">
      <c r="A61" s="36" t="s">
        <v>83</v>
      </c>
      <c r="C61" s="14">
        <f t="shared" ref="C61:D63" si="194">C12/B12-1</f>
        <v>0.28697916666666656</v>
      </c>
      <c r="D61" s="14">
        <f t="shared" si="194"/>
        <v>0.24734115742614327</v>
      </c>
      <c r="E61" s="14">
        <f t="shared" ref="E61:I61" si="195">E12/D12-1</f>
        <v>0.19999999999999996</v>
      </c>
      <c r="F61" s="14">
        <f t="shared" si="195"/>
        <v>0.19999999999999996</v>
      </c>
      <c r="G61" s="14">
        <f t="shared" si="195"/>
        <v>0.19999999999999996</v>
      </c>
      <c r="H61" s="14">
        <f t="shared" si="195"/>
        <v>0.19999999999999996</v>
      </c>
      <c r="I61" s="14">
        <f t="shared" si="195"/>
        <v>0.19999999999999996</v>
      </c>
    </row>
    <row r="62" spans="1:9" x14ac:dyDescent="0.15">
      <c r="A62" s="36" t="s">
        <v>84</v>
      </c>
      <c r="C62" s="14">
        <f t="shared" si="194"/>
        <v>1.3452380952380953</v>
      </c>
      <c r="D62" s="14">
        <f t="shared" si="194"/>
        <v>0.74520304568527918</v>
      </c>
      <c r="E62" s="14">
        <f t="shared" ref="E62:I62" si="196">E13/D13-1</f>
        <v>0.35000000000000009</v>
      </c>
      <c r="F62" s="14">
        <f t="shared" si="196"/>
        <v>0.35000000000000009</v>
      </c>
      <c r="G62" s="14">
        <f t="shared" si="196"/>
        <v>0.35000000000000009</v>
      </c>
      <c r="H62" s="14">
        <f t="shared" si="196"/>
        <v>0.35000000000000009</v>
      </c>
      <c r="I62" s="14">
        <f t="shared" si="196"/>
        <v>0.35000000000000031</v>
      </c>
    </row>
    <row r="63" spans="1:9" x14ac:dyDescent="0.15">
      <c r="A63" s="36" t="s">
        <v>85</v>
      </c>
      <c r="B63" s="14"/>
      <c r="C63" s="14">
        <f t="shared" si="194"/>
        <v>0.65853658536585358</v>
      </c>
      <c r="D63" s="14">
        <f t="shared" si="194"/>
        <v>0.24363235294117658</v>
      </c>
      <c r="E63" s="14">
        <f t="shared" ref="E63:I63" si="197">E14/D14-1</f>
        <v>0.10000000000000009</v>
      </c>
      <c r="F63" s="14">
        <f t="shared" si="197"/>
        <v>0.10000000000000009</v>
      </c>
      <c r="G63" s="14">
        <f t="shared" si="197"/>
        <v>0.10000000000000009</v>
      </c>
      <c r="H63" s="14">
        <f t="shared" si="197"/>
        <v>0.10000000000000009</v>
      </c>
      <c r="I63" s="14">
        <f t="shared" si="197"/>
        <v>0.10000000000000009</v>
      </c>
    </row>
    <row r="64" spans="1:9" x14ac:dyDescent="0.15">
      <c r="A64" s="36" t="s">
        <v>86</v>
      </c>
      <c r="B64" s="14"/>
      <c r="C64" s="14"/>
      <c r="D64" s="14">
        <f>D15/C15-1</f>
        <v>2.1118493975903614</v>
      </c>
      <c r="E64" s="14">
        <f t="shared" ref="E64:I64" si="198">E15/D15-1</f>
        <v>0.5</v>
      </c>
      <c r="F64" s="14">
        <f t="shared" si="198"/>
        <v>0.5</v>
      </c>
      <c r="G64" s="14">
        <f t="shared" si="198"/>
        <v>0.5</v>
      </c>
      <c r="H64" s="14">
        <f t="shared" si="198"/>
        <v>0.5</v>
      </c>
      <c r="I64" s="14">
        <f t="shared" si="198"/>
        <v>0.5</v>
      </c>
    </row>
    <row r="66" spans="1:1" x14ac:dyDescent="0.15">
      <c r="A66" s="1" t="s">
        <v>67</v>
      </c>
    </row>
    <row r="67" spans="1:1" x14ac:dyDescent="0.15">
      <c r="A67" s="1" t="s">
        <v>65</v>
      </c>
    </row>
  </sheetData>
  <hyperlinks>
    <hyperlink ref="A4" r:id="rId1" xr:uid="{00000000-0004-0000-0000-000000000000}"/>
    <hyperlink ref="A7" r:id="rId2" xr:uid="{00000000-0004-0000-0000-000001000000}"/>
    <hyperlink ref="A1" r:id="rId3" xr:uid="{00000000-0004-0000-0000-000005000000}"/>
    <hyperlink ref="A8" r:id="rId4" xr:uid="{8298DD47-5FA0-9D4A-81E4-20B3E615A1C8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1"/>
  <sheetViews>
    <sheetView workbookViewId="0">
      <pane xSplit="1" ySplit="2" topLeftCell="E6" activePane="bottomRight" state="frozen"/>
      <selection pane="topRight" activeCell="B1" sqref="B1"/>
      <selection pane="bottomLeft" activeCell="A3" sqref="A3"/>
      <selection pane="bottomRight" activeCell="P11" sqref="P11"/>
    </sheetView>
  </sheetViews>
  <sheetFormatPr baseColWidth="10" defaultRowHeight="13" x14ac:dyDescent="0.15"/>
  <cols>
    <col min="1" max="1" width="24.5" style="33" customWidth="1"/>
    <col min="2" max="2" width="10.83203125" style="28"/>
    <col min="3" max="5" width="10.83203125" style="27"/>
    <col min="6" max="6" width="10.83203125" style="28"/>
    <col min="7" max="8" width="10.83203125" style="27"/>
    <col min="9" max="9" width="10.83203125" style="35"/>
    <col min="10" max="10" width="10.83203125" style="32"/>
    <col min="11" max="13" width="10.83203125" style="33"/>
    <col min="14" max="14" width="10.83203125" style="32"/>
    <col min="15" max="16384" width="10.83203125" style="33"/>
  </cols>
  <sheetData>
    <row r="1" spans="1:14" x14ac:dyDescent="0.15">
      <c r="A1" s="34" t="s">
        <v>46</v>
      </c>
      <c r="B1" s="29" t="s">
        <v>0</v>
      </c>
      <c r="C1" s="30" t="s">
        <v>1</v>
      </c>
      <c r="D1" s="30" t="s">
        <v>2</v>
      </c>
      <c r="E1" s="30" t="s">
        <v>3</v>
      </c>
      <c r="F1" s="29" t="s">
        <v>34</v>
      </c>
      <c r="G1" s="30" t="s">
        <v>35</v>
      </c>
      <c r="H1" s="30" t="s">
        <v>36</v>
      </c>
      <c r="I1" s="31" t="s">
        <v>37</v>
      </c>
      <c r="J1" s="29" t="s">
        <v>69</v>
      </c>
      <c r="K1" s="30" t="s">
        <v>70</v>
      </c>
      <c r="L1" s="30" t="s">
        <v>71</v>
      </c>
      <c r="M1" s="31" t="s">
        <v>72</v>
      </c>
      <c r="N1" s="80" t="s">
        <v>105</v>
      </c>
    </row>
    <row r="2" spans="1:14" x14ac:dyDescent="0.15">
      <c r="A2" s="34"/>
      <c r="B2" s="28" t="s">
        <v>24</v>
      </c>
      <c r="C2" s="27" t="s">
        <v>23</v>
      </c>
      <c r="D2" s="27" t="s">
        <v>22</v>
      </c>
      <c r="E2" s="27" t="s">
        <v>28</v>
      </c>
      <c r="F2" s="28" t="s">
        <v>38</v>
      </c>
      <c r="G2" s="27" t="s">
        <v>39</v>
      </c>
      <c r="H2" s="27" t="s">
        <v>40</v>
      </c>
      <c r="I2" s="35" t="s">
        <v>41</v>
      </c>
      <c r="J2" s="28" t="s">
        <v>73</v>
      </c>
      <c r="K2" s="27" t="s">
        <v>74</v>
      </c>
      <c r="L2" s="27" t="s">
        <v>75</v>
      </c>
      <c r="M2" s="35" t="s">
        <v>76</v>
      </c>
      <c r="N2" s="81">
        <v>43921</v>
      </c>
    </row>
    <row r="3" spans="1:14" s="36" customFormat="1" x14ac:dyDescent="0.15">
      <c r="A3" s="36" t="s">
        <v>77</v>
      </c>
      <c r="B3" s="29">
        <v>403</v>
      </c>
      <c r="C3" s="37">
        <v>482</v>
      </c>
      <c r="D3" s="37">
        <v>510</v>
      </c>
      <c r="E3" s="37">
        <v>525</v>
      </c>
      <c r="F3" s="29">
        <v>523</v>
      </c>
      <c r="G3" s="37">
        <v>625</v>
      </c>
      <c r="H3" s="37">
        <v>655</v>
      </c>
      <c r="I3" s="38">
        <v>668</v>
      </c>
      <c r="J3" s="29">
        <v>657</v>
      </c>
      <c r="K3" s="37">
        <v>776</v>
      </c>
      <c r="L3" s="37">
        <v>817</v>
      </c>
      <c r="M3" s="37">
        <v>832.18</v>
      </c>
      <c r="N3" s="82">
        <v>758.101</v>
      </c>
    </row>
    <row r="4" spans="1:14" s="36" customFormat="1" x14ac:dyDescent="0.15">
      <c r="A4" s="36" t="s">
        <v>78</v>
      </c>
      <c r="B4" s="29">
        <v>49</v>
      </c>
      <c r="C4" s="37">
        <v>59</v>
      </c>
      <c r="D4" s="37">
        <v>65</v>
      </c>
      <c r="E4" s="37">
        <v>79</v>
      </c>
      <c r="F4" s="29">
        <v>97</v>
      </c>
      <c r="G4" s="37">
        <v>134</v>
      </c>
      <c r="H4" s="37">
        <v>166</v>
      </c>
      <c r="I4" s="38">
        <v>194</v>
      </c>
      <c r="J4" s="29">
        <v>219</v>
      </c>
      <c r="K4" s="37">
        <v>251</v>
      </c>
      <c r="L4" s="37">
        <v>280</v>
      </c>
      <c r="M4" s="37">
        <v>281.41500000000002</v>
      </c>
      <c r="N4" s="82">
        <v>296.23500000000001</v>
      </c>
    </row>
    <row r="5" spans="1:14" s="36" customFormat="1" x14ac:dyDescent="0.15">
      <c r="A5" s="36" t="s">
        <v>79</v>
      </c>
      <c r="B5" s="29">
        <v>9</v>
      </c>
      <c r="C5" s="37">
        <v>10</v>
      </c>
      <c r="D5" s="37">
        <v>10</v>
      </c>
      <c r="E5" s="37">
        <v>12</v>
      </c>
      <c r="F5" s="29">
        <v>14</v>
      </c>
      <c r="G5" s="37">
        <v>18</v>
      </c>
      <c r="H5" s="37">
        <v>18</v>
      </c>
      <c r="I5" s="38">
        <v>18</v>
      </c>
      <c r="J5" s="29">
        <v>18</v>
      </c>
      <c r="K5" s="37">
        <v>22</v>
      </c>
      <c r="L5" s="37">
        <v>22</v>
      </c>
      <c r="M5" s="37">
        <v>22.567</v>
      </c>
      <c r="N5" s="82">
        <v>20.675000000000001</v>
      </c>
    </row>
    <row r="6" spans="1:14" s="36" customFormat="1" x14ac:dyDescent="0.15">
      <c r="A6" s="36" t="s">
        <v>80</v>
      </c>
      <c r="B6" s="29"/>
      <c r="C6" s="37"/>
      <c r="D6" s="37"/>
      <c r="E6" s="37"/>
      <c r="F6" s="29">
        <v>34</v>
      </c>
      <c r="G6" s="37">
        <v>37</v>
      </c>
      <c r="H6" s="37">
        <v>43</v>
      </c>
      <c r="I6" s="38">
        <v>52</v>
      </c>
      <c r="J6" s="29">
        <v>66</v>
      </c>
      <c r="K6" s="37">
        <v>125</v>
      </c>
      <c r="L6" s="37">
        <v>148</v>
      </c>
      <c r="M6" s="37">
        <v>177.56700000000001</v>
      </c>
      <c r="N6" s="82">
        <v>306.09800000000001</v>
      </c>
    </row>
    <row r="7" spans="1:14" s="36" customFormat="1" x14ac:dyDescent="0.15">
      <c r="B7" s="29"/>
      <c r="C7" s="37"/>
      <c r="D7" s="37"/>
      <c r="E7" s="37"/>
      <c r="F7" s="29"/>
      <c r="G7" s="37"/>
      <c r="H7" s="37"/>
      <c r="I7" s="38"/>
      <c r="J7" s="29"/>
      <c r="K7" s="37"/>
      <c r="L7" s="37"/>
      <c r="M7" s="37"/>
      <c r="N7" s="82"/>
    </row>
    <row r="8" spans="1:14" s="36" customFormat="1" x14ac:dyDescent="0.15">
      <c r="A8" s="36" t="s">
        <v>42</v>
      </c>
      <c r="B8" s="29"/>
      <c r="C8" s="37"/>
      <c r="D8" s="37"/>
      <c r="E8" s="30"/>
      <c r="F8" s="29"/>
      <c r="G8" s="30"/>
      <c r="H8" s="30"/>
      <c r="I8" s="30"/>
      <c r="J8" s="29"/>
      <c r="K8" s="30"/>
      <c r="L8" s="30"/>
      <c r="M8" s="30"/>
      <c r="N8" s="82"/>
    </row>
    <row r="9" spans="1:14" s="39" customFormat="1" x14ac:dyDescent="0.15">
      <c r="A9" s="39" t="s">
        <v>55</v>
      </c>
      <c r="B9" s="29"/>
      <c r="C9" s="37"/>
      <c r="D9" s="37"/>
      <c r="E9" s="30"/>
      <c r="F9" s="29"/>
      <c r="G9" s="30"/>
      <c r="H9" s="30"/>
      <c r="I9" s="30"/>
      <c r="J9" s="29"/>
      <c r="K9" s="30"/>
      <c r="L9" s="30"/>
      <c r="M9" s="30"/>
      <c r="N9" s="83"/>
    </row>
    <row r="10" spans="1:14" s="71" customFormat="1" x14ac:dyDescent="0.15">
      <c r="B10" s="72"/>
      <c r="C10" s="73"/>
      <c r="D10" s="73"/>
      <c r="E10" s="73"/>
      <c r="F10" s="72"/>
      <c r="G10" s="73"/>
      <c r="H10" s="73"/>
      <c r="I10" s="74"/>
      <c r="J10" s="72"/>
      <c r="K10" s="73"/>
      <c r="L10" s="73"/>
      <c r="M10" s="73" t="s">
        <v>103</v>
      </c>
      <c r="N10" s="84" t="s">
        <v>102</v>
      </c>
    </row>
    <row r="11" spans="1:14" s="40" customFormat="1" x14ac:dyDescent="0.15">
      <c r="A11" s="40" t="s">
        <v>4</v>
      </c>
      <c r="B11" s="42">
        <f t="shared" ref="B11:L11" si="0">SUM(B3:B6)</f>
        <v>461</v>
      </c>
      <c r="C11" s="41">
        <f t="shared" si="0"/>
        <v>551</v>
      </c>
      <c r="D11" s="41">
        <f t="shared" si="0"/>
        <v>585</v>
      </c>
      <c r="E11" s="41">
        <f t="shared" si="0"/>
        <v>616</v>
      </c>
      <c r="F11" s="42">
        <f t="shared" si="0"/>
        <v>668</v>
      </c>
      <c r="G11" s="41">
        <f t="shared" si="0"/>
        <v>814</v>
      </c>
      <c r="H11" s="41">
        <f t="shared" si="0"/>
        <v>882</v>
      </c>
      <c r="I11" s="41">
        <f t="shared" si="0"/>
        <v>932</v>
      </c>
      <c r="J11" s="42">
        <f t="shared" si="0"/>
        <v>960</v>
      </c>
      <c r="K11" s="41">
        <f t="shared" si="0"/>
        <v>1174</v>
      </c>
      <c r="L11" s="41">
        <f t="shared" si="0"/>
        <v>1267</v>
      </c>
      <c r="M11" s="41">
        <f>SUM(M3:M6)</f>
        <v>1313.729</v>
      </c>
      <c r="N11" s="42">
        <f>SUM(N3:N6)</f>
        <v>1381.1089999999999</v>
      </c>
    </row>
    <row r="12" spans="1:14" s="36" customFormat="1" x14ac:dyDescent="0.15">
      <c r="A12" s="36" t="s">
        <v>5</v>
      </c>
      <c r="B12" s="29">
        <v>288</v>
      </c>
      <c r="C12" s="37">
        <v>344</v>
      </c>
      <c r="D12" s="37">
        <v>367</v>
      </c>
      <c r="E12" s="37">
        <v>376</v>
      </c>
      <c r="F12" s="29">
        <v>413</v>
      </c>
      <c r="G12" s="37">
        <v>499</v>
      </c>
      <c r="H12" s="37">
        <v>529</v>
      </c>
      <c r="I12" s="38">
        <v>552</v>
      </c>
      <c r="J12" s="29">
        <v>563</v>
      </c>
      <c r="K12" s="37">
        <v>708</v>
      </c>
      <c r="L12" s="37">
        <v>766</v>
      </c>
      <c r="M12" s="37">
        <v>786.38</v>
      </c>
      <c r="N12" s="82">
        <v>843</v>
      </c>
    </row>
    <row r="13" spans="1:14" s="36" customFormat="1" x14ac:dyDescent="0.15">
      <c r="A13" s="36" t="s">
        <v>6</v>
      </c>
      <c r="B13" s="44">
        <f t="shared" ref="B13:D13" si="1">B11-B12</f>
        <v>173</v>
      </c>
      <c r="C13" s="43">
        <f t="shared" si="1"/>
        <v>207</v>
      </c>
      <c r="D13" s="43">
        <f t="shared" si="1"/>
        <v>218</v>
      </c>
      <c r="E13" s="43">
        <f t="shared" ref="E13:G13" si="2">E11-E12</f>
        <v>240</v>
      </c>
      <c r="F13" s="44">
        <f t="shared" ref="F13" si="3">F11-F12</f>
        <v>255</v>
      </c>
      <c r="G13" s="43">
        <f t="shared" si="2"/>
        <v>315</v>
      </c>
      <c r="H13" s="43">
        <f t="shared" ref="H13:N13" si="4">H11-H12</f>
        <v>353</v>
      </c>
      <c r="I13" s="43">
        <f t="shared" si="4"/>
        <v>380</v>
      </c>
      <c r="J13" s="44">
        <f t="shared" si="4"/>
        <v>397</v>
      </c>
      <c r="K13" s="43">
        <f t="shared" si="4"/>
        <v>466</v>
      </c>
      <c r="L13" s="43">
        <f t="shared" si="4"/>
        <v>501</v>
      </c>
      <c r="M13" s="43">
        <f t="shared" si="4"/>
        <v>527.34900000000005</v>
      </c>
      <c r="N13" s="44">
        <f t="shared" si="4"/>
        <v>538.10899999999992</v>
      </c>
    </row>
    <row r="14" spans="1:14" s="36" customFormat="1" x14ac:dyDescent="0.15">
      <c r="A14" s="36" t="s">
        <v>7</v>
      </c>
      <c r="B14" s="29">
        <v>69</v>
      </c>
      <c r="C14" s="37">
        <v>78</v>
      </c>
      <c r="D14" s="37">
        <v>83</v>
      </c>
      <c r="E14" s="37">
        <v>93</v>
      </c>
      <c r="F14" s="29">
        <v>105</v>
      </c>
      <c r="G14" s="37">
        <v>115</v>
      </c>
      <c r="H14" s="37">
        <v>136</v>
      </c>
      <c r="I14" s="38">
        <v>142</v>
      </c>
      <c r="J14" s="29">
        <v>154</v>
      </c>
      <c r="K14" s="37">
        <v>174</v>
      </c>
      <c r="L14" s="37">
        <v>169</v>
      </c>
      <c r="M14" s="37">
        <v>173.28399999999999</v>
      </c>
      <c r="N14" s="82">
        <v>195</v>
      </c>
    </row>
    <row r="15" spans="1:14" s="36" customFormat="1" x14ac:dyDescent="0.15">
      <c r="A15" s="36" t="s">
        <v>8</v>
      </c>
      <c r="B15" s="29">
        <v>50</v>
      </c>
      <c r="C15" s="37">
        <v>60</v>
      </c>
      <c r="D15" s="37">
        <v>67</v>
      </c>
      <c r="E15" s="37">
        <v>77</v>
      </c>
      <c r="F15" s="29">
        <v>77</v>
      </c>
      <c r="G15" s="37">
        <v>98</v>
      </c>
      <c r="H15" s="37">
        <v>116</v>
      </c>
      <c r="I15" s="38">
        <v>119</v>
      </c>
      <c r="J15" s="29">
        <v>134</v>
      </c>
      <c r="K15" s="37">
        <v>156</v>
      </c>
      <c r="L15" s="37">
        <v>149</v>
      </c>
      <c r="M15" s="37">
        <v>185.23099999999999</v>
      </c>
      <c r="N15" s="82">
        <v>195</v>
      </c>
    </row>
    <row r="16" spans="1:14" s="36" customFormat="1" x14ac:dyDescent="0.15">
      <c r="A16" s="36" t="s">
        <v>9</v>
      </c>
      <c r="B16" s="29">
        <f>57+12</f>
        <v>69</v>
      </c>
      <c r="C16" s="37">
        <f>63+18</f>
        <v>81</v>
      </c>
      <c r="D16" s="37">
        <f>64+20</f>
        <v>84</v>
      </c>
      <c r="E16" s="37">
        <f>66+17+0</f>
        <v>83</v>
      </c>
      <c r="F16" s="29">
        <f>76+18+0</f>
        <v>94</v>
      </c>
      <c r="G16" s="37">
        <f>83+22+0</f>
        <v>105</v>
      </c>
      <c r="H16" s="37">
        <f>86+24+1</f>
        <v>111</v>
      </c>
      <c r="I16" s="38">
        <f>95+24+2</f>
        <v>121</v>
      </c>
      <c r="J16" s="29">
        <f>102+28+2</f>
        <v>132</v>
      </c>
      <c r="K16" s="37">
        <f>101+34+1</f>
        <v>136</v>
      </c>
      <c r="L16" s="37">
        <f>116+33+1</f>
        <v>150</v>
      </c>
      <c r="M16" s="37">
        <f>118+32+1</f>
        <v>151</v>
      </c>
      <c r="N16" s="82">
        <f>129+109+1</f>
        <v>239</v>
      </c>
    </row>
    <row r="17" spans="1:14" s="36" customFormat="1" x14ac:dyDescent="0.15">
      <c r="A17" s="36" t="s">
        <v>10</v>
      </c>
      <c r="B17" s="44">
        <f t="shared" ref="B17:D17" si="5">SUM(B14:B16)</f>
        <v>188</v>
      </c>
      <c r="C17" s="43">
        <f t="shared" si="5"/>
        <v>219</v>
      </c>
      <c r="D17" s="43">
        <f t="shared" si="5"/>
        <v>234</v>
      </c>
      <c r="E17" s="43">
        <f t="shared" ref="E17:G17" si="6">SUM(E14:E16)</f>
        <v>253</v>
      </c>
      <c r="F17" s="44">
        <f t="shared" ref="F17" si="7">SUM(F14:F16)</f>
        <v>276</v>
      </c>
      <c r="G17" s="43">
        <f t="shared" si="6"/>
        <v>318</v>
      </c>
      <c r="H17" s="43">
        <f t="shared" ref="H17:L17" si="8">SUM(H14:H16)</f>
        <v>363</v>
      </c>
      <c r="I17" s="43">
        <f t="shared" si="8"/>
        <v>382</v>
      </c>
      <c r="J17" s="44">
        <f t="shared" si="8"/>
        <v>420</v>
      </c>
      <c r="K17" s="43">
        <f t="shared" si="8"/>
        <v>466</v>
      </c>
      <c r="L17" s="43">
        <f t="shared" si="8"/>
        <v>468</v>
      </c>
      <c r="M17" s="43">
        <f t="shared" ref="M17:N17" si="9">SUM(M14:M16)</f>
        <v>509.51499999999999</v>
      </c>
      <c r="N17" s="44">
        <f t="shared" si="9"/>
        <v>629</v>
      </c>
    </row>
    <row r="18" spans="1:14" s="36" customFormat="1" x14ac:dyDescent="0.15">
      <c r="A18" s="36" t="s">
        <v>11</v>
      </c>
      <c r="B18" s="44">
        <f t="shared" ref="B18:H18" si="10">B13-B17</f>
        <v>-15</v>
      </c>
      <c r="C18" s="43">
        <f t="shared" si="10"/>
        <v>-12</v>
      </c>
      <c r="D18" s="43">
        <f t="shared" si="10"/>
        <v>-16</v>
      </c>
      <c r="E18" s="43">
        <f t="shared" ref="E18" si="11">E13-E17</f>
        <v>-13</v>
      </c>
      <c r="F18" s="44">
        <f t="shared" si="10"/>
        <v>-21</v>
      </c>
      <c r="G18" s="43">
        <f t="shared" si="10"/>
        <v>-3</v>
      </c>
      <c r="H18" s="43">
        <f t="shared" si="10"/>
        <v>-10</v>
      </c>
      <c r="I18" s="43">
        <f>I13-I17</f>
        <v>-2</v>
      </c>
      <c r="J18" s="44">
        <f t="shared" ref="J18" si="12">J13-J17</f>
        <v>-23</v>
      </c>
      <c r="K18" s="43">
        <f t="shared" ref="K18:L18" si="13">K13-K17</f>
        <v>0</v>
      </c>
      <c r="L18" s="43">
        <f t="shared" si="13"/>
        <v>33</v>
      </c>
      <c r="M18" s="43">
        <f t="shared" ref="M18:N18" si="14">M13-M17</f>
        <v>17.83400000000006</v>
      </c>
      <c r="N18" s="44">
        <f t="shared" si="14"/>
        <v>-90.891000000000076</v>
      </c>
    </row>
    <row r="19" spans="1:14" s="36" customFormat="1" x14ac:dyDescent="0.15">
      <c r="A19" s="36" t="s">
        <v>12</v>
      </c>
      <c r="B19" s="29">
        <v>-1</v>
      </c>
      <c r="C19" s="37">
        <v>-3</v>
      </c>
      <c r="D19" s="37">
        <f>-3+1</f>
        <v>-2</v>
      </c>
      <c r="E19" s="37">
        <v>-2</v>
      </c>
      <c r="F19" s="29">
        <f>-2-1</f>
        <v>-3</v>
      </c>
      <c r="G19" s="37">
        <f>-3+1</f>
        <v>-2</v>
      </c>
      <c r="H19" s="37">
        <f>-7+38</f>
        <v>31</v>
      </c>
      <c r="I19" s="38">
        <f>-5-19</f>
        <v>-24</v>
      </c>
      <c r="J19" s="29">
        <f>-5-11</f>
        <v>-16</v>
      </c>
      <c r="K19" s="37">
        <f>-5-2</f>
        <v>-7</v>
      </c>
      <c r="L19" s="37">
        <f>-6+5</f>
        <v>-1</v>
      </c>
      <c r="M19" s="37">
        <f>373+6-7</f>
        <v>372</v>
      </c>
      <c r="N19" s="82">
        <f>-9-6</f>
        <v>-15</v>
      </c>
    </row>
    <row r="20" spans="1:14" s="36" customFormat="1" x14ac:dyDescent="0.15">
      <c r="A20" s="36" t="s">
        <v>13</v>
      </c>
      <c r="B20" s="44">
        <f>B18+B19</f>
        <v>-16</v>
      </c>
      <c r="C20" s="43">
        <f t="shared" ref="C20" si="15">C18+C19</f>
        <v>-15</v>
      </c>
      <c r="D20" s="43">
        <f t="shared" ref="D20:E20" si="16">D18+D19</f>
        <v>-18</v>
      </c>
      <c r="E20" s="43">
        <f t="shared" si="16"/>
        <v>-15</v>
      </c>
      <c r="F20" s="44">
        <f t="shared" ref="F20" si="17">F18+F19</f>
        <v>-24</v>
      </c>
      <c r="G20" s="43">
        <f t="shared" ref="G20:H20" si="18">G18+G19</f>
        <v>-5</v>
      </c>
      <c r="H20" s="43">
        <f t="shared" si="18"/>
        <v>21</v>
      </c>
      <c r="I20" s="43">
        <f>I18+I19</f>
        <v>-26</v>
      </c>
      <c r="J20" s="44">
        <f t="shared" ref="J20" si="19">J18+J19</f>
        <v>-39</v>
      </c>
      <c r="K20" s="43">
        <f t="shared" ref="K20:N20" si="20">K18+K19</f>
        <v>-7</v>
      </c>
      <c r="L20" s="43">
        <f t="shared" si="20"/>
        <v>32</v>
      </c>
      <c r="M20" s="43">
        <f t="shared" si="20"/>
        <v>389.83400000000006</v>
      </c>
      <c r="N20" s="44">
        <f t="shared" si="20"/>
        <v>-105.89100000000008</v>
      </c>
    </row>
    <row r="21" spans="1:14" s="36" customFormat="1" x14ac:dyDescent="0.15">
      <c r="A21" s="36" t="s">
        <v>14</v>
      </c>
      <c r="B21" s="29">
        <v>0</v>
      </c>
      <c r="C21" s="37">
        <v>0</v>
      </c>
      <c r="D21" s="37">
        <v>-1</v>
      </c>
      <c r="E21" s="37">
        <v>0</v>
      </c>
      <c r="F21" s="29">
        <v>0</v>
      </c>
      <c r="G21" s="37">
        <v>1</v>
      </c>
      <c r="H21" s="37">
        <v>1</v>
      </c>
      <c r="I21" s="38">
        <v>0</v>
      </c>
      <c r="J21" s="29">
        <v>0</v>
      </c>
      <c r="K21" s="37">
        <v>0</v>
      </c>
      <c r="L21" s="37">
        <v>3</v>
      </c>
      <c r="M21" s="37">
        <v>1</v>
      </c>
      <c r="N21" s="82">
        <v>1</v>
      </c>
    </row>
    <row r="22" spans="1:14" s="40" customFormat="1" x14ac:dyDescent="0.15">
      <c r="A22" s="40" t="s">
        <v>15</v>
      </c>
      <c r="B22" s="42">
        <f t="shared" ref="B22:F22" si="21">B20-B21</f>
        <v>-16</v>
      </c>
      <c r="C22" s="41">
        <f t="shared" si="21"/>
        <v>-15</v>
      </c>
      <c r="D22" s="41">
        <f t="shared" si="21"/>
        <v>-17</v>
      </c>
      <c r="E22" s="41">
        <f t="shared" si="21"/>
        <v>-15</v>
      </c>
      <c r="F22" s="42">
        <f t="shared" si="21"/>
        <v>-24</v>
      </c>
      <c r="G22" s="41">
        <f t="shared" ref="G22:H22" si="22">G20-G21</f>
        <v>-6</v>
      </c>
      <c r="H22" s="41">
        <f t="shared" si="22"/>
        <v>20</v>
      </c>
      <c r="I22" s="41">
        <f t="shared" ref="I22:J22" si="23">I20-I21</f>
        <v>-26</v>
      </c>
      <c r="J22" s="42">
        <f t="shared" si="23"/>
        <v>-39</v>
      </c>
      <c r="K22" s="41">
        <f t="shared" ref="K22:L22" si="24">K20-K21</f>
        <v>-7</v>
      </c>
      <c r="L22" s="41">
        <f t="shared" si="24"/>
        <v>29</v>
      </c>
      <c r="M22" s="41">
        <f t="shared" ref="M22:N22" si="25">M20-M21</f>
        <v>388.83400000000006</v>
      </c>
      <c r="N22" s="42">
        <f t="shared" si="25"/>
        <v>-106.89100000000008</v>
      </c>
    </row>
    <row r="23" spans="1:14" x14ac:dyDescent="0.15">
      <c r="A23" s="33" t="s">
        <v>16</v>
      </c>
      <c r="B23" s="46">
        <f t="shared" ref="B23:C23" si="26">IFERROR(B22/B24,0)</f>
        <v>-4.3596730245231606E-2</v>
      </c>
      <c r="C23" s="45">
        <f t="shared" si="26"/>
        <v>-3.9893617021276598E-2</v>
      </c>
      <c r="D23" s="45">
        <f t="shared" ref="D23:E23" si="27">IFERROR(D22/D24,0)</f>
        <v>-4.4270833333333336E-2</v>
      </c>
      <c r="E23" s="45">
        <f t="shared" si="27"/>
        <v>-3.8461538461538464E-2</v>
      </c>
      <c r="F23" s="46">
        <f t="shared" ref="F23" si="28">IFERROR(F22/F24,0)</f>
        <v>-6.0606060606060608E-2</v>
      </c>
      <c r="G23" s="45">
        <f t="shared" ref="G23:H23" si="29">IFERROR(G22/G24,0)</f>
        <v>-1.488833746898263E-2</v>
      </c>
      <c r="H23" s="45">
        <f t="shared" si="29"/>
        <v>4.2105263157894736E-2</v>
      </c>
      <c r="I23" s="45">
        <f t="shared" ref="I23:J23" si="30">IFERROR(I22/I24,0)</f>
        <v>-6.280193236714976E-2</v>
      </c>
      <c r="J23" s="46">
        <f t="shared" si="30"/>
        <v>-9.3078758949880672E-2</v>
      </c>
      <c r="K23" s="45">
        <f t="shared" ref="K23:L23" si="31">IFERROR(K22/K24,0)</f>
        <v>-1.6548463356973995E-2</v>
      </c>
      <c r="L23" s="45">
        <f t="shared" si="31"/>
        <v>6.2231759656652362E-2</v>
      </c>
      <c r="M23" s="45">
        <f t="shared" ref="M23:N23" si="32">IFERROR(M22/M24,0)</f>
        <v>0.80106882244115096</v>
      </c>
      <c r="N23" s="46">
        <f t="shared" si="32"/>
        <v>-0.24576033475881748</v>
      </c>
    </row>
    <row r="24" spans="1:14" x14ac:dyDescent="0.15">
      <c r="A24" s="33" t="s">
        <v>17</v>
      </c>
      <c r="B24" s="29">
        <v>367</v>
      </c>
      <c r="C24" s="37">
        <v>376</v>
      </c>
      <c r="D24" s="37">
        <v>384</v>
      </c>
      <c r="E24" s="37">
        <v>390</v>
      </c>
      <c r="F24" s="29">
        <v>396</v>
      </c>
      <c r="G24" s="37">
        <v>403</v>
      </c>
      <c r="H24" s="37">
        <v>475</v>
      </c>
      <c r="I24" s="38">
        <v>414</v>
      </c>
      <c r="J24" s="29">
        <v>419</v>
      </c>
      <c r="K24" s="37">
        <v>423</v>
      </c>
      <c r="L24" s="37">
        <v>466</v>
      </c>
      <c r="M24" s="37">
        <v>485.39400000000001</v>
      </c>
      <c r="N24" s="80">
        <v>434.94</v>
      </c>
    </row>
    <row r="25" spans="1:14" x14ac:dyDescent="0.15">
      <c r="B25" s="29"/>
      <c r="C25" s="37"/>
      <c r="D25" s="37"/>
      <c r="E25" s="37"/>
      <c r="F25" s="29"/>
      <c r="G25" s="37"/>
      <c r="H25" s="37"/>
      <c r="I25" s="38"/>
      <c r="J25" s="29"/>
      <c r="K25" s="37"/>
      <c r="L25" s="37"/>
      <c r="M25" s="37"/>
    </row>
    <row r="26" spans="1:14" x14ac:dyDescent="0.15">
      <c r="A26" s="33" t="s">
        <v>19</v>
      </c>
      <c r="B26" s="48">
        <f t="shared" ref="B26:J26" si="33">IFERROR(B13/B11,0)</f>
        <v>0.37527114967462039</v>
      </c>
      <c r="C26" s="47">
        <f t="shared" si="33"/>
        <v>0.37568058076225047</v>
      </c>
      <c r="D26" s="47">
        <f t="shared" si="33"/>
        <v>0.37264957264957266</v>
      </c>
      <c r="E26" s="47">
        <f t="shared" ref="E26" si="34">IFERROR(E13/E11,0)</f>
        <v>0.38961038961038963</v>
      </c>
      <c r="F26" s="48">
        <f t="shared" si="33"/>
        <v>0.38173652694610777</v>
      </c>
      <c r="G26" s="47">
        <f t="shared" si="33"/>
        <v>0.38697788697788699</v>
      </c>
      <c r="H26" s="47">
        <f t="shared" si="33"/>
        <v>0.40022675736961449</v>
      </c>
      <c r="I26" s="49">
        <f t="shared" si="33"/>
        <v>0.40772532188841204</v>
      </c>
      <c r="J26" s="48">
        <f t="shared" si="33"/>
        <v>0.41354166666666664</v>
      </c>
      <c r="K26" s="47">
        <f t="shared" ref="K26:L26" si="35">IFERROR(K13/K11,0)</f>
        <v>0.39693356047700168</v>
      </c>
      <c r="L26" s="47">
        <f t="shared" si="35"/>
        <v>0.39542225730071034</v>
      </c>
      <c r="M26" s="47">
        <f t="shared" ref="M26:N26" si="36">IFERROR(M13/M11,0)</f>
        <v>0.40141383801377606</v>
      </c>
      <c r="N26" s="48">
        <f t="shared" si="36"/>
        <v>0.38962094954127441</v>
      </c>
    </row>
    <row r="27" spans="1:14" x14ac:dyDescent="0.15">
      <c r="A27" s="33" t="s">
        <v>20</v>
      </c>
      <c r="B27" s="51">
        <f t="shared" ref="B27:J27" si="37">IFERROR(B18/B11,0)</f>
        <v>-3.2537960954446853E-2</v>
      </c>
      <c r="C27" s="50">
        <f t="shared" si="37"/>
        <v>-2.1778584392014518E-2</v>
      </c>
      <c r="D27" s="50">
        <f t="shared" si="37"/>
        <v>-2.735042735042735E-2</v>
      </c>
      <c r="E27" s="50">
        <f t="shared" ref="E27" si="38">IFERROR(E18/E11,0)</f>
        <v>-2.1103896103896104E-2</v>
      </c>
      <c r="F27" s="51">
        <f t="shared" si="37"/>
        <v>-3.1437125748502992E-2</v>
      </c>
      <c r="G27" s="50">
        <f t="shared" si="37"/>
        <v>-3.6855036855036856E-3</v>
      </c>
      <c r="H27" s="50">
        <f t="shared" si="37"/>
        <v>-1.1337868480725623E-2</v>
      </c>
      <c r="I27" s="52">
        <f t="shared" si="37"/>
        <v>-2.1459227467811159E-3</v>
      </c>
      <c r="J27" s="51">
        <f t="shared" si="37"/>
        <v>-2.3958333333333335E-2</v>
      </c>
      <c r="K27" s="50">
        <f t="shared" ref="K27:L27" si="39">IFERROR(K18/K11,0)</f>
        <v>0</v>
      </c>
      <c r="L27" s="50">
        <f t="shared" si="39"/>
        <v>2.6045777426992895E-2</v>
      </c>
      <c r="M27" s="50">
        <f t="shared" ref="M27:N27" si="40">IFERROR(M18/M11,0)</f>
        <v>1.3575098060558958E-2</v>
      </c>
      <c r="N27" s="51">
        <f t="shared" si="40"/>
        <v>-6.5810156910135323E-2</v>
      </c>
    </row>
    <row r="28" spans="1:14" x14ac:dyDescent="0.15">
      <c r="A28" s="33" t="s">
        <v>21</v>
      </c>
      <c r="B28" s="51">
        <f t="shared" ref="B28:J28" si="41">IFERROR(B21/B20,0)</f>
        <v>0</v>
      </c>
      <c r="C28" s="50">
        <f t="shared" si="41"/>
        <v>0</v>
      </c>
      <c r="D28" s="50">
        <f t="shared" si="41"/>
        <v>5.5555555555555552E-2</v>
      </c>
      <c r="E28" s="50">
        <f t="shared" ref="E28" si="42">IFERROR(E21/E20,0)</f>
        <v>0</v>
      </c>
      <c r="F28" s="51">
        <f t="shared" si="41"/>
        <v>0</v>
      </c>
      <c r="G28" s="50">
        <f t="shared" si="41"/>
        <v>-0.2</v>
      </c>
      <c r="H28" s="50">
        <f t="shared" si="41"/>
        <v>4.7619047619047616E-2</v>
      </c>
      <c r="I28" s="52">
        <f t="shared" si="41"/>
        <v>0</v>
      </c>
      <c r="J28" s="51">
        <f t="shared" si="41"/>
        <v>0</v>
      </c>
      <c r="K28" s="50">
        <f t="shared" ref="K28:L28" si="43">IFERROR(K21/K20,0)</f>
        <v>0</v>
      </c>
      <c r="L28" s="50">
        <f t="shared" si="43"/>
        <v>9.375E-2</v>
      </c>
      <c r="M28" s="50">
        <f t="shared" ref="M28:N28" si="44">IFERROR(M21/M20,0)</f>
        <v>2.5651944160847945E-3</v>
      </c>
      <c r="N28" s="51">
        <f t="shared" si="44"/>
        <v>-9.4436732111321947E-3</v>
      </c>
    </row>
    <row r="29" spans="1:14" x14ac:dyDescent="0.15">
      <c r="B29" s="29"/>
      <c r="C29" s="37"/>
      <c r="D29" s="37"/>
      <c r="E29" s="37"/>
      <c r="F29" s="29"/>
      <c r="G29" s="37"/>
      <c r="H29" s="37"/>
      <c r="I29" s="38"/>
      <c r="J29" s="29"/>
      <c r="K29" s="37"/>
      <c r="L29" s="37"/>
      <c r="M29" s="37"/>
      <c r="N29" s="29"/>
    </row>
    <row r="30" spans="1:14" s="53" customFormat="1" x14ac:dyDescent="0.15">
      <c r="A30" s="53" t="s">
        <v>18</v>
      </c>
      <c r="B30" s="55">
        <f>IFERROR((B11/#REF!)-1,0)</f>
        <v>0</v>
      </c>
      <c r="C30" s="54">
        <f>IFERROR((C11/#REF!)-1,0)</f>
        <v>0</v>
      </c>
      <c r="D30" s="54">
        <f>IFERROR((D11/#REF!)-1,0)</f>
        <v>0</v>
      </c>
      <c r="E30" s="54">
        <f>IFERROR((E11/#REF!)-1,0)</f>
        <v>0</v>
      </c>
      <c r="F30" s="55">
        <f t="shared" ref="F30:I30" si="45">IFERROR((F11/B11)-1,0)</f>
        <v>0.44902386117136661</v>
      </c>
      <c r="G30" s="54">
        <f t="shared" si="45"/>
        <v>0.47731397459165148</v>
      </c>
      <c r="H30" s="54">
        <f t="shared" si="45"/>
        <v>0.50769230769230766</v>
      </c>
      <c r="I30" s="56">
        <f t="shared" si="45"/>
        <v>0.51298701298701288</v>
      </c>
      <c r="J30" s="55">
        <f t="shared" ref="J30:N30" si="46">IFERROR((J11/F11)-1,0)</f>
        <v>0.43712574850299402</v>
      </c>
      <c r="K30" s="54">
        <f t="shared" si="46"/>
        <v>0.44226044226044237</v>
      </c>
      <c r="L30" s="54">
        <f t="shared" si="46"/>
        <v>0.43650793650793651</v>
      </c>
      <c r="M30" s="54">
        <f t="shared" si="46"/>
        <v>0.4095804721030043</v>
      </c>
      <c r="N30" s="55">
        <f t="shared" si="46"/>
        <v>0.43865520833333327</v>
      </c>
    </row>
    <row r="31" spans="1:14" x14ac:dyDescent="0.15">
      <c r="A31" s="33" t="s">
        <v>43</v>
      </c>
      <c r="B31" s="58" t="e">
        <f>B14/#REF!-1</f>
        <v>#REF!</v>
      </c>
      <c r="C31" s="57" t="e">
        <f>C14/#REF!-1</f>
        <v>#REF!</v>
      </c>
      <c r="D31" s="57" t="e">
        <f>D14/#REF!-1</f>
        <v>#REF!</v>
      </c>
      <c r="E31" s="57" t="e">
        <f>E14/#REF!-1</f>
        <v>#REF!</v>
      </c>
      <c r="F31" s="58">
        <f t="shared" ref="F31:I33" si="47">F14/B14-1</f>
        <v>0.52173913043478271</v>
      </c>
      <c r="G31" s="57">
        <f t="shared" si="47"/>
        <v>0.47435897435897445</v>
      </c>
      <c r="H31" s="57">
        <f t="shared" si="47"/>
        <v>0.63855421686746983</v>
      </c>
      <c r="I31" s="59">
        <f t="shared" si="47"/>
        <v>0.5268817204301075</v>
      </c>
      <c r="J31" s="58">
        <f t="shared" ref="J31:N33" si="48">J14/F14-1</f>
        <v>0.46666666666666656</v>
      </c>
      <c r="K31" s="57">
        <f t="shared" si="48"/>
        <v>0.51304347826086949</v>
      </c>
      <c r="L31" s="57">
        <f t="shared" si="48"/>
        <v>0.24264705882352944</v>
      </c>
      <c r="M31" s="57">
        <f t="shared" si="48"/>
        <v>0.22030985915492951</v>
      </c>
      <c r="N31" s="58">
        <f t="shared" si="48"/>
        <v>0.26623376623376616</v>
      </c>
    </row>
    <row r="32" spans="1:14" x14ac:dyDescent="0.15">
      <c r="A32" s="33" t="s">
        <v>44</v>
      </c>
      <c r="B32" s="58" t="e">
        <f>B15/#REF!-1</f>
        <v>#REF!</v>
      </c>
      <c r="C32" s="57" t="e">
        <f>C15/#REF!-1</f>
        <v>#REF!</v>
      </c>
      <c r="D32" s="57" t="e">
        <f>D15/#REF!-1</f>
        <v>#REF!</v>
      </c>
      <c r="E32" s="57" t="e">
        <f>E15/#REF!-1</f>
        <v>#REF!</v>
      </c>
      <c r="F32" s="58">
        <f t="shared" si="47"/>
        <v>0.54</v>
      </c>
      <c r="G32" s="57">
        <f t="shared" si="47"/>
        <v>0.6333333333333333</v>
      </c>
      <c r="H32" s="57">
        <f t="shared" si="47"/>
        <v>0.73134328358208944</v>
      </c>
      <c r="I32" s="59">
        <f t="shared" si="47"/>
        <v>0.54545454545454541</v>
      </c>
      <c r="J32" s="58">
        <f t="shared" si="48"/>
        <v>0.74025974025974017</v>
      </c>
      <c r="K32" s="57">
        <f t="shared" si="48"/>
        <v>0.59183673469387754</v>
      </c>
      <c r="L32" s="57">
        <f t="shared" si="48"/>
        <v>0.28448275862068972</v>
      </c>
      <c r="M32" s="57">
        <f t="shared" si="48"/>
        <v>0.55656302521008394</v>
      </c>
      <c r="N32" s="58">
        <f t="shared" si="48"/>
        <v>0.45522388059701502</v>
      </c>
    </row>
    <row r="33" spans="1:14" x14ac:dyDescent="0.15">
      <c r="A33" s="33" t="s">
        <v>45</v>
      </c>
      <c r="B33" s="58" t="e">
        <f>B16/#REF!-1</f>
        <v>#REF!</v>
      </c>
      <c r="C33" s="57" t="e">
        <f>C16/#REF!-1</f>
        <v>#REF!</v>
      </c>
      <c r="D33" s="57" t="e">
        <f>D16/#REF!-1</f>
        <v>#REF!</v>
      </c>
      <c r="E33" s="57" t="e">
        <f>E16/#REF!-1</f>
        <v>#REF!</v>
      </c>
      <c r="F33" s="58">
        <f t="shared" si="47"/>
        <v>0.3623188405797102</v>
      </c>
      <c r="G33" s="57">
        <f t="shared" si="47"/>
        <v>0.29629629629629628</v>
      </c>
      <c r="H33" s="57">
        <f t="shared" si="47"/>
        <v>0.3214285714285714</v>
      </c>
      <c r="I33" s="59">
        <f t="shared" si="47"/>
        <v>0.45783132530120474</v>
      </c>
      <c r="J33" s="58">
        <f t="shared" si="48"/>
        <v>0.4042553191489362</v>
      </c>
      <c r="K33" s="57">
        <f t="shared" si="48"/>
        <v>0.2952380952380953</v>
      </c>
      <c r="L33" s="57">
        <f t="shared" si="48"/>
        <v>0.35135135135135132</v>
      </c>
      <c r="M33" s="57">
        <f t="shared" si="48"/>
        <v>0.24793388429752072</v>
      </c>
      <c r="N33" s="58">
        <f t="shared" si="48"/>
        <v>0.81060606060606055</v>
      </c>
    </row>
    <row r="34" spans="1:14" x14ac:dyDescent="0.15">
      <c r="C34" s="60"/>
      <c r="D34" s="60"/>
      <c r="G34" s="60"/>
      <c r="H34" s="60"/>
      <c r="I34" s="61"/>
      <c r="J34" s="28"/>
      <c r="K34" s="60"/>
      <c r="L34" s="60"/>
      <c r="M34" s="60"/>
      <c r="N34" s="28"/>
    </row>
    <row r="35" spans="1:14" s="53" customFormat="1" x14ac:dyDescent="0.15">
      <c r="A35" s="53" t="s">
        <v>25</v>
      </c>
      <c r="B35" s="29"/>
      <c r="C35" s="37"/>
      <c r="D35" s="37"/>
      <c r="E35" s="27"/>
      <c r="F35" s="28"/>
      <c r="G35" s="60"/>
      <c r="H35" s="60"/>
      <c r="I35" s="41">
        <f t="shared" ref="I35:N35" si="49">I36-I37</f>
        <v>689</v>
      </c>
      <c r="J35" s="42">
        <f t="shared" si="49"/>
        <v>661</v>
      </c>
      <c r="K35" s="41">
        <f t="shared" si="49"/>
        <v>731</v>
      </c>
      <c r="L35" s="41">
        <f t="shared" si="49"/>
        <v>806</v>
      </c>
      <c r="M35" s="41">
        <f t="shared" si="49"/>
        <v>1137</v>
      </c>
      <c r="N35" s="42">
        <f t="shared" si="49"/>
        <v>1252</v>
      </c>
    </row>
    <row r="36" spans="1:14" x14ac:dyDescent="0.15">
      <c r="A36" s="33" t="s">
        <v>26</v>
      </c>
      <c r="B36" s="29"/>
      <c r="C36" s="37"/>
      <c r="D36" s="37"/>
      <c r="G36" s="60"/>
      <c r="H36" s="60"/>
      <c r="I36" s="37">
        <f>583+541+465</f>
        <v>1589</v>
      </c>
      <c r="J36" s="29">
        <f>522+567+481</f>
        <v>1570</v>
      </c>
      <c r="K36" s="37">
        <f>617+572+461</f>
        <v>1650</v>
      </c>
      <c r="L36" s="37">
        <f>612+558+565</f>
        <v>1735</v>
      </c>
      <c r="M36" s="37">
        <f>1047+492+537</f>
        <v>2076</v>
      </c>
      <c r="N36" s="29">
        <f>1962+522+529</f>
        <v>3013</v>
      </c>
    </row>
    <row r="37" spans="1:14" x14ac:dyDescent="0.15">
      <c r="A37" s="33" t="s">
        <v>27</v>
      </c>
      <c r="B37" s="29"/>
      <c r="C37" s="37"/>
      <c r="D37" s="37"/>
      <c r="G37" s="60"/>
      <c r="H37" s="60"/>
      <c r="I37" s="37">
        <v>900</v>
      </c>
      <c r="J37" s="29">
        <v>909</v>
      </c>
      <c r="K37" s="37">
        <v>919</v>
      </c>
      <c r="L37" s="37">
        <v>929</v>
      </c>
      <c r="M37" s="37">
        <v>939</v>
      </c>
      <c r="N37" s="29">
        <v>1761</v>
      </c>
    </row>
    <row r="38" spans="1:14" x14ac:dyDescent="0.15">
      <c r="B38" s="29"/>
      <c r="C38" s="37"/>
      <c r="D38" s="37"/>
      <c r="G38" s="60"/>
      <c r="H38" s="60"/>
      <c r="I38" s="37"/>
      <c r="J38" s="29"/>
      <c r="K38" s="37"/>
      <c r="L38" s="37"/>
      <c r="M38" s="37"/>
      <c r="N38" s="29"/>
    </row>
    <row r="39" spans="1:14" x14ac:dyDescent="0.15">
      <c r="A39" s="33" t="s">
        <v>56</v>
      </c>
      <c r="B39" s="29"/>
      <c r="C39" s="37"/>
      <c r="D39" s="37"/>
      <c r="G39" s="60"/>
      <c r="H39" s="60"/>
      <c r="I39" s="37">
        <f>262+77</f>
        <v>339</v>
      </c>
      <c r="J39" s="29">
        <f>267+80</f>
        <v>347</v>
      </c>
      <c r="K39" s="37">
        <f>270+84</f>
        <v>354</v>
      </c>
      <c r="L39" s="37">
        <f>266+73</f>
        <v>339</v>
      </c>
      <c r="M39" s="37">
        <f>266+69</f>
        <v>335</v>
      </c>
      <c r="N39" s="29">
        <f>289+82</f>
        <v>371</v>
      </c>
    </row>
    <row r="40" spans="1:14" x14ac:dyDescent="0.15">
      <c r="A40" s="33" t="s">
        <v>57</v>
      </c>
      <c r="B40" s="29"/>
      <c r="C40" s="37"/>
      <c r="D40" s="37"/>
      <c r="G40" s="60"/>
      <c r="H40" s="60"/>
      <c r="I40" s="37">
        <v>3281</v>
      </c>
      <c r="J40" s="29">
        <v>4403</v>
      </c>
      <c r="K40" s="37">
        <v>4654</v>
      </c>
      <c r="L40" s="37">
        <v>4001</v>
      </c>
      <c r="M40" s="37">
        <v>4551</v>
      </c>
      <c r="N40" s="29">
        <v>6004</v>
      </c>
    </row>
    <row r="41" spans="1:14" x14ac:dyDescent="0.15">
      <c r="A41" s="33" t="s">
        <v>58</v>
      </c>
      <c r="B41" s="29"/>
      <c r="C41" s="37"/>
      <c r="D41" s="37"/>
      <c r="G41" s="60"/>
      <c r="H41" s="60"/>
      <c r="I41" s="37">
        <v>2161</v>
      </c>
      <c r="J41" s="29">
        <v>3281</v>
      </c>
      <c r="K41" s="37">
        <v>3470</v>
      </c>
      <c r="L41" s="37">
        <v>2751</v>
      </c>
      <c r="M41" s="37">
        <v>2836</v>
      </c>
      <c r="N41" s="29">
        <v>4196</v>
      </c>
    </row>
    <row r="42" spans="1:14" x14ac:dyDescent="0.15">
      <c r="B42" s="29"/>
      <c r="C42" s="37"/>
      <c r="D42" s="37"/>
      <c r="G42" s="60"/>
      <c r="H42" s="60"/>
      <c r="I42" s="37"/>
      <c r="J42" s="29"/>
      <c r="K42" s="37"/>
      <c r="L42" s="37"/>
      <c r="M42" s="37"/>
      <c r="N42" s="29"/>
    </row>
    <row r="43" spans="1:14" x14ac:dyDescent="0.15">
      <c r="A43" s="33" t="s">
        <v>59</v>
      </c>
      <c r="B43" s="29"/>
      <c r="C43" s="37"/>
      <c r="D43" s="37"/>
      <c r="G43" s="60"/>
      <c r="H43" s="60"/>
      <c r="I43" s="43">
        <f t="shared" ref="I43:N43" si="50">I40-I39-I36</f>
        <v>1353</v>
      </c>
      <c r="J43" s="44">
        <f t="shared" si="50"/>
        <v>2486</v>
      </c>
      <c r="K43" s="43">
        <f t="shared" si="50"/>
        <v>2650</v>
      </c>
      <c r="L43" s="43">
        <f t="shared" si="50"/>
        <v>1927</v>
      </c>
      <c r="M43" s="43">
        <f t="shared" si="50"/>
        <v>2140</v>
      </c>
      <c r="N43" s="44">
        <f t="shared" si="50"/>
        <v>2620</v>
      </c>
    </row>
    <row r="44" spans="1:14" x14ac:dyDescent="0.15">
      <c r="A44" s="33" t="s">
        <v>60</v>
      </c>
      <c r="B44" s="29"/>
      <c r="C44" s="37"/>
      <c r="D44" s="37"/>
      <c r="G44" s="60"/>
      <c r="H44" s="60"/>
      <c r="I44" s="43">
        <f t="shared" ref="I44:N44" si="51">I40-I41</f>
        <v>1120</v>
      </c>
      <c r="J44" s="44">
        <f t="shared" si="51"/>
        <v>1122</v>
      </c>
      <c r="K44" s="43">
        <f t="shared" si="51"/>
        <v>1184</v>
      </c>
      <c r="L44" s="43">
        <f t="shared" si="51"/>
        <v>1250</v>
      </c>
      <c r="M44" s="43">
        <f t="shared" si="51"/>
        <v>1715</v>
      </c>
      <c r="N44" s="44">
        <f t="shared" si="51"/>
        <v>1808</v>
      </c>
    </row>
    <row r="45" spans="1:14" x14ac:dyDescent="0.15">
      <c r="B45" s="29"/>
      <c r="C45" s="37"/>
      <c r="D45" s="37"/>
      <c r="G45" s="60"/>
      <c r="H45" s="60"/>
      <c r="I45" s="37"/>
      <c r="J45" s="29"/>
      <c r="K45" s="37"/>
      <c r="L45" s="37"/>
      <c r="M45" s="37"/>
      <c r="N45" s="29"/>
    </row>
    <row r="46" spans="1:14" s="40" customFormat="1" x14ac:dyDescent="0.15">
      <c r="A46" s="40" t="s">
        <v>66</v>
      </c>
      <c r="B46" s="63"/>
      <c r="C46" s="62"/>
      <c r="D46" s="62"/>
      <c r="E46" s="27"/>
      <c r="F46" s="28"/>
      <c r="G46" s="60"/>
      <c r="H46" s="60"/>
      <c r="I46" s="41">
        <f t="shared" ref="I46:N46" si="52">SUM(F22:I22)</f>
        <v>-36</v>
      </c>
      <c r="J46" s="42">
        <f t="shared" si="52"/>
        <v>-51</v>
      </c>
      <c r="K46" s="41">
        <f t="shared" si="52"/>
        <v>-52</v>
      </c>
      <c r="L46" s="41">
        <f t="shared" si="52"/>
        <v>-43</v>
      </c>
      <c r="M46" s="41">
        <f t="shared" si="52"/>
        <v>371.83400000000006</v>
      </c>
      <c r="N46" s="42">
        <f t="shared" si="52"/>
        <v>303.94299999999998</v>
      </c>
    </row>
    <row r="47" spans="1:14" s="66" customFormat="1" x14ac:dyDescent="0.15">
      <c r="A47" s="64" t="s">
        <v>61</v>
      </c>
      <c r="B47" s="48"/>
      <c r="C47" s="47"/>
      <c r="D47" s="47"/>
      <c r="E47" s="27"/>
      <c r="F47" s="28"/>
      <c r="G47" s="60"/>
      <c r="H47" s="60"/>
      <c r="I47" s="47">
        <f t="shared" ref="I47:N47" si="53">I46/I44</f>
        <v>-3.214285714285714E-2</v>
      </c>
      <c r="J47" s="48">
        <f t="shared" si="53"/>
        <v>-4.5454545454545456E-2</v>
      </c>
      <c r="K47" s="47">
        <f t="shared" si="53"/>
        <v>-4.3918918918918921E-2</v>
      </c>
      <c r="L47" s="47">
        <f t="shared" si="53"/>
        <v>-3.44E-2</v>
      </c>
      <c r="M47" s="47">
        <f t="shared" si="53"/>
        <v>0.21681282798833823</v>
      </c>
      <c r="N47" s="48">
        <f t="shared" si="53"/>
        <v>0.16811006637168141</v>
      </c>
    </row>
    <row r="48" spans="1:14" s="66" customFormat="1" x14ac:dyDescent="0.15">
      <c r="A48" s="64" t="s">
        <v>62</v>
      </c>
      <c r="B48" s="48"/>
      <c r="C48" s="47"/>
      <c r="D48" s="47"/>
      <c r="E48" s="27"/>
      <c r="F48" s="28"/>
      <c r="G48" s="60"/>
      <c r="H48" s="60"/>
      <c r="I48" s="47">
        <f t="shared" ref="I48:N48" si="54">I46/I40</f>
        <v>-1.0972264553489789E-2</v>
      </c>
      <c r="J48" s="48">
        <f t="shared" si="54"/>
        <v>-1.1583011583011582E-2</v>
      </c>
      <c r="K48" s="47">
        <f t="shared" si="54"/>
        <v>-1.11731843575419E-2</v>
      </c>
      <c r="L48" s="47">
        <f t="shared" si="54"/>
        <v>-1.0747313171707074E-2</v>
      </c>
      <c r="M48" s="47">
        <f t="shared" si="54"/>
        <v>8.1703801362337958E-2</v>
      </c>
      <c r="N48" s="48">
        <f t="shared" si="54"/>
        <v>5.0623417721518987E-2</v>
      </c>
    </row>
    <row r="49" spans="1:14" s="66" customFormat="1" x14ac:dyDescent="0.15">
      <c r="A49" s="64" t="s">
        <v>63</v>
      </c>
      <c r="B49" s="48"/>
      <c r="C49" s="47"/>
      <c r="D49" s="47"/>
      <c r="E49" s="27"/>
      <c r="F49" s="28"/>
      <c r="G49" s="60"/>
      <c r="H49" s="60"/>
      <c r="I49" s="47">
        <f t="shared" ref="I49:N49" si="55">I46/(I44-I39)</f>
        <v>-4.6094750320102434E-2</v>
      </c>
      <c r="J49" s="48">
        <f t="shared" si="55"/>
        <v>-6.580645161290323E-2</v>
      </c>
      <c r="K49" s="47">
        <f t="shared" si="55"/>
        <v>-6.2650602409638559E-2</v>
      </c>
      <c r="L49" s="47">
        <f t="shared" si="55"/>
        <v>-4.7200878155872671E-2</v>
      </c>
      <c r="M49" s="47">
        <f t="shared" si="55"/>
        <v>0.26944492753623195</v>
      </c>
      <c r="N49" s="48">
        <f t="shared" si="55"/>
        <v>0.21151217814892134</v>
      </c>
    </row>
    <row r="50" spans="1:14" s="66" customFormat="1" x14ac:dyDescent="0.15">
      <c r="A50" s="64" t="s">
        <v>64</v>
      </c>
      <c r="B50" s="48"/>
      <c r="C50" s="47"/>
      <c r="D50" s="47"/>
      <c r="E50" s="27"/>
      <c r="F50" s="28"/>
      <c r="G50" s="60"/>
      <c r="H50" s="60"/>
      <c r="I50" s="47">
        <f t="shared" ref="I50:N50" si="56">I46/I43</f>
        <v>-2.6607538802660754E-2</v>
      </c>
      <c r="J50" s="48">
        <f t="shared" si="56"/>
        <v>-2.0514883346741754E-2</v>
      </c>
      <c r="K50" s="47">
        <f t="shared" si="56"/>
        <v>-1.9622641509433963E-2</v>
      </c>
      <c r="L50" s="47">
        <f t="shared" si="56"/>
        <v>-2.2314478463933574E-2</v>
      </c>
      <c r="M50" s="47">
        <f t="shared" si="56"/>
        <v>0.17375420560747667</v>
      </c>
      <c r="N50" s="48">
        <f t="shared" si="56"/>
        <v>0.1160087786259542</v>
      </c>
    </row>
    <row r="51" spans="1:14" x14ac:dyDescent="0.15">
      <c r="B51" s="29"/>
      <c r="C51" s="37"/>
      <c r="D51" s="37"/>
      <c r="F51" s="29"/>
      <c r="G51" s="37"/>
      <c r="H51" s="37"/>
      <c r="I51" s="37"/>
      <c r="J51" s="29"/>
      <c r="K51" s="37"/>
      <c r="L51" s="37"/>
      <c r="M51" s="37"/>
      <c r="N51" s="29"/>
    </row>
    <row r="52" spans="1:14" x14ac:dyDescent="0.15">
      <c r="A52" s="36" t="s">
        <v>83</v>
      </c>
      <c r="B52" s="29"/>
      <c r="C52" s="37"/>
      <c r="D52" s="37"/>
      <c r="F52" s="48">
        <f t="shared" ref="F52:I54" si="57">F3/B3-1</f>
        <v>0.29776674937965253</v>
      </c>
      <c r="G52" s="47">
        <f t="shared" si="57"/>
        <v>0.29668049792531126</v>
      </c>
      <c r="H52" s="47">
        <f t="shared" si="57"/>
        <v>0.28431372549019618</v>
      </c>
      <c r="I52" s="47">
        <f t="shared" si="57"/>
        <v>0.27238095238095239</v>
      </c>
      <c r="J52" s="48">
        <f t="shared" ref="J52:N55" si="58">J3/F3-1</f>
        <v>0.25621414913957929</v>
      </c>
      <c r="K52" s="47">
        <f t="shared" si="58"/>
        <v>0.24160000000000004</v>
      </c>
      <c r="L52" s="47">
        <f t="shared" si="58"/>
        <v>0.24732824427480926</v>
      </c>
      <c r="M52" s="47">
        <f t="shared" si="58"/>
        <v>0.24577844311377239</v>
      </c>
      <c r="N52" s="48">
        <f t="shared" si="58"/>
        <v>0.15388280060882797</v>
      </c>
    </row>
    <row r="53" spans="1:14" x14ac:dyDescent="0.15">
      <c r="A53" s="36" t="s">
        <v>84</v>
      </c>
      <c r="B53" s="29"/>
      <c r="C53" s="37"/>
      <c r="D53" s="37"/>
      <c r="F53" s="48">
        <f t="shared" si="57"/>
        <v>0.97959183673469385</v>
      </c>
      <c r="G53" s="47">
        <f t="shared" si="57"/>
        <v>1.2711864406779663</v>
      </c>
      <c r="H53" s="47">
        <f t="shared" si="57"/>
        <v>1.5538461538461537</v>
      </c>
      <c r="I53" s="47">
        <f t="shared" si="57"/>
        <v>1.4556962025316458</v>
      </c>
      <c r="J53" s="48">
        <f t="shared" si="58"/>
        <v>1.2577319587628866</v>
      </c>
      <c r="K53" s="47">
        <f t="shared" si="58"/>
        <v>0.87313432835820892</v>
      </c>
      <c r="L53" s="47">
        <f t="shared" si="58"/>
        <v>0.68674698795180733</v>
      </c>
      <c r="M53" s="47">
        <f t="shared" si="58"/>
        <v>0.45059278350515464</v>
      </c>
      <c r="N53" s="48">
        <f t="shared" si="58"/>
        <v>0.35267123287671232</v>
      </c>
    </row>
    <row r="54" spans="1:14" x14ac:dyDescent="0.15">
      <c r="A54" s="36" t="s">
        <v>85</v>
      </c>
      <c r="B54" s="29"/>
      <c r="C54" s="37"/>
      <c r="D54" s="37"/>
      <c r="E54" s="47"/>
      <c r="F54" s="48">
        <f t="shared" si="57"/>
        <v>0.55555555555555558</v>
      </c>
      <c r="G54" s="47">
        <f t="shared" si="57"/>
        <v>0.8</v>
      </c>
      <c r="H54" s="47">
        <f t="shared" si="57"/>
        <v>0.8</v>
      </c>
      <c r="I54" s="47">
        <f t="shared" si="57"/>
        <v>0.5</v>
      </c>
      <c r="J54" s="48">
        <f t="shared" si="58"/>
        <v>0.28571428571428581</v>
      </c>
      <c r="K54" s="47">
        <f t="shared" si="58"/>
        <v>0.22222222222222232</v>
      </c>
      <c r="L54" s="47">
        <f t="shared" si="58"/>
        <v>0.22222222222222232</v>
      </c>
      <c r="M54" s="47">
        <f t="shared" si="58"/>
        <v>0.25372222222222218</v>
      </c>
      <c r="N54" s="48">
        <f t="shared" si="58"/>
        <v>0.14861111111111125</v>
      </c>
    </row>
    <row r="55" spans="1:14" x14ac:dyDescent="0.15">
      <c r="A55" s="36" t="s">
        <v>86</v>
      </c>
      <c r="B55" s="29"/>
      <c r="C55" s="37"/>
      <c r="D55" s="37"/>
      <c r="E55" s="47"/>
      <c r="F55" s="48"/>
      <c r="G55" s="47"/>
      <c r="H55" s="47"/>
      <c r="I55" s="47"/>
      <c r="J55" s="48">
        <f t="shared" si="58"/>
        <v>0.94117647058823528</v>
      </c>
      <c r="K55" s="47">
        <f t="shared" si="58"/>
        <v>2.3783783783783785</v>
      </c>
      <c r="L55" s="47">
        <f t="shared" si="58"/>
        <v>2.441860465116279</v>
      </c>
      <c r="M55" s="47">
        <f t="shared" si="58"/>
        <v>2.4147500000000002</v>
      </c>
      <c r="N55" s="48">
        <f t="shared" si="58"/>
        <v>3.6378484848484849</v>
      </c>
    </row>
    <row r="56" spans="1:14" x14ac:dyDescent="0.15">
      <c r="B56" s="29"/>
      <c r="C56" s="37"/>
      <c r="D56" s="37"/>
      <c r="E56" s="30"/>
      <c r="F56" s="29"/>
      <c r="G56" s="37"/>
      <c r="H56" s="37"/>
      <c r="I56" s="38"/>
      <c r="J56" s="29"/>
      <c r="K56" s="37"/>
      <c r="L56" s="37"/>
      <c r="M56" s="37"/>
    </row>
    <row r="57" spans="1:14" x14ac:dyDescent="0.15">
      <c r="A57" s="33" t="s">
        <v>67</v>
      </c>
      <c r="B57" s="48"/>
      <c r="C57" s="47"/>
      <c r="D57" s="47"/>
      <c r="E57" s="47"/>
      <c r="F57" s="48"/>
      <c r="G57" s="47"/>
      <c r="H57" s="47"/>
      <c r="I57" s="37"/>
      <c r="J57" s="48"/>
      <c r="K57" s="47"/>
      <c r="L57" s="47"/>
      <c r="M57" s="47"/>
    </row>
    <row r="58" spans="1:14" x14ac:dyDescent="0.15">
      <c r="A58" s="33" t="s">
        <v>65</v>
      </c>
      <c r="B58" s="48"/>
      <c r="C58" s="47"/>
      <c r="D58" s="47"/>
      <c r="E58" s="47"/>
      <c r="F58" s="48"/>
      <c r="G58" s="47"/>
      <c r="H58" s="47"/>
      <c r="I58" s="37"/>
      <c r="J58" s="48"/>
      <c r="K58" s="47"/>
      <c r="L58" s="47"/>
      <c r="M58" s="47"/>
    </row>
    <row r="60" spans="1:14" s="76" customFormat="1" x14ac:dyDescent="0.15">
      <c r="A60" s="76" t="s">
        <v>81</v>
      </c>
      <c r="B60" s="67">
        <v>14</v>
      </c>
      <c r="C60" s="77">
        <v>16</v>
      </c>
      <c r="D60" s="77">
        <v>17</v>
      </c>
      <c r="E60" s="77">
        <v>18</v>
      </c>
      <c r="F60" s="67">
        <v>18</v>
      </c>
      <c r="G60" s="77">
        <v>21</v>
      </c>
      <c r="H60" s="77">
        <v>22</v>
      </c>
      <c r="I60" s="78">
        <v>23</v>
      </c>
      <c r="J60" s="79">
        <v>23</v>
      </c>
      <c r="K60" s="76">
        <v>27</v>
      </c>
      <c r="L60" s="76">
        <v>28</v>
      </c>
      <c r="M60" s="76">
        <v>28.638999999999999</v>
      </c>
      <c r="N60" s="79">
        <v>25.742999999999999</v>
      </c>
    </row>
    <row r="61" spans="1:14" x14ac:dyDescent="0.15">
      <c r="A61" s="33" t="s">
        <v>82</v>
      </c>
      <c r="B61" s="67"/>
      <c r="F61" s="65">
        <f t="shared" ref="F61:N61" si="59">F60/B60-1</f>
        <v>0.28571428571428581</v>
      </c>
      <c r="G61" s="66">
        <f t="shared" si="59"/>
        <v>0.3125</v>
      </c>
      <c r="H61" s="66">
        <f t="shared" si="59"/>
        <v>0.29411764705882359</v>
      </c>
      <c r="I61" s="66">
        <f t="shared" si="59"/>
        <v>0.27777777777777768</v>
      </c>
      <c r="J61" s="65">
        <f t="shared" si="59"/>
        <v>0.27777777777777768</v>
      </c>
      <c r="K61" s="66">
        <f t="shared" si="59"/>
        <v>0.28571428571428581</v>
      </c>
      <c r="L61" s="66">
        <f t="shared" si="59"/>
        <v>0.27272727272727271</v>
      </c>
      <c r="M61" s="66">
        <f t="shared" si="59"/>
        <v>0.24517391304347824</v>
      </c>
      <c r="N61" s="65">
        <f t="shared" si="59"/>
        <v>0.11926086956521731</v>
      </c>
    </row>
  </sheetData>
  <hyperlinks>
    <hyperlink ref="A1" r:id="rId1" display="https://www.sec.gov/cgi-bin/browse-edgar?CIK=SQ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13"/>
  <sheetViews>
    <sheetView workbookViewId="0">
      <selection activeCell="C28" sqref="C28"/>
    </sheetView>
  </sheetViews>
  <sheetFormatPr baseColWidth="10" defaultRowHeight="13" x14ac:dyDescent="0.15"/>
  <cols>
    <col min="1" max="1" width="10.83203125" style="1"/>
    <col min="2" max="2" width="13" style="1" bestFit="1" customWidth="1"/>
    <col min="3" max="3" width="49.6640625" style="1" bestFit="1" customWidth="1"/>
    <col min="4" max="16384" width="10.83203125" style="1"/>
  </cols>
  <sheetData>
    <row r="4" spans="2:3" x14ac:dyDescent="0.15">
      <c r="B4" s="16" t="s">
        <v>90</v>
      </c>
    </row>
    <row r="6" spans="2:3" x14ac:dyDescent="0.15">
      <c r="B6" s="75" t="s">
        <v>91</v>
      </c>
      <c r="C6" s="75" t="s">
        <v>92</v>
      </c>
    </row>
    <row r="7" spans="2:3" x14ac:dyDescent="0.15">
      <c r="B7" s="75" t="s">
        <v>93</v>
      </c>
      <c r="C7" s="75" t="s">
        <v>94</v>
      </c>
    </row>
    <row r="8" spans="2:3" x14ac:dyDescent="0.15">
      <c r="B8" s="75" t="s">
        <v>95</v>
      </c>
      <c r="C8" s="75" t="s">
        <v>96</v>
      </c>
    </row>
    <row r="9" spans="2:3" x14ac:dyDescent="0.15">
      <c r="B9" s="75"/>
      <c r="C9" s="75"/>
    </row>
    <row r="10" spans="2:3" x14ac:dyDescent="0.15">
      <c r="B10" s="16" t="s">
        <v>99</v>
      </c>
      <c r="C10" s="75"/>
    </row>
    <row r="11" spans="2:3" x14ac:dyDescent="0.15">
      <c r="B11" s="75"/>
      <c r="C11" s="75"/>
    </row>
    <row r="12" spans="2:3" x14ac:dyDescent="0.15">
      <c r="B12" s="75" t="s">
        <v>97</v>
      </c>
      <c r="C12" s="75" t="s">
        <v>98</v>
      </c>
    </row>
    <row r="13" spans="2:3" x14ac:dyDescent="0.15">
      <c r="B13" s="75" t="s">
        <v>100</v>
      </c>
      <c r="C13" s="7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2020-05-14T08:12:02Z</dcterms:modified>
</cp:coreProperties>
</file>