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68A1B7BA-80BF-8541-BC0B-9B87062914C1}" xr6:coauthVersionLast="45" xr6:coauthVersionMax="45" xr10:uidLastSave="{00000000-0000-0000-0000-000000000000}"/>
  <bookViews>
    <workbookView xWindow="0" yWindow="460" windowWidth="2306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G18" i="2"/>
  <c r="H18" i="2" s="1"/>
  <c r="I18" i="2" s="1"/>
  <c r="J18" i="2" s="1"/>
  <c r="F18" i="2"/>
  <c r="G13" i="2"/>
  <c r="H13" i="2" s="1"/>
  <c r="F13" i="2"/>
  <c r="F15" i="2"/>
  <c r="J63" i="2"/>
  <c r="I63" i="2"/>
  <c r="H63" i="2"/>
  <c r="G63" i="2"/>
  <c r="F63" i="2"/>
  <c r="G12" i="2"/>
  <c r="H12" i="2" s="1"/>
  <c r="I12" i="2" s="1"/>
  <c r="J12" i="2" s="1"/>
  <c r="F12" i="2"/>
  <c r="D64" i="2"/>
  <c r="D63" i="2"/>
  <c r="E64" i="2"/>
  <c r="E63" i="2"/>
  <c r="C13" i="2"/>
  <c r="C12" i="2"/>
  <c r="D13" i="2"/>
  <c r="D12" i="2"/>
  <c r="C28" i="2"/>
  <c r="C27" i="2"/>
  <c r="B23" i="2"/>
  <c r="B20" i="2"/>
  <c r="B15" i="2"/>
  <c r="E15" i="2"/>
  <c r="E13" i="2"/>
  <c r="E12" i="2"/>
  <c r="C5" i="2"/>
  <c r="C3" i="2"/>
  <c r="F27" i="1"/>
  <c r="G27" i="1"/>
  <c r="H27" i="1"/>
  <c r="I27" i="1"/>
  <c r="J27" i="1"/>
  <c r="K27" i="1"/>
  <c r="L27" i="1"/>
  <c r="M27" i="1"/>
  <c r="N27" i="1"/>
  <c r="N8" i="1"/>
  <c r="O27" i="1"/>
  <c r="F53" i="1"/>
  <c r="F52" i="1"/>
  <c r="G53" i="1"/>
  <c r="G52" i="1"/>
  <c r="H53" i="1"/>
  <c r="H52" i="1"/>
  <c r="I53" i="1"/>
  <c r="I52" i="1"/>
  <c r="B8" i="1"/>
  <c r="C8" i="1"/>
  <c r="D8" i="1"/>
  <c r="B5" i="1"/>
  <c r="B6" i="1" s="1"/>
  <c r="C5" i="1"/>
  <c r="C6" i="1" s="1"/>
  <c r="D5" i="1"/>
  <c r="D6" i="1" s="1"/>
  <c r="B16" i="1"/>
  <c r="C16" i="1"/>
  <c r="H37" i="1"/>
  <c r="H41" i="1" s="1"/>
  <c r="H35" i="1"/>
  <c r="H33" i="1" s="1"/>
  <c r="H44" i="1"/>
  <c r="H42" i="1"/>
  <c r="D16" i="1"/>
  <c r="E37" i="1"/>
  <c r="E35" i="1"/>
  <c r="E33" i="1" s="1"/>
  <c r="E42" i="1"/>
  <c r="E41" i="1"/>
  <c r="E16" i="1"/>
  <c r="E13" i="1"/>
  <c r="E5" i="1"/>
  <c r="E6" i="1" s="1"/>
  <c r="E8" i="1" s="1"/>
  <c r="J37" i="1"/>
  <c r="J35" i="1"/>
  <c r="J33" i="1" s="1"/>
  <c r="J41" i="1"/>
  <c r="J53" i="1"/>
  <c r="J52" i="1"/>
  <c r="J50" i="1"/>
  <c r="J44" i="1"/>
  <c r="J42" i="1"/>
  <c r="F16" i="1"/>
  <c r="G8" i="1"/>
  <c r="F5" i="1"/>
  <c r="F6" i="1" s="1"/>
  <c r="F8" i="1" s="1"/>
  <c r="J5" i="1"/>
  <c r="J6" i="1"/>
  <c r="L37" i="1"/>
  <c r="K37" i="1"/>
  <c r="K41" i="1" s="1"/>
  <c r="K35" i="1"/>
  <c r="K53" i="1"/>
  <c r="K52" i="1"/>
  <c r="K50" i="1"/>
  <c r="K42" i="1"/>
  <c r="K33" i="1"/>
  <c r="G16" i="1"/>
  <c r="G5" i="1"/>
  <c r="G6" i="1" s="1"/>
  <c r="K16" i="1"/>
  <c r="H8" i="1"/>
  <c r="K8" i="1"/>
  <c r="K5" i="1"/>
  <c r="K6" i="1" s="1"/>
  <c r="L53" i="1"/>
  <c r="L52" i="1"/>
  <c r="M53" i="1"/>
  <c r="M52" i="1"/>
  <c r="L35" i="1"/>
  <c r="H16" i="1"/>
  <c r="L16" i="1"/>
  <c r="L8" i="1"/>
  <c r="H5" i="1"/>
  <c r="H6" i="1" s="1"/>
  <c r="L5" i="1"/>
  <c r="L6" i="1" s="1"/>
  <c r="I37" i="1"/>
  <c r="I35" i="1"/>
  <c r="M35" i="1"/>
  <c r="I16" i="1"/>
  <c r="I13" i="1"/>
  <c r="M16" i="1"/>
  <c r="I8" i="1"/>
  <c r="M8" i="1"/>
  <c r="I5" i="1"/>
  <c r="I6" i="1" s="1"/>
  <c r="M5" i="1"/>
  <c r="M6" i="1" s="1"/>
  <c r="N52" i="1"/>
  <c r="M37" i="1"/>
  <c r="N37" i="1"/>
  <c r="N35" i="1"/>
  <c r="N6" i="1"/>
  <c r="N5" i="1"/>
  <c r="H15" i="2" l="1"/>
  <c r="I13" i="2"/>
  <c r="J13" i="2" s="1"/>
  <c r="G15" i="2"/>
  <c r="H64" i="2"/>
  <c r="I15" i="2"/>
  <c r="G64" i="2"/>
  <c r="F64" i="2"/>
  <c r="H48" i="1"/>
  <c r="H45" i="1"/>
  <c r="H46" i="1"/>
  <c r="H47" i="1"/>
  <c r="J48" i="1"/>
  <c r="J45" i="1"/>
  <c r="J47" i="1"/>
  <c r="J46" i="1"/>
  <c r="N53" i="1"/>
  <c r="J8" i="1"/>
  <c r="T9" i="2"/>
  <c r="S9" i="2"/>
  <c r="R9" i="2"/>
  <c r="Q9" i="2"/>
  <c r="P9" i="2"/>
  <c r="F4" i="2"/>
  <c r="E28" i="2"/>
  <c r="E20" i="2"/>
  <c r="F20" i="2" s="1"/>
  <c r="G20" i="2" s="1"/>
  <c r="H20" i="2" s="1"/>
  <c r="I20" i="2" s="1"/>
  <c r="J20" i="2" s="1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E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E16" i="2"/>
  <c r="E10" i="2"/>
  <c r="D28" i="2"/>
  <c r="D25" i="2"/>
  <c r="D23" i="2"/>
  <c r="D20" i="2"/>
  <c r="D19" i="2"/>
  <c r="D18" i="2"/>
  <c r="D16" i="2"/>
  <c r="D10" i="2"/>
  <c r="C25" i="2"/>
  <c r="C23" i="2"/>
  <c r="C20" i="2"/>
  <c r="C19" i="2"/>
  <c r="C18" i="2"/>
  <c r="C16" i="2"/>
  <c r="C10" i="2"/>
  <c r="I64" i="2" l="1"/>
  <c r="E46" i="2"/>
  <c r="E45" i="2"/>
  <c r="E25" i="2"/>
  <c r="E23" i="2"/>
  <c r="N41" i="1"/>
  <c r="E44" i="2"/>
  <c r="E56" i="2" s="1"/>
  <c r="E42" i="2"/>
  <c r="E41" i="2"/>
  <c r="M50" i="1"/>
  <c r="M42" i="1"/>
  <c r="M29" i="1"/>
  <c r="M28" i="1"/>
  <c r="M10" i="1"/>
  <c r="M23" i="1" s="1"/>
  <c r="J64" i="2" l="1"/>
  <c r="J15" i="2"/>
  <c r="E49" i="2"/>
  <c r="M41" i="1"/>
  <c r="M33" i="1"/>
  <c r="M14" i="1"/>
  <c r="M15" i="1" s="1"/>
  <c r="F35" i="2"/>
  <c r="E40" i="2"/>
  <c r="E48" i="2"/>
  <c r="M24" i="1" l="1"/>
  <c r="M17" i="1"/>
  <c r="M25" i="1" s="1"/>
  <c r="E17" i="2"/>
  <c r="M19" i="1" l="1"/>
  <c r="M20" i="1" s="1"/>
  <c r="L42" i="1" l="1"/>
  <c r="L50" i="1"/>
  <c r="L14" i="1"/>
  <c r="L10" i="1"/>
  <c r="N50" i="1"/>
  <c r="N42" i="1"/>
  <c r="N29" i="1"/>
  <c r="N28" i="1"/>
  <c r="N14" i="1"/>
  <c r="L41" i="1" l="1"/>
  <c r="L33" i="1"/>
  <c r="L15" i="1"/>
  <c r="L17" i="1" s="1"/>
  <c r="L19" i="1" s="1"/>
  <c r="L20" i="1" s="1"/>
  <c r="N10" i="1"/>
  <c r="N30" i="1"/>
  <c r="N33" i="1"/>
  <c r="C4" i="2"/>
  <c r="L28" i="1"/>
  <c r="L29" i="1"/>
  <c r="K29" i="1"/>
  <c r="K28" i="1"/>
  <c r="E61" i="2"/>
  <c r="B14" i="1"/>
  <c r="G14" i="1"/>
  <c r="D14" i="1"/>
  <c r="H14" i="1"/>
  <c r="M30" i="1"/>
  <c r="D44" i="2"/>
  <c r="D56" i="2" s="1"/>
  <c r="D41" i="2"/>
  <c r="H10" i="1"/>
  <c r="H23" i="1" s="1"/>
  <c r="G10" i="1"/>
  <c r="F14" i="1"/>
  <c r="J29" i="1"/>
  <c r="J28" i="1"/>
  <c r="F10" i="1"/>
  <c r="F23" i="1" s="1"/>
  <c r="E14" i="1"/>
  <c r="J10" i="1"/>
  <c r="D45" i="2"/>
  <c r="I42" i="1"/>
  <c r="D42" i="2"/>
  <c r="D46" i="2"/>
  <c r="E10" i="1"/>
  <c r="E23" i="1" s="1"/>
  <c r="I50" i="1"/>
  <c r="H50" i="1"/>
  <c r="G50" i="1"/>
  <c r="F50" i="1"/>
  <c r="B10" i="1"/>
  <c r="I29" i="1"/>
  <c r="I28" i="1"/>
  <c r="F29" i="1"/>
  <c r="F28" i="1"/>
  <c r="G29" i="1"/>
  <c r="G28" i="1"/>
  <c r="H29" i="1"/>
  <c r="H28" i="1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K10" i="1" l="1"/>
  <c r="C15" i="2"/>
  <c r="C17" i="2" s="1"/>
  <c r="C30" i="2" s="1"/>
  <c r="I30" i="1"/>
  <c r="I41" i="1"/>
  <c r="F30" i="1"/>
  <c r="C21" i="2"/>
  <c r="B15" i="1"/>
  <c r="B24" i="1" s="1"/>
  <c r="J14" i="1"/>
  <c r="N31" i="1" s="1"/>
  <c r="I14" i="1"/>
  <c r="H30" i="1"/>
  <c r="I10" i="1"/>
  <c r="I23" i="1" s="1"/>
  <c r="H59" i="2"/>
  <c r="F59" i="2"/>
  <c r="I59" i="2"/>
  <c r="D59" i="2"/>
  <c r="C59" i="2"/>
  <c r="J59" i="2"/>
  <c r="E59" i="2"/>
  <c r="B59" i="2"/>
  <c r="G59" i="2"/>
  <c r="D35" i="2"/>
  <c r="D40" i="2"/>
  <c r="D36" i="2"/>
  <c r="N15" i="1"/>
  <c r="N23" i="1"/>
  <c r="G15" i="1"/>
  <c r="G17" i="1" s="1"/>
  <c r="G23" i="1"/>
  <c r="D61" i="2"/>
  <c r="G30" i="1"/>
  <c r="D49" i="2"/>
  <c r="D48" i="2"/>
  <c r="E15" i="1"/>
  <c r="E24" i="1" s="1"/>
  <c r="C61" i="2"/>
  <c r="C36" i="2"/>
  <c r="B23" i="1"/>
  <c r="I33" i="1"/>
  <c r="H31" i="1"/>
  <c r="C35" i="2"/>
  <c r="F31" i="1"/>
  <c r="L30" i="1"/>
  <c r="K23" i="1"/>
  <c r="H15" i="1"/>
  <c r="D15" i="2"/>
  <c r="D10" i="1"/>
  <c r="F15" i="1"/>
  <c r="C14" i="1"/>
  <c r="K14" i="1"/>
  <c r="K31" i="1" s="1"/>
  <c r="B17" i="2"/>
  <c r="J30" i="1"/>
  <c r="C6" i="2"/>
  <c r="C7" i="2" s="1"/>
  <c r="C10" i="1"/>
  <c r="J23" i="1"/>
  <c r="K30" i="1"/>
  <c r="L31" i="1"/>
  <c r="C34" i="2" l="1"/>
  <c r="J15" i="1"/>
  <c r="J17" i="1" s="1"/>
  <c r="J25" i="1" s="1"/>
  <c r="D37" i="2"/>
  <c r="B17" i="1"/>
  <c r="B25" i="1" s="1"/>
  <c r="G24" i="1"/>
  <c r="J31" i="1"/>
  <c r="I15" i="1"/>
  <c r="I24" i="1" s="1"/>
  <c r="E21" i="2"/>
  <c r="E22" i="2" s="1"/>
  <c r="E24" i="2" s="1"/>
  <c r="M31" i="1"/>
  <c r="I31" i="1"/>
  <c r="N24" i="1"/>
  <c r="N17" i="1"/>
  <c r="G31" i="1"/>
  <c r="E17" i="1"/>
  <c r="E25" i="1" s="1"/>
  <c r="G19" i="1"/>
  <c r="G25" i="1"/>
  <c r="C15" i="1"/>
  <c r="C23" i="1"/>
  <c r="C22" i="2"/>
  <c r="F24" i="1"/>
  <c r="F17" i="1"/>
  <c r="D23" i="1"/>
  <c r="D15" i="1"/>
  <c r="B30" i="2"/>
  <c r="E36" i="2"/>
  <c r="H17" i="1"/>
  <c r="H24" i="1"/>
  <c r="D34" i="2"/>
  <c r="D17" i="2"/>
  <c r="C37" i="2"/>
  <c r="K15" i="1"/>
  <c r="D21" i="2"/>
  <c r="D38" i="2" s="1"/>
  <c r="B21" i="2"/>
  <c r="J24" i="1" l="1"/>
  <c r="J19" i="1"/>
  <c r="B19" i="1"/>
  <c r="B20" i="1" s="1"/>
  <c r="I17" i="1"/>
  <c r="I19" i="1" s="1"/>
  <c r="E19" i="1"/>
  <c r="E20" i="1" s="1"/>
  <c r="N19" i="1"/>
  <c r="N25" i="1"/>
  <c r="E35" i="2"/>
  <c r="K17" i="1"/>
  <c r="K24" i="1"/>
  <c r="F36" i="2"/>
  <c r="B22" i="2"/>
  <c r="C31" i="2"/>
  <c r="C24" i="2"/>
  <c r="H19" i="1"/>
  <c r="H25" i="1"/>
  <c r="C38" i="2"/>
  <c r="L23" i="1"/>
  <c r="D24" i="1"/>
  <c r="D17" i="1"/>
  <c r="E37" i="2"/>
  <c r="D22" i="2"/>
  <c r="D30" i="2"/>
  <c r="F25" i="1"/>
  <c r="F19" i="1"/>
  <c r="C24" i="1"/>
  <c r="C17" i="1"/>
  <c r="G20" i="1"/>
  <c r="E38" i="2"/>
  <c r="J20" i="1" l="1"/>
  <c r="K44" i="1"/>
  <c r="I25" i="1"/>
  <c r="I20" i="1"/>
  <c r="N20" i="1"/>
  <c r="L24" i="1"/>
  <c r="F37" i="2"/>
  <c r="G21" i="2"/>
  <c r="K25" i="1"/>
  <c r="K19" i="1"/>
  <c r="C26" i="2"/>
  <c r="C58" i="2" s="1"/>
  <c r="C32" i="2"/>
  <c r="B31" i="2"/>
  <c r="B24" i="2"/>
  <c r="G36" i="2"/>
  <c r="E34" i="2"/>
  <c r="H20" i="1"/>
  <c r="C19" i="1"/>
  <c r="C25" i="1"/>
  <c r="D25" i="1"/>
  <c r="D19" i="1"/>
  <c r="E44" i="1" s="1"/>
  <c r="F20" i="1"/>
  <c r="I44" i="1"/>
  <c r="D31" i="2"/>
  <c r="D24" i="2"/>
  <c r="F21" i="2"/>
  <c r="F38" i="2" s="1"/>
  <c r="E48" i="1" l="1"/>
  <c r="E45" i="1"/>
  <c r="E46" i="1"/>
  <c r="E47" i="1"/>
  <c r="K48" i="1"/>
  <c r="K45" i="1"/>
  <c r="K46" i="1"/>
  <c r="K47" i="1"/>
  <c r="K20" i="1"/>
  <c r="M44" i="1"/>
  <c r="L44" i="1"/>
  <c r="G38" i="2"/>
  <c r="G35" i="2"/>
  <c r="E30" i="2"/>
  <c r="G37" i="2"/>
  <c r="H36" i="2"/>
  <c r="B32" i="2"/>
  <c r="B26" i="2"/>
  <c r="B58" i="2" s="1"/>
  <c r="F34" i="2"/>
  <c r="D32" i="2"/>
  <c r="D26" i="2"/>
  <c r="D58" i="2" s="1"/>
  <c r="I48" i="1"/>
  <c r="I47" i="1"/>
  <c r="I46" i="1"/>
  <c r="I45" i="1"/>
  <c r="D20" i="1"/>
  <c r="C20" i="1"/>
  <c r="L47" i="1" l="1"/>
  <c r="L45" i="1"/>
  <c r="L48" i="1"/>
  <c r="L46" i="1"/>
  <c r="M48" i="1"/>
  <c r="M47" i="1"/>
  <c r="M45" i="1"/>
  <c r="M46" i="1"/>
  <c r="F17" i="2"/>
  <c r="F16" i="2" s="1"/>
  <c r="H21" i="2"/>
  <c r="H38" i="2" s="1"/>
  <c r="D54" i="2"/>
  <c r="D53" i="2"/>
  <c r="D51" i="2"/>
  <c r="H35" i="2"/>
  <c r="G34" i="2"/>
  <c r="L25" i="1"/>
  <c r="D27" i="2"/>
  <c r="D52" i="2"/>
  <c r="I36" i="2"/>
  <c r="E31" i="2"/>
  <c r="H37" i="2"/>
  <c r="P35" i="2" l="1"/>
  <c r="F22" i="2"/>
  <c r="F31" i="2" s="1"/>
  <c r="F30" i="2"/>
  <c r="G17" i="2" s="1"/>
  <c r="G22" i="2" s="1"/>
  <c r="I21" i="2"/>
  <c r="I38" i="2" s="1"/>
  <c r="I35" i="2"/>
  <c r="E32" i="2"/>
  <c r="H34" i="2"/>
  <c r="J36" i="2"/>
  <c r="I37" i="2"/>
  <c r="Q35" i="2" l="1"/>
  <c r="G16" i="2"/>
  <c r="G30" i="2"/>
  <c r="H17" i="2" s="1"/>
  <c r="H16" i="2" s="1"/>
  <c r="E26" i="2"/>
  <c r="E58" i="2" s="1"/>
  <c r="N44" i="1"/>
  <c r="J35" i="2"/>
  <c r="I34" i="2"/>
  <c r="J37" i="2"/>
  <c r="K20" i="2"/>
  <c r="J21" i="2"/>
  <c r="J38" i="2" s="1"/>
  <c r="K36" i="2"/>
  <c r="G31" i="2"/>
  <c r="R35" i="2" l="1"/>
  <c r="H30" i="2"/>
  <c r="I17" i="2" s="1"/>
  <c r="I16" i="2" s="1"/>
  <c r="H22" i="2"/>
  <c r="H31" i="2" s="1"/>
  <c r="N48" i="1"/>
  <c r="N47" i="1"/>
  <c r="E27" i="2"/>
  <c r="E51" i="2"/>
  <c r="E53" i="2"/>
  <c r="E52" i="2"/>
  <c r="E54" i="2"/>
  <c r="F23" i="2"/>
  <c r="F24" i="2" s="1"/>
  <c r="N46" i="1"/>
  <c r="N45" i="1"/>
  <c r="K35" i="2"/>
  <c r="L20" i="2"/>
  <c r="L21" i="2" s="1"/>
  <c r="K37" i="2"/>
  <c r="K15" i="2"/>
  <c r="J34" i="2"/>
  <c r="K21" i="2"/>
  <c r="K38" i="2" s="1"/>
  <c r="L36" i="2"/>
  <c r="S35" i="2" l="1"/>
  <c r="I30" i="2"/>
  <c r="J17" i="2" s="1"/>
  <c r="J16" i="2" s="1"/>
  <c r="I22" i="2"/>
  <c r="I31" i="2" s="1"/>
  <c r="L35" i="2"/>
  <c r="F32" i="2"/>
  <c r="L15" i="2"/>
  <c r="K34" i="2"/>
  <c r="L38" i="2"/>
  <c r="M36" i="2"/>
  <c r="M20" i="2"/>
  <c r="L37" i="2"/>
  <c r="T35" i="2" l="1"/>
  <c r="J30" i="2"/>
  <c r="K17" i="2" s="1"/>
  <c r="J22" i="2"/>
  <c r="J31" i="2" s="1"/>
  <c r="F26" i="2"/>
  <c r="M35" i="2"/>
  <c r="M15" i="2"/>
  <c r="L34" i="2"/>
  <c r="N36" i="2"/>
  <c r="K22" i="2"/>
  <c r="K30" i="2"/>
  <c r="L17" i="2" s="1"/>
  <c r="K16" i="2"/>
  <c r="N20" i="2"/>
  <c r="M37" i="2"/>
  <c r="M21" i="2"/>
  <c r="M38" i="2" s="1"/>
  <c r="F40" i="2" l="1"/>
  <c r="F58" i="2"/>
  <c r="P36" i="2"/>
  <c r="F27" i="2"/>
  <c r="N35" i="2"/>
  <c r="L22" i="2"/>
  <c r="L30" i="2"/>
  <c r="M17" i="2" s="1"/>
  <c r="L16" i="2"/>
  <c r="N37" i="2"/>
  <c r="O20" i="2"/>
  <c r="K31" i="2"/>
  <c r="N21" i="2"/>
  <c r="N38" i="2" s="1"/>
  <c r="O36" i="2"/>
  <c r="N15" i="2"/>
  <c r="M34" i="2"/>
  <c r="O21" i="2" l="1"/>
  <c r="O38" i="2" s="1"/>
  <c r="P20" i="2"/>
  <c r="Q36" i="2"/>
  <c r="O35" i="2"/>
  <c r="M30" i="2"/>
  <c r="N17" i="2" s="1"/>
  <c r="N16" i="2" s="1"/>
  <c r="M22" i="2"/>
  <c r="M16" i="2"/>
  <c r="N34" i="2"/>
  <c r="O15" i="2"/>
  <c r="P15" i="2" s="1"/>
  <c r="G23" i="2"/>
  <c r="G24" i="2" s="1"/>
  <c r="O37" i="2"/>
  <c r="L31" i="2"/>
  <c r="Q15" i="2" l="1"/>
  <c r="P34" i="2"/>
  <c r="P37" i="2"/>
  <c r="Q20" i="2"/>
  <c r="P21" i="2"/>
  <c r="P38" i="2"/>
  <c r="R36" i="2"/>
  <c r="G32" i="2"/>
  <c r="M31" i="2"/>
  <c r="O34" i="2"/>
  <c r="N22" i="2"/>
  <c r="N30" i="2"/>
  <c r="O17" i="2" s="1"/>
  <c r="Q34" i="2" l="1"/>
  <c r="R15" i="2"/>
  <c r="Q37" i="2"/>
  <c r="R20" i="2"/>
  <c r="Q21" i="2"/>
  <c r="S36" i="2"/>
  <c r="G26" i="2"/>
  <c r="O22" i="2"/>
  <c r="O30" i="2"/>
  <c r="P17" i="2" s="1"/>
  <c r="O16" i="2"/>
  <c r="N31" i="2"/>
  <c r="G58" i="2" l="1"/>
  <c r="P30" i="2"/>
  <c r="Q17" i="2" s="1"/>
  <c r="P16" i="2"/>
  <c r="S15" i="2"/>
  <c r="R34" i="2"/>
  <c r="P22" i="2"/>
  <c r="P31" i="2" s="1"/>
  <c r="Q38" i="2"/>
  <c r="Q22" i="2"/>
  <c r="Q31" i="2" s="1"/>
  <c r="R37" i="2"/>
  <c r="S20" i="2"/>
  <c r="R21" i="2"/>
  <c r="T36" i="2"/>
  <c r="G27" i="2"/>
  <c r="G40" i="2"/>
  <c r="H23" i="2" s="1"/>
  <c r="H24" i="2" s="1"/>
  <c r="O31" i="2"/>
  <c r="S34" i="2" l="1"/>
  <c r="T15" i="2"/>
  <c r="Q30" i="2"/>
  <c r="R17" i="2" s="1"/>
  <c r="R22" i="2" s="1"/>
  <c r="R31" i="2" s="1"/>
  <c r="Q16" i="2"/>
  <c r="R38" i="2"/>
  <c r="T20" i="2"/>
  <c r="S37" i="2"/>
  <c r="S21" i="2"/>
  <c r="H32" i="2"/>
  <c r="R30" i="2" l="1"/>
  <c r="S17" i="2" s="1"/>
  <c r="R16" i="2"/>
  <c r="T34" i="2"/>
  <c r="S22" i="2"/>
  <c r="S31" i="2" s="1"/>
  <c r="S38" i="2"/>
  <c r="T37" i="2"/>
  <c r="T21" i="2"/>
  <c r="H26" i="2"/>
  <c r="H58" i="2" l="1"/>
  <c r="S30" i="2"/>
  <c r="T17" i="2" s="1"/>
  <c r="T22" i="2" s="1"/>
  <c r="T31" i="2" s="1"/>
  <c r="S16" i="2"/>
  <c r="T38" i="2"/>
  <c r="H40" i="2"/>
  <c r="I23" i="2" s="1"/>
  <c r="I24" i="2" s="1"/>
  <c r="H27" i="2"/>
  <c r="T30" i="2" l="1"/>
  <c r="T16" i="2"/>
  <c r="I32" i="2"/>
  <c r="I26" i="2" l="1"/>
  <c r="I27" i="2" l="1"/>
  <c r="I58" i="2"/>
  <c r="I40" i="2"/>
  <c r="J23" i="2" s="1"/>
  <c r="J24" i="2" s="1"/>
  <c r="J32" i="2" l="1"/>
  <c r="J26" i="2" l="1"/>
  <c r="J58" i="2" s="1"/>
  <c r="J40" i="2" l="1"/>
  <c r="J27" i="2"/>
  <c r="K23" i="2"/>
  <c r="K24" i="2" s="1"/>
  <c r="K25" i="2" l="1"/>
  <c r="K32" i="2" s="1"/>
  <c r="K26" i="2" l="1"/>
  <c r="K27" i="2" s="1"/>
  <c r="K40" i="2"/>
  <c r="L23" i="2" l="1"/>
  <c r="L24" i="2" s="1"/>
  <c r="L25" i="2" l="1"/>
  <c r="L32" i="2" s="1"/>
  <c r="L26" i="2" l="1"/>
  <c r="L27" i="2" l="1"/>
  <c r="L40" i="2"/>
  <c r="M23" i="2" l="1"/>
  <c r="M24" i="2" s="1"/>
  <c r="M25" i="2" l="1"/>
  <c r="M32" i="2" s="1"/>
  <c r="M26" i="2" l="1"/>
  <c r="M27" i="2"/>
  <c r="M40" i="2"/>
  <c r="N23" i="2" l="1"/>
  <c r="N24" i="2" s="1"/>
  <c r="N25" i="2" l="1"/>
  <c r="N32" i="2" s="1"/>
  <c r="N26" i="2" l="1"/>
  <c r="N27" i="2" s="1"/>
  <c r="N40" i="2" l="1"/>
  <c r="O23" i="2"/>
  <c r="O24" i="2" s="1"/>
  <c r="O25" i="2" l="1"/>
  <c r="O32" i="2" s="1"/>
  <c r="O26" i="2" l="1"/>
  <c r="O27" i="2" l="1"/>
  <c r="O40" i="2"/>
  <c r="P23" i="2" l="1"/>
  <c r="P24" i="2" s="1"/>
  <c r="P25" i="2" l="1"/>
  <c r="P32" i="2" s="1"/>
  <c r="P26" i="2" l="1"/>
  <c r="P27" i="2" s="1"/>
  <c r="P40" i="2"/>
  <c r="Q23" i="2" l="1"/>
  <c r="Q24" i="2" s="1"/>
  <c r="Q25" i="2" l="1"/>
  <c r="Q32" i="2" s="1"/>
  <c r="Q26" i="2" l="1"/>
  <c r="Q27" i="2" l="1"/>
  <c r="Q40" i="2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/>
  <c r="S27" i="2" l="1"/>
  <c r="S40" i="2"/>
  <c r="T23" i="2" l="1"/>
  <c r="T24" i="2" s="1"/>
  <c r="T25" i="2" l="1"/>
  <c r="T32" i="2" s="1"/>
  <c r="T26" i="2" l="1"/>
  <c r="T27" i="2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T40" i="2"/>
  <c r="F6" i="2" l="1"/>
  <c r="F7" i="2" s="1"/>
  <c r="G7" i="2" s="1"/>
</calcChain>
</file>

<file path=xl/sharedStrings.xml><?xml version="1.0" encoding="utf-8"?>
<sst xmlns="http://schemas.openxmlformats.org/spreadsheetml/2006/main" count="143" uniqueCount="97">
  <si>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</si>
  <si>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</si>
  <si>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</si>
  <si>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</si>
  <si>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</si>
  <si>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</si>
  <si>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</si>
  <si>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</si>
  <si>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</si>
  <si>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</si>
  <si>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</si>
  <si>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</si>
  <si>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</si>
  <si>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</si>
  <si>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</si>
  <si>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</si>
  <si>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</si>
  <si>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</si>
  <si>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</si>
  <si>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</si>
  <si>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</si>
  <si>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</si>
  <si>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</si>
  <si>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</si>
  <si>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</si>
  <si>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</si>
  <si>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</si>
  <si>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</si>
  <si>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</si>
  <si>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</si>
  <si>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</si>
  <si>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</si>
  <si>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</si>
  <si>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</si>
  <si>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</si>
  <si>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</si>
  <si>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</si>
  <si>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</si>
  <si>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</si>
  <si>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</si>
  <si>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</si>
  <si>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</si>
  <si>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</si>
  <si>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</si>
  <si>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</si>
  <si>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</si>
  <si>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</si>
  <si>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</si>
  <si>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</si>
  <si>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</si>
  <si>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</si>
  <si>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</si>
  <si>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</si>
  <si>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</si>
  <si>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</si>
  <si>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</si>
  <si>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</si>
  <si>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</si>
  <si>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</si>
  <si>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</si>
  <si>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ARPU</t>
  </si>
  <si>
    <t>ARPU y/y</t>
  </si>
  <si>
    <t>Subscription</t>
  </si>
  <si>
    <t>Subscription y/y</t>
  </si>
  <si>
    <t>Operating Expenses y/y</t>
  </si>
  <si>
    <t>Q120</t>
  </si>
  <si>
    <t>Q221</t>
  </si>
  <si>
    <t>Q321</t>
  </si>
  <si>
    <t>Q420</t>
  </si>
  <si>
    <t>BADWILL</t>
  </si>
  <si>
    <t>Intangibles per share</t>
  </si>
  <si>
    <t>Risk-free rate + market premium (opportunity cost)</t>
  </si>
  <si>
    <t>http://www.worldgovernmentbonds.com/country/united-states/</t>
  </si>
  <si>
    <t>Net present value on future net income (terminal value)</t>
  </si>
  <si>
    <t>RORC</t>
  </si>
  <si>
    <t>PRR</t>
  </si>
  <si>
    <t>Return on research capital</t>
  </si>
  <si>
    <t>Price to R&amp;D ratio</t>
  </si>
  <si>
    <t>Products</t>
  </si>
  <si>
    <t>2019-09-31</t>
  </si>
  <si>
    <t>2018-09-31</t>
  </si>
  <si>
    <t>2017-09-31</t>
  </si>
  <si>
    <t>SVMK Inc (SVMK)</t>
  </si>
  <si>
    <t>Ryan Finley</t>
  </si>
  <si>
    <t>Chris Finley</t>
  </si>
  <si>
    <t>Zander Lurie</t>
  </si>
  <si>
    <t>Paying users</t>
  </si>
  <si>
    <t>Paying users y/y</t>
  </si>
  <si>
    <t>Aquired</t>
  </si>
  <si>
    <t>GetFeedback</t>
  </si>
  <si>
    <t>Customer experience solution for Salesforce</t>
  </si>
  <si>
    <t>Usabilla</t>
  </si>
  <si>
    <t>Voice to customer (VoC)</t>
  </si>
  <si>
    <t>SurveyMonkey.com</t>
  </si>
  <si>
    <t>Survey managament platform</t>
  </si>
  <si>
    <t>surveymonkey.com</t>
  </si>
  <si>
    <t>87-90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</si>
</sst>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0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6" fillId="2" borderId="0" xfId="0" applyNumberFormat="1" applyFont="1" applyFill="1" applyAlignment="1">
      <alignment horizontal="right"/>
    </xf>
    <xf numFmtId="0" fontId="4" fillId="0" borderId="0" xfId="4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Border="1"/>
    <xf numFmtId="14" fontId="6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0" fillId="0" borderId="0" xfId="0" applyFont="1"/>
    <xf numFmtId="0" fontId="8" fillId="0" borderId="0" xfId="4" applyFont="1"/>
    <xf numFmtId="3" fontId="0" fillId="0" borderId="0" xfId="0" applyNumberFormat="1" applyFont="1" applyFill="1" applyBorder="1"/>
    <xf numFmtId="166" fontId="6" fillId="0" borderId="1" xfId="0" applyNumberFormat="1" applyFont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66" fontId="6" fillId="0" borderId="0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152400</xdr:rowOff>
    </xdr:from>
    <xdr:to>
      <xdr:col>5</xdr:col>
      <xdr:colOff>165100</xdr:colOff>
      <xdr:row>65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016500" y="1308100"/>
          <a:ext cx="0" cy="9436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0</xdr:row>
      <xdr:rowOff>152400</xdr:rowOff>
    </xdr:from>
    <xdr:to>
      <xdr:col>14</xdr:col>
      <xdr:colOff>215900</xdr:colOff>
      <xdr:row>55</xdr:row>
      <xdr:rowOff>139700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2496800" y="152400"/>
          <a:ext cx="0" cy="90678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yan_Finley_(businessman)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.surveymonkey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Zander_Luri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739936&amp;type=&amp;dateb=&amp;owner=exclude&amp;start=0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64"/>
  <sheetViews>
    <sheetView tabSelected="1" workbookViewId="0">
      <pane xSplit="1" ySplit="9" topLeftCell="D10" activePane="bottomRight" state="frozen"/>
      <selection pane="topRight" activeCell="B1" sqref="B1"/>
      <selection pane="bottomLeft" activeCell="A11" sqref="A11"/>
      <selection pane="bottomRight" activeCell="H43" sqref="H43"/>
    </sheetView>
  </sheetViews>
  <sheetFormatPr baseColWidth="10" defaultRowHeight="13" x14ac:dyDescent="0.15"/>
  <cols>
    <col min="1" max="1" width="20.33203125" style="3" customWidth="1"/>
    <col min="2" max="16384" width="10.83203125" style="3"/>
  </cols>
  <sheetData>
    <row r="1" spans="1:116" x14ac:dyDescent="0.15">
      <c r="A1" s="68" t="s">
        <v>58</v>
      </c>
      <c r="B1" s="2" t="s">
        <v>82</v>
      </c>
    </row>
    <row r="2" spans="1:116" x14ac:dyDescent="0.15">
      <c r="B2" s="3" t="s">
        <v>40</v>
      </c>
      <c r="C2" s="4">
        <v>19.54</v>
      </c>
      <c r="D2" s="73">
        <v>43971</v>
      </c>
      <c r="E2" s="6" t="s">
        <v>25</v>
      </c>
      <c r="F2" s="7">
        <v>-5.0000000000000001E-3</v>
      </c>
      <c r="I2" s="16"/>
      <c r="L2" s="2"/>
    </row>
    <row r="3" spans="1:116" x14ac:dyDescent="0.15">
      <c r="A3" s="2" t="s">
        <v>38</v>
      </c>
      <c r="B3" s="3" t="s">
        <v>17</v>
      </c>
      <c r="C3" s="8">
        <f>Reports!N21</f>
        <v>136.911</v>
      </c>
      <c r="D3" s="74" t="s">
        <v>65</v>
      </c>
      <c r="E3" s="6" t="s">
        <v>26</v>
      </c>
      <c r="F3" s="7">
        <v>0.02</v>
      </c>
      <c r="G3" s="5" t="s">
        <v>59</v>
      </c>
      <c r="I3" s="16"/>
    </row>
    <row r="4" spans="1:116" x14ac:dyDescent="0.15">
      <c r="A4" s="75" t="s">
        <v>85</v>
      </c>
      <c r="B4" s="3" t="s">
        <v>41</v>
      </c>
      <c r="C4" s="10">
        <f>C2*C3</f>
        <v>2675.2409400000001</v>
      </c>
      <c r="D4" s="74"/>
      <c r="E4" s="6" t="s">
        <v>27</v>
      </c>
      <c r="F4" s="7">
        <f>6%</f>
        <v>0.06</v>
      </c>
      <c r="G4" s="5" t="s">
        <v>71</v>
      </c>
      <c r="I4" s="20"/>
      <c r="L4" s="9" t="s">
        <v>72</v>
      </c>
    </row>
    <row r="5" spans="1:116" x14ac:dyDescent="0.15">
      <c r="B5" s="3" t="s">
        <v>22</v>
      </c>
      <c r="C5" s="8">
        <f>Reports!N33</f>
        <v>-70</v>
      </c>
      <c r="D5" s="74" t="s">
        <v>65</v>
      </c>
      <c r="E5" s="6" t="s">
        <v>28</v>
      </c>
      <c r="F5" s="11">
        <f>NPV(F4,F26:GQ26)</f>
        <v>4009.6637510420683</v>
      </c>
      <c r="G5" s="5" t="s">
        <v>73</v>
      </c>
      <c r="I5" s="20"/>
    </row>
    <row r="6" spans="1:116" x14ac:dyDescent="0.15">
      <c r="A6" s="2" t="s">
        <v>39</v>
      </c>
      <c r="B6" s="3" t="s">
        <v>42</v>
      </c>
      <c r="C6" s="10">
        <f>C4-C5</f>
        <v>2745.2409400000001</v>
      </c>
      <c r="D6" s="74"/>
      <c r="E6" s="12" t="s">
        <v>29</v>
      </c>
      <c r="F6" s="13">
        <f>F5+C5</f>
        <v>3939.6637510420683</v>
      </c>
      <c r="I6" s="20"/>
    </row>
    <row r="7" spans="1:116" x14ac:dyDescent="0.15">
      <c r="A7" s="75" t="s">
        <v>83</v>
      </c>
      <c r="B7" s="5" t="s">
        <v>43</v>
      </c>
      <c r="C7" s="49">
        <f>C6/C3</f>
        <v>20.051281051193843</v>
      </c>
      <c r="D7" s="74"/>
      <c r="E7" s="14" t="s">
        <v>43</v>
      </c>
      <c r="F7" s="46">
        <f>F6/C3</f>
        <v>28.775363199758004</v>
      </c>
      <c r="G7" s="20">
        <f>F7/C2-1</f>
        <v>0.47263885362118763</v>
      </c>
    </row>
    <row r="8" spans="1:116" x14ac:dyDescent="0.15">
      <c r="A8" s="77" t="s">
        <v>84</v>
      </c>
      <c r="D8" s="6"/>
      <c r="E8" s="15"/>
    </row>
    <row r="9" spans="1:116" x14ac:dyDescent="0.15">
      <c r="B9" s="42">
        <v>2016</v>
      </c>
      <c r="C9" s="42">
        <v>2017</v>
      </c>
      <c r="D9" s="42">
        <f>C9+1</f>
        <v>2018</v>
      </c>
      <c r="E9" s="42">
        <f t="shared" ref="E9:T9" si="0">D9+1</f>
        <v>2019</v>
      </c>
      <c r="F9" s="42">
        <f t="shared" si="0"/>
        <v>2020</v>
      </c>
      <c r="G9" s="42">
        <f t="shared" si="0"/>
        <v>2021</v>
      </c>
      <c r="H9" s="42">
        <f t="shared" si="0"/>
        <v>2022</v>
      </c>
      <c r="I9" s="42">
        <f t="shared" si="0"/>
        <v>2023</v>
      </c>
      <c r="J9" s="42">
        <f t="shared" si="0"/>
        <v>2024</v>
      </c>
      <c r="K9" s="42">
        <f t="shared" si="0"/>
        <v>2025</v>
      </c>
      <c r="L9" s="42">
        <f t="shared" si="0"/>
        <v>2026</v>
      </c>
      <c r="M9" s="42">
        <f t="shared" si="0"/>
        <v>2027</v>
      </c>
      <c r="N9" s="42">
        <f t="shared" si="0"/>
        <v>2028</v>
      </c>
      <c r="O9" s="42">
        <f t="shared" si="0"/>
        <v>2029</v>
      </c>
      <c r="P9" s="42">
        <f t="shared" si="0"/>
        <v>2030</v>
      </c>
      <c r="Q9" s="42">
        <f t="shared" si="0"/>
        <v>2031</v>
      </c>
      <c r="R9" s="42">
        <f t="shared" si="0"/>
        <v>2032</v>
      </c>
      <c r="S9" s="42">
        <f t="shared" si="0"/>
        <v>2033</v>
      </c>
      <c r="T9" s="42">
        <f t="shared" si="0"/>
        <v>2034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</row>
    <row r="10" spans="1:116" x14ac:dyDescent="0.15">
      <c r="A10" s="8" t="s">
        <v>62</v>
      </c>
      <c r="B10" s="24">
        <v>207.29499999999999</v>
      </c>
      <c r="C10" s="41">
        <f>SUM(Reports!B3:E3)</f>
        <v>218.773</v>
      </c>
      <c r="D10" s="41">
        <f>SUM(Reports!F3:I3)</f>
        <v>254.32400000000001</v>
      </c>
      <c r="E10" s="41">
        <f>SUM(Reports!J3:M3)</f>
        <v>307.42099999999999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</row>
    <row r="11" spans="1:116" x14ac:dyDescent="0.15">
      <c r="B11" s="24"/>
      <c r="C11" s="41"/>
      <c r="D11" s="41"/>
      <c r="E11" s="41"/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</row>
    <row r="12" spans="1:116" s="83" customFormat="1" x14ac:dyDescent="0.15">
      <c r="A12" s="83" t="s">
        <v>86</v>
      </c>
      <c r="B12" s="81"/>
      <c r="C12" s="84">
        <f>Reports!E5</f>
        <v>0.60607699999999998</v>
      </c>
      <c r="D12" s="84">
        <f>Reports!I5</f>
        <v>0.64672700000000005</v>
      </c>
      <c r="E12" s="84">
        <f>Reports!M5</f>
        <v>0.72092100000000003</v>
      </c>
      <c r="F12" s="84">
        <f>E12*1.1</f>
        <v>0.79301310000000014</v>
      </c>
      <c r="G12" s="84">
        <f t="shared" ref="G12:J12" si="1">F12*1.1</f>
        <v>0.87231441000000021</v>
      </c>
      <c r="H12" s="84">
        <f t="shared" si="1"/>
        <v>0.95954585100000034</v>
      </c>
      <c r="I12" s="84">
        <f t="shared" si="1"/>
        <v>1.0555004361000004</v>
      </c>
      <c r="J12" s="84">
        <f t="shared" si="1"/>
        <v>1.1610504797100005</v>
      </c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</row>
    <row r="13" spans="1:116" s="47" customFormat="1" x14ac:dyDescent="0.15">
      <c r="A13" s="47" t="s">
        <v>60</v>
      </c>
      <c r="B13" s="48"/>
      <c r="C13" s="82">
        <f>C10/C12</f>
        <v>360.96568587819701</v>
      </c>
      <c r="D13" s="82">
        <f>D10/D12</f>
        <v>393.24784646380931</v>
      </c>
      <c r="E13" s="82">
        <f>E10/E12</f>
        <v>426.42813845067627</v>
      </c>
      <c r="F13" s="53">
        <f>E13*1.1</f>
        <v>469.07095229574395</v>
      </c>
      <c r="G13" s="53">
        <f t="shared" ref="G13:J13" si="2">F13*1.1</f>
        <v>515.9780475253184</v>
      </c>
      <c r="H13" s="53">
        <f t="shared" si="2"/>
        <v>567.57585227785034</v>
      </c>
      <c r="I13" s="53">
        <f t="shared" si="2"/>
        <v>624.3334375056354</v>
      </c>
      <c r="J13" s="53">
        <f t="shared" si="2"/>
        <v>686.76678125619901</v>
      </c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</row>
    <row r="14" spans="1:116" s="65" customFormat="1" x14ac:dyDescent="0.15">
      <c r="E14" s="54"/>
      <c r="F14" s="54"/>
      <c r="G14" s="54"/>
      <c r="H14" s="54"/>
    </row>
    <row r="15" spans="1:116" x14ac:dyDescent="0.15">
      <c r="A15" s="2" t="s">
        <v>4</v>
      </c>
      <c r="B15" s="26">
        <f>B10</f>
        <v>207.29499999999999</v>
      </c>
      <c r="C15" s="26">
        <f t="shared" ref="B15:J15" si="3">SUM(C10:C10)</f>
        <v>218.773</v>
      </c>
      <c r="D15" s="26">
        <f t="shared" si="3"/>
        <v>254.32400000000001</v>
      </c>
      <c r="E15" s="26">
        <f>E13*E12</f>
        <v>307.42099999999999</v>
      </c>
      <c r="F15" s="52">
        <f>F13*F12</f>
        <v>371.97941000000009</v>
      </c>
      <c r="G15" s="52">
        <f t="shared" ref="G15:J15" si="4">G13*G12</f>
        <v>450.09508610000017</v>
      </c>
      <c r="H15" s="52">
        <f t="shared" si="4"/>
        <v>544.61505418100035</v>
      </c>
      <c r="I15" s="52">
        <f t="shared" si="4"/>
        <v>658.98421555901052</v>
      </c>
      <c r="J15" s="52">
        <f t="shared" si="4"/>
        <v>797.37090082640282</v>
      </c>
      <c r="K15" s="52">
        <f t="shared" ref="K15:T15" si="5">J15*1.1</f>
        <v>877.10799090904322</v>
      </c>
      <c r="L15" s="52">
        <f t="shared" si="5"/>
        <v>964.81878999994763</v>
      </c>
      <c r="M15" s="52">
        <f t="shared" si="5"/>
        <v>1061.3006689999424</v>
      </c>
      <c r="N15" s="52">
        <f t="shared" si="5"/>
        <v>1167.4307358999367</v>
      </c>
      <c r="O15" s="52">
        <f t="shared" si="5"/>
        <v>1284.1738094899306</v>
      </c>
      <c r="P15" s="52">
        <f t="shared" si="5"/>
        <v>1412.5911904389238</v>
      </c>
      <c r="Q15" s="52">
        <f t="shared" si="5"/>
        <v>1553.8503094828163</v>
      </c>
      <c r="R15" s="52">
        <f t="shared" si="5"/>
        <v>1709.2353404310982</v>
      </c>
      <c r="S15" s="52">
        <f t="shared" si="5"/>
        <v>1880.1588744742082</v>
      </c>
      <c r="T15" s="52">
        <f t="shared" si="5"/>
        <v>2068.1747619216294</v>
      </c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</row>
    <row r="16" spans="1:116" x14ac:dyDescent="0.15">
      <c r="A16" s="3" t="s">
        <v>5</v>
      </c>
      <c r="B16" s="24">
        <v>67.754999999999995</v>
      </c>
      <c r="C16" s="41">
        <f>SUM(Reports!B9:E9)</f>
        <v>62.679000000000002</v>
      </c>
      <c r="D16" s="41">
        <f>SUM(Reports!F9:I9)</f>
        <v>77.966999999999999</v>
      </c>
      <c r="E16" s="41">
        <f>SUM(Reports!J9:M9)</f>
        <v>76.477000000000004</v>
      </c>
      <c r="F16" s="24">
        <f>F15-F17</f>
        <v>92.53717000000006</v>
      </c>
      <c r="G16" s="24">
        <f t="shared" ref="G16" si="6">G15-G17</f>
        <v>111.96997570000013</v>
      </c>
      <c r="H16" s="24">
        <f t="shared" ref="H16:O16" si="7">H15-H17</f>
        <v>135.48367059700018</v>
      </c>
      <c r="I16" s="24">
        <f t="shared" si="7"/>
        <v>163.93524142237021</v>
      </c>
      <c r="J16" s="24">
        <f>J15-J17</f>
        <v>198.36164212106803</v>
      </c>
      <c r="K16" s="24">
        <f t="shared" si="7"/>
        <v>218.19780633317487</v>
      </c>
      <c r="L16" s="24">
        <f t="shared" si="7"/>
        <v>240.01758696649233</v>
      </c>
      <c r="M16" s="24">
        <f t="shared" si="7"/>
        <v>264.01934566314162</v>
      </c>
      <c r="N16" s="24">
        <f t="shared" si="7"/>
        <v>290.42128022945576</v>
      </c>
      <c r="O16" s="24">
        <f t="shared" si="7"/>
        <v>319.46340825240134</v>
      </c>
      <c r="P16" s="24">
        <f t="shared" ref="P16:T16" si="8">P15-P17</f>
        <v>351.40974907764144</v>
      </c>
      <c r="Q16" s="24">
        <f t="shared" si="8"/>
        <v>386.55072398540551</v>
      </c>
      <c r="R16" s="24">
        <f t="shared" si="8"/>
        <v>425.20579638394611</v>
      </c>
      <c r="S16" s="24">
        <f t="shared" si="8"/>
        <v>467.7263760223409</v>
      </c>
      <c r="T16" s="24">
        <f t="shared" si="8"/>
        <v>514.49901362457513</v>
      </c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</row>
    <row r="17" spans="1:199" x14ac:dyDescent="0.15">
      <c r="A17" s="3" t="s">
        <v>6</v>
      </c>
      <c r="B17" s="29">
        <f>B15-B16</f>
        <v>139.54</v>
      </c>
      <c r="C17" s="29">
        <f>C15-C16</f>
        <v>156.09399999999999</v>
      </c>
      <c r="D17" s="29">
        <f>D15-D16</f>
        <v>176.35700000000003</v>
      </c>
      <c r="E17" s="29">
        <f>E15-E16</f>
        <v>230.94399999999999</v>
      </c>
      <c r="F17" s="24">
        <f>F15*E30</f>
        <v>279.44224000000003</v>
      </c>
      <c r="G17" s="24">
        <f t="shared" ref="G17:T17" si="9">G15*F30</f>
        <v>338.12511040000004</v>
      </c>
      <c r="H17" s="24">
        <f t="shared" si="9"/>
        <v>409.13138358400016</v>
      </c>
      <c r="I17" s="24">
        <f t="shared" si="9"/>
        <v>495.04897413664031</v>
      </c>
      <c r="J17" s="24">
        <f>J15*I30</f>
        <v>599.00925870533479</v>
      </c>
      <c r="K17" s="24">
        <f t="shared" si="9"/>
        <v>658.91018457586836</v>
      </c>
      <c r="L17" s="24">
        <f t="shared" si="9"/>
        <v>724.80120303345529</v>
      </c>
      <c r="M17" s="24">
        <f t="shared" si="9"/>
        <v>797.28132333680082</v>
      </c>
      <c r="N17" s="24">
        <f t="shared" si="9"/>
        <v>877.00945567048097</v>
      </c>
      <c r="O17" s="24">
        <f t="shared" si="9"/>
        <v>964.71040123752925</v>
      </c>
      <c r="P17" s="24">
        <f t="shared" si="9"/>
        <v>1061.1814413612824</v>
      </c>
      <c r="Q17" s="24">
        <f t="shared" si="9"/>
        <v>1167.2995854974108</v>
      </c>
      <c r="R17" s="24">
        <f t="shared" si="9"/>
        <v>1284.0295440471521</v>
      </c>
      <c r="S17" s="24">
        <f t="shared" si="9"/>
        <v>1412.4324984518673</v>
      </c>
      <c r="T17" s="24">
        <f t="shared" si="9"/>
        <v>1553.6757482970543</v>
      </c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</row>
    <row r="18" spans="1:199" x14ac:dyDescent="0.15">
      <c r="A18" s="3" t="s">
        <v>7</v>
      </c>
      <c r="B18" s="24">
        <v>38</v>
      </c>
      <c r="C18" s="41">
        <f>SUM(Reports!B11:E11)</f>
        <v>54</v>
      </c>
      <c r="D18" s="41">
        <f>SUM(Reports!F11:I11)</f>
        <v>106</v>
      </c>
      <c r="E18" s="41">
        <f>SUM(Reports!J11:M11)</f>
        <v>91</v>
      </c>
      <c r="F18" s="24">
        <f>E18*1.1</f>
        <v>100.10000000000001</v>
      </c>
      <c r="G18" s="24">
        <f t="shared" ref="G18:J18" si="10">F18*1.1</f>
        <v>110.11000000000001</v>
      </c>
      <c r="H18" s="24">
        <f t="shared" si="10"/>
        <v>121.12100000000002</v>
      </c>
      <c r="I18" s="24">
        <f t="shared" si="10"/>
        <v>133.23310000000004</v>
      </c>
      <c r="J18" s="24">
        <f t="shared" si="10"/>
        <v>146.55641000000006</v>
      </c>
      <c r="K18" s="24">
        <f>J18*1.1</f>
        <v>161.21205100000009</v>
      </c>
      <c r="L18" s="24">
        <f t="shared" ref="L18:T18" si="11">K18*1.1</f>
        <v>177.33325610000011</v>
      </c>
      <c r="M18" s="24">
        <f t="shared" si="11"/>
        <v>195.06658171000015</v>
      </c>
      <c r="N18" s="24">
        <f t="shared" si="11"/>
        <v>214.57323988100018</v>
      </c>
      <c r="O18" s="24">
        <f t="shared" si="11"/>
        <v>236.03056386910021</v>
      </c>
      <c r="P18" s="24">
        <f t="shared" si="11"/>
        <v>259.63362025601026</v>
      </c>
      <c r="Q18" s="24">
        <f t="shared" si="11"/>
        <v>285.5969822816113</v>
      </c>
      <c r="R18" s="24">
        <f t="shared" si="11"/>
        <v>314.15668050977246</v>
      </c>
      <c r="S18" s="24">
        <f t="shared" si="11"/>
        <v>345.57234856074973</v>
      </c>
      <c r="T18" s="24">
        <f t="shared" si="11"/>
        <v>380.12958341682474</v>
      </c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</row>
    <row r="19" spans="1:199" x14ac:dyDescent="0.15">
      <c r="A19" s="3" t="s">
        <v>8</v>
      </c>
      <c r="B19" s="24">
        <v>74</v>
      </c>
      <c r="C19" s="41">
        <f>SUM(Reports!B12:E12)</f>
        <v>74</v>
      </c>
      <c r="D19" s="41">
        <f>SUM(Reports!F12:I12)</f>
        <v>95</v>
      </c>
      <c r="E19" s="41">
        <f>SUM(Reports!J12:M12)</f>
        <v>124</v>
      </c>
      <c r="F19" s="24">
        <f>E19*1.2</f>
        <v>148.79999999999998</v>
      </c>
      <c r="G19" s="24">
        <f t="shared" ref="G19:J19" si="12">F19*1.2</f>
        <v>178.55999999999997</v>
      </c>
      <c r="H19" s="24">
        <f t="shared" si="12"/>
        <v>214.27199999999996</v>
      </c>
      <c r="I19" s="24">
        <f t="shared" si="12"/>
        <v>257.12639999999993</v>
      </c>
      <c r="J19" s="24">
        <f t="shared" si="12"/>
        <v>308.55167999999992</v>
      </c>
      <c r="K19" s="24">
        <f>J19*1.05</f>
        <v>323.97926399999994</v>
      </c>
      <c r="L19" s="24">
        <f t="shared" ref="L19:T19" si="13">K19*1.05</f>
        <v>340.17822719999998</v>
      </c>
      <c r="M19" s="24">
        <f t="shared" si="13"/>
        <v>357.18713855999999</v>
      </c>
      <c r="N19" s="24">
        <f t="shared" si="13"/>
        <v>375.04649548800001</v>
      </c>
      <c r="O19" s="24">
        <f t="shared" si="13"/>
        <v>393.7988202624</v>
      </c>
      <c r="P19" s="24">
        <f t="shared" si="13"/>
        <v>413.48876127552001</v>
      </c>
      <c r="Q19" s="24">
        <f t="shared" si="13"/>
        <v>434.163199339296</v>
      </c>
      <c r="R19" s="24">
        <f t="shared" si="13"/>
        <v>455.87135930626084</v>
      </c>
      <c r="S19" s="24">
        <f t="shared" si="13"/>
        <v>478.6649272715739</v>
      </c>
      <c r="T19" s="24">
        <f t="shared" si="13"/>
        <v>502.59817363515259</v>
      </c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</row>
    <row r="20" spans="1:199" x14ac:dyDescent="0.15">
      <c r="A20" s="3" t="s">
        <v>9</v>
      </c>
      <c r="B20" s="24">
        <f>37+25</f>
        <v>62</v>
      </c>
      <c r="C20" s="41">
        <f>SUM(Reports!B13:E13)</f>
        <v>50</v>
      </c>
      <c r="D20" s="41">
        <f>SUM(Reports!F13:I13)</f>
        <v>100</v>
      </c>
      <c r="E20" s="41">
        <f>SUM(Reports!J13:M13)</f>
        <v>84</v>
      </c>
      <c r="F20" s="24">
        <f>E20*1.15</f>
        <v>96.6</v>
      </c>
      <c r="G20" s="24">
        <f t="shared" ref="G20:J20" si="14">F20*1.15</f>
        <v>111.08999999999999</v>
      </c>
      <c r="H20" s="24">
        <f t="shared" si="14"/>
        <v>127.75349999999997</v>
      </c>
      <c r="I20" s="24">
        <f t="shared" si="14"/>
        <v>146.91652499999995</v>
      </c>
      <c r="J20" s="24">
        <f t="shared" si="14"/>
        <v>168.95400374999994</v>
      </c>
      <c r="K20" s="24">
        <f t="shared" ref="K20:T20" si="15">J20*0.98</f>
        <v>165.57492367499995</v>
      </c>
      <c r="L20" s="24">
        <f t="shared" si="15"/>
        <v>162.26342520149996</v>
      </c>
      <c r="M20" s="24">
        <f t="shared" si="15"/>
        <v>159.01815669746995</v>
      </c>
      <c r="N20" s="24">
        <f t="shared" si="15"/>
        <v>155.83779356352053</v>
      </c>
      <c r="O20" s="24">
        <f t="shared" si="15"/>
        <v>152.72103769225012</v>
      </c>
      <c r="P20" s="24">
        <f t="shared" si="15"/>
        <v>149.66661693840513</v>
      </c>
      <c r="Q20" s="24">
        <f t="shared" si="15"/>
        <v>146.67328459963701</v>
      </c>
      <c r="R20" s="24">
        <f t="shared" si="15"/>
        <v>143.73981890764426</v>
      </c>
      <c r="S20" s="24">
        <f t="shared" si="15"/>
        <v>140.86502252949137</v>
      </c>
      <c r="T20" s="24">
        <f t="shared" si="15"/>
        <v>138.04772207890153</v>
      </c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</row>
    <row r="21" spans="1:199" x14ac:dyDescent="0.15">
      <c r="A21" s="3" t="s">
        <v>10</v>
      </c>
      <c r="B21" s="29">
        <f>SUM(B18:B20)</f>
        <v>174</v>
      </c>
      <c r="C21" s="29">
        <f>SUM(C18:C20)</f>
        <v>178</v>
      </c>
      <c r="D21" s="29">
        <f>SUM(D18:D20)</f>
        <v>301</v>
      </c>
      <c r="E21" s="29">
        <f>SUM(E18:E20)</f>
        <v>299</v>
      </c>
      <c r="F21" s="24">
        <f t="shared" ref="F21:G21" si="16">SUM(F18:F20)</f>
        <v>345.5</v>
      </c>
      <c r="G21" s="24">
        <f t="shared" si="16"/>
        <v>399.75999999999993</v>
      </c>
      <c r="H21" s="24">
        <f t="shared" ref="H21:O21" si="17">SUM(H18:H20)</f>
        <v>463.14649999999995</v>
      </c>
      <c r="I21" s="24">
        <f t="shared" si="17"/>
        <v>537.27602499999989</v>
      </c>
      <c r="J21" s="24">
        <f t="shared" si="17"/>
        <v>624.06209374999992</v>
      </c>
      <c r="K21" s="24">
        <f t="shared" si="17"/>
        <v>650.76623867499995</v>
      </c>
      <c r="L21" s="24">
        <f t="shared" si="17"/>
        <v>679.77490850150002</v>
      </c>
      <c r="M21" s="24">
        <f t="shared" si="17"/>
        <v>711.27187696747012</v>
      </c>
      <c r="N21" s="24">
        <f t="shared" si="17"/>
        <v>745.45752893252075</v>
      </c>
      <c r="O21" s="24">
        <f t="shared" si="17"/>
        <v>782.5504218237503</v>
      </c>
      <c r="P21" s="24">
        <f t="shared" ref="P21:T21" si="18">SUM(P18:P20)</f>
        <v>822.78899846993534</v>
      </c>
      <c r="Q21" s="24">
        <f t="shared" si="18"/>
        <v>866.43346622054435</v>
      </c>
      <c r="R21" s="24">
        <f t="shared" si="18"/>
        <v>913.76785872367748</v>
      </c>
      <c r="S21" s="24">
        <f t="shared" si="18"/>
        <v>965.10229836181497</v>
      </c>
      <c r="T21" s="24">
        <f t="shared" si="18"/>
        <v>1020.7754791308788</v>
      </c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</row>
    <row r="22" spans="1:199" x14ac:dyDescent="0.15">
      <c r="A22" s="3" t="s">
        <v>11</v>
      </c>
      <c r="B22" s="29">
        <f>B17-B21</f>
        <v>-34.460000000000008</v>
      </c>
      <c r="C22" s="29">
        <f>C17-C21</f>
        <v>-21.906000000000006</v>
      </c>
      <c r="D22" s="29">
        <f>D17-D21</f>
        <v>-124.64299999999997</v>
      </c>
      <c r="E22" s="29">
        <f>E17-E21</f>
        <v>-68.056000000000012</v>
      </c>
      <c r="F22" s="24">
        <f t="shared" ref="F22:G22" si="19">F17-F21</f>
        <v>-66.057759999999973</v>
      </c>
      <c r="G22" s="24">
        <f t="shared" si="19"/>
        <v>-61.634889599999894</v>
      </c>
      <c r="H22" s="24">
        <f t="shared" ref="H22:O22" si="20">H17-H21</f>
        <v>-54.015116415999785</v>
      </c>
      <c r="I22" s="24">
        <f t="shared" si="20"/>
        <v>-42.22705086335958</v>
      </c>
      <c r="J22" s="24">
        <f t="shared" si="20"/>
        <v>-25.05283504466513</v>
      </c>
      <c r="K22" s="24">
        <f t="shared" si="20"/>
        <v>8.1439459008684025</v>
      </c>
      <c r="L22" s="24">
        <f t="shared" si="20"/>
        <v>45.026294531955273</v>
      </c>
      <c r="M22" s="24">
        <f t="shared" si="20"/>
        <v>86.009446369330703</v>
      </c>
      <c r="N22" s="24">
        <f t="shared" si="20"/>
        <v>131.55192673796023</v>
      </c>
      <c r="O22" s="24">
        <f t="shared" si="20"/>
        <v>182.15997941377896</v>
      </c>
      <c r="P22" s="24">
        <f t="shared" ref="P22:T22" si="21">P17-P21</f>
        <v>238.39244289134706</v>
      </c>
      <c r="Q22" s="24">
        <f t="shared" si="21"/>
        <v>300.86611927686647</v>
      </c>
      <c r="R22" s="24">
        <f t="shared" si="21"/>
        <v>370.26168532347458</v>
      </c>
      <c r="S22" s="24">
        <f t="shared" si="21"/>
        <v>447.33020009005236</v>
      </c>
      <c r="T22" s="24">
        <f t="shared" si="21"/>
        <v>532.90026916617546</v>
      </c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</row>
    <row r="23" spans="1:199" x14ac:dyDescent="0.15">
      <c r="A23" s="3" t="s">
        <v>12</v>
      </c>
      <c r="B23" s="24">
        <f>-33-4</f>
        <v>-37</v>
      </c>
      <c r="C23" s="41">
        <f>SUM(Reports!B16:E16)</f>
        <v>-20</v>
      </c>
      <c r="D23" s="41">
        <f>SUM(Reports!F16:I16)</f>
        <v>-27</v>
      </c>
      <c r="E23" s="41">
        <f>SUM(Reports!J16:M16)</f>
        <v>-10</v>
      </c>
      <c r="F23" s="24">
        <f t="shared" ref="F23:T23" si="22">E40*$F$3</f>
        <v>-1.7</v>
      </c>
      <c r="G23" s="24">
        <f t="shared" si="22"/>
        <v>-3.0551551999999993</v>
      </c>
      <c r="H23" s="24">
        <f t="shared" si="22"/>
        <v>-4.3489560959999976</v>
      </c>
      <c r="I23" s="24">
        <f t="shared" si="22"/>
        <v>-5.5162375462399931</v>
      </c>
      <c r="J23" s="24">
        <f t="shared" si="22"/>
        <v>-6.4711033144319847</v>
      </c>
      <c r="K23" s="24">
        <f t="shared" si="22"/>
        <v>-7.1015820816139268</v>
      </c>
      <c r="L23" s="24">
        <f t="shared" si="22"/>
        <v>-7.0828195328673464</v>
      </c>
      <c r="M23" s="24">
        <f t="shared" si="22"/>
        <v>-6.3998369828837633</v>
      </c>
      <c r="N23" s="24">
        <f t="shared" si="22"/>
        <v>-4.9668640139277178</v>
      </c>
      <c r="O23" s="24">
        <f t="shared" si="22"/>
        <v>-2.6883328848951327</v>
      </c>
      <c r="P23" s="24">
        <f t="shared" si="22"/>
        <v>0.54215675262477592</v>
      </c>
      <c r="Q23" s="24">
        <f t="shared" si="22"/>
        <v>4.8429795462162692</v>
      </c>
      <c r="R23" s="24">
        <f t="shared" si="22"/>
        <v>10.345743325031759</v>
      </c>
      <c r="S23" s="24">
        <f t="shared" si="22"/>
        <v>17.196677040704873</v>
      </c>
      <c r="T23" s="24">
        <f t="shared" si="22"/>
        <v>25.558160829058501</v>
      </c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</row>
    <row r="24" spans="1:199" x14ac:dyDescent="0.15">
      <c r="A24" s="3" t="s">
        <v>13</v>
      </c>
      <c r="B24" s="29">
        <f>B22+B23</f>
        <v>-71.460000000000008</v>
      </c>
      <c r="C24" s="29">
        <f>C22+C23</f>
        <v>-41.906000000000006</v>
      </c>
      <c r="D24" s="29">
        <f>D22+D23</f>
        <v>-151.64299999999997</v>
      </c>
      <c r="E24" s="29">
        <f>E22+E23</f>
        <v>-78.056000000000012</v>
      </c>
      <c r="F24" s="24">
        <f t="shared" ref="F24:G24" si="23">F22+F23</f>
        <v>-67.757759999999976</v>
      </c>
      <c r="G24" s="24">
        <f t="shared" si="23"/>
        <v>-64.690044799999896</v>
      </c>
      <c r="H24" s="24">
        <f t="shared" ref="H24" si="24">H22+H23</f>
        <v>-58.36407251199978</v>
      </c>
      <c r="I24" s="24">
        <f t="shared" ref="I24" si="25">I22+I23</f>
        <v>-47.743288409599572</v>
      </c>
      <c r="J24" s="24">
        <f t="shared" ref="J24" si="26">J22+J23</f>
        <v>-31.523938359097116</v>
      </c>
      <c r="K24" s="24">
        <f t="shared" ref="K24" si="27">K22+K23</f>
        <v>1.0423638192544757</v>
      </c>
      <c r="L24" s="24">
        <f t="shared" ref="L24" si="28">L22+L23</f>
        <v>37.943474999087925</v>
      </c>
      <c r="M24" s="24">
        <f t="shared" ref="M24" si="29">M22+M23</f>
        <v>79.609609386446934</v>
      </c>
      <c r="N24" s="24">
        <f t="shared" ref="N24" si="30">N22+N23</f>
        <v>126.58506272403251</v>
      </c>
      <c r="O24" s="24">
        <f t="shared" ref="O24:P24" si="31">O22+O23</f>
        <v>179.47164652888381</v>
      </c>
      <c r="P24" s="24">
        <f t="shared" si="31"/>
        <v>238.93459964397184</v>
      </c>
      <c r="Q24" s="24">
        <f t="shared" ref="Q24:T24" si="32">Q22+Q23</f>
        <v>305.70909882308274</v>
      </c>
      <c r="R24" s="24">
        <f t="shared" si="32"/>
        <v>380.60742864850636</v>
      </c>
      <c r="S24" s="24">
        <f t="shared" si="32"/>
        <v>464.52687713075721</v>
      </c>
      <c r="T24" s="24">
        <f t="shared" si="32"/>
        <v>558.45842999523393</v>
      </c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</row>
    <row r="25" spans="1:199" x14ac:dyDescent="0.15">
      <c r="A25" s="3" t="s">
        <v>14</v>
      </c>
      <c r="B25" s="24">
        <v>5</v>
      </c>
      <c r="C25" s="41">
        <f>SUM(Reports!B18:E18)</f>
        <v>-19</v>
      </c>
      <c r="D25" s="41">
        <f>SUM(Reports!F18:I18)</f>
        <v>0</v>
      </c>
      <c r="E25" s="41">
        <f>SUM(Reports!J18:M18)</f>
        <v>-2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f t="shared" ref="G25:O25" si="33">K24*0.1</f>
        <v>0.10423638192544758</v>
      </c>
      <c r="L25" s="24">
        <f t="shared" si="33"/>
        <v>3.7943474999087927</v>
      </c>
      <c r="M25" s="24">
        <f t="shared" si="33"/>
        <v>7.9609609386446936</v>
      </c>
      <c r="N25" s="24">
        <f t="shared" si="33"/>
        <v>12.658506272403251</v>
      </c>
      <c r="O25" s="24">
        <f t="shared" si="33"/>
        <v>17.947164652888382</v>
      </c>
      <c r="P25" s="24">
        <f t="shared" ref="P25:T25" si="34">P24*0.1</f>
        <v>23.893459964397184</v>
      </c>
      <c r="Q25" s="24">
        <f t="shared" si="34"/>
        <v>30.570909882308275</v>
      </c>
      <c r="R25" s="24">
        <f t="shared" si="34"/>
        <v>38.060742864850639</v>
      </c>
      <c r="S25" s="24">
        <f t="shared" si="34"/>
        <v>46.452687713075726</v>
      </c>
      <c r="T25" s="24">
        <f t="shared" si="34"/>
        <v>55.845842999523398</v>
      </c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</row>
    <row r="26" spans="1:199" s="2" customFormat="1" x14ac:dyDescent="0.15">
      <c r="A26" s="2" t="s">
        <v>15</v>
      </c>
      <c r="B26" s="26">
        <f>B24-B25</f>
        <v>-76.460000000000008</v>
      </c>
      <c r="C26" s="26">
        <f>C24-C25</f>
        <v>-22.906000000000006</v>
      </c>
      <c r="D26" s="26">
        <f>D24-D25</f>
        <v>-151.64299999999997</v>
      </c>
      <c r="E26" s="26">
        <f t="shared" ref="E26:G26" si="35">E24-E25</f>
        <v>-76.056000000000012</v>
      </c>
      <c r="F26" s="26">
        <f>F24-F25</f>
        <v>-67.757759999999976</v>
      </c>
      <c r="G26" s="26">
        <f t="shared" si="35"/>
        <v>-64.690044799999896</v>
      </c>
      <c r="H26" s="26">
        <f t="shared" ref="H26:O26" si="36">H24-H25</f>
        <v>-58.36407251199978</v>
      </c>
      <c r="I26" s="26">
        <f t="shared" si="36"/>
        <v>-47.743288409599572</v>
      </c>
      <c r="J26" s="26">
        <f t="shared" si="36"/>
        <v>-31.523938359097116</v>
      </c>
      <c r="K26" s="26">
        <f t="shared" si="36"/>
        <v>0.93812743732902815</v>
      </c>
      <c r="L26" s="26">
        <f t="shared" si="36"/>
        <v>34.14912749917913</v>
      </c>
      <c r="M26" s="26">
        <f t="shared" si="36"/>
        <v>71.648648447802245</v>
      </c>
      <c r="N26" s="26">
        <f t="shared" si="36"/>
        <v>113.92655645162927</v>
      </c>
      <c r="O26" s="26">
        <f t="shared" si="36"/>
        <v>161.52448187599543</v>
      </c>
      <c r="P26" s="26">
        <f t="shared" ref="P26:T26" si="37">P24-P25</f>
        <v>215.04113967957466</v>
      </c>
      <c r="Q26" s="26">
        <f t="shared" si="37"/>
        <v>275.13818894077446</v>
      </c>
      <c r="R26" s="26">
        <f t="shared" si="37"/>
        <v>342.54668578365573</v>
      </c>
      <c r="S26" s="26">
        <f t="shared" si="37"/>
        <v>418.07418941768151</v>
      </c>
      <c r="T26" s="26">
        <f t="shared" si="37"/>
        <v>502.61258699571056</v>
      </c>
      <c r="U26" s="26">
        <f t="shared" ref="U26:AZ26" si="38">T26*($F$2+1)</f>
        <v>500.09952406073199</v>
      </c>
      <c r="V26" s="26">
        <f t="shared" si="38"/>
        <v>497.5990264404283</v>
      </c>
      <c r="W26" s="26">
        <f t="shared" si="38"/>
        <v>495.11103130822619</v>
      </c>
      <c r="X26" s="26">
        <f t="shared" si="38"/>
        <v>492.63547615168505</v>
      </c>
      <c r="Y26" s="26">
        <f t="shared" si="38"/>
        <v>490.1722987709266</v>
      </c>
      <c r="Z26" s="26">
        <f t="shared" si="38"/>
        <v>487.72143727707197</v>
      </c>
      <c r="AA26" s="26">
        <f t="shared" si="38"/>
        <v>485.28283009068662</v>
      </c>
      <c r="AB26" s="26">
        <f t="shared" si="38"/>
        <v>482.85641594023321</v>
      </c>
      <c r="AC26" s="26">
        <f t="shared" si="38"/>
        <v>480.44213386053201</v>
      </c>
      <c r="AD26" s="26">
        <f t="shared" si="38"/>
        <v>478.03992319122932</v>
      </c>
      <c r="AE26" s="26">
        <f t="shared" si="38"/>
        <v>475.64972357527319</v>
      </c>
      <c r="AF26" s="26">
        <f t="shared" si="38"/>
        <v>473.27147495739683</v>
      </c>
      <c r="AG26" s="26">
        <f t="shared" si="38"/>
        <v>470.90511758260982</v>
      </c>
      <c r="AH26" s="26">
        <f t="shared" si="38"/>
        <v>468.55059199469679</v>
      </c>
      <c r="AI26" s="26">
        <f t="shared" si="38"/>
        <v>466.20783903472329</v>
      </c>
      <c r="AJ26" s="26">
        <f t="shared" si="38"/>
        <v>463.87679983954968</v>
      </c>
      <c r="AK26" s="26">
        <f t="shared" si="38"/>
        <v>461.55741584035195</v>
      </c>
      <c r="AL26" s="26">
        <f t="shared" si="38"/>
        <v>459.24962876115018</v>
      </c>
      <c r="AM26" s="26">
        <f t="shared" si="38"/>
        <v>456.95338061734441</v>
      </c>
      <c r="AN26" s="26">
        <f t="shared" si="38"/>
        <v>454.66861371425767</v>
      </c>
      <c r="AO26" s="26">
        <f t="shared" si="38"/>
        <v>452.39527064568637</v>
      </c>
      <c r="AP26" s="26">
        <f t="shared" si="38"/>
        <v>450.13329429245795</v>
      </c>
      <c r="AQ26" s="26">
        <f t="shared" si="38"/>
        <v>447.88262782099565</v>
      </c>
      <c r="AR26" s="26">
        <f t="shared" si="38"/>
        <v>445.6432146818907</v>
      </c>
      <c r="AS26" s="26">
        <f t="shared" si="38"/>
        <v>443.41499860848126</v>
      </c>
      <c r="AT26" s="26">
        <f t="shared" si="38"/>
        <v>441.19792361543887</v>
      </c>
      <c r="AU26" s="26">
        <f t="shared" si="38"/>
        <v>438.99193399736168</v>
      </c>
      <c r="AV26" s="26">
        <f t="shared" si="38"/>
        <v>436.79697432737487</v>
      </c>
      <c r="AW26" s="26">
        <f t="shared" si="38"/>
        <v>434.61298945573799</v>
      </c>
      <c r="AX26" s="26">
        <f t="shared" si="38"/>
        <v>432.43992450845928</v>
      </c>
      <c r="AY26" s="26">
        <f t="shared" si="38"/>
        <v>430.277724885917</v>
      </c>
      <c r="AZ26" s="26">
        <f t="shared" si="38"/>
        <v>428.12633626148738</v>
      </c>
      <c r="BA26" s="26">
        <f t="shared" ref="BA26:CF26" si="39">AZ26*($F$2+1)</f>
        <v>425.98570458017997</v>
      </c>
      <c r="BB26" s="26">
        <f t="shared" si="39"/>
        <v>423.85577605727906</v>
      </c>
      <c r="BC26" s="26">
        <f t="shared" si="39"/>
        <v>421.73649717699266</v>
      </c>
      <c r="BD26" s="26">
        <f t="shared" si="39"/>
        <v>419.62781469110769</v>
      </c>
      <c r="BE26" s="26">
        <f t="shared" si="39"/>
        <v>417.52967561765217</v>
      </c>
      <c r="BF26" s="26">
        <f t="shared" si="39"/>
        <v>415.44202723956391</v>
      </c>
      <c r="BG26" s="26">
        <f t="shared" si="39"/>
        <v>413.36481710336608</v>
      </c>
      <c r="BH26" s="26">
        <f t="shared" si="39"/>
        <v>411.29799301784925</v>
      </c>
      <c r="BI26" s="26">
        <f t="shared" si="39"/>
        <v>409.24150305275998</v>
      </c>
      <c r="BJ26" s="26">
        <f t="shared" si="39"/>
        <v>407.19529553749618</v>
      </c>
      <c r="BK26" s="26">
        <f t="shared" si="39"/>
        <v>405.15931905980869</v>
      </c>
      <c r="BL26" s="26">
        <f t="shared" si="39"/>
        <v>403.13352246450967</v>
      </c>
      <c r="BM26" s="26">
        <f t="shared" si="39"/>
        <v>401.11785485218712</v>
      </c>
      <c r="BN26" s="26">
        <f t="shared" si="39"/>
        <v>399.11226557792617</v>
      </c>
      <c r="BO26" s="26">
        <f t="shared" si="39"/>
        <v>397.11670425003655</v>
      </c>
      <c r="BP26" s="26">
        <f t="shared" si="39"/>
        <v>395.13112072878636</v>
      </c>
      <c r="BQ26" s="26">
        <f t="shared" si="39"/>
        <v>393.15546512514243</v>
      </c>
      <c r="BR26" s="26">
        <f t="shared" si="39"/>
        <v>391.18968779951672</v>
      </c>
      <c r="BS26" s="26">
        <f t="shared" si="39"/>
        <v>389.23373936051911</v>
      </c>
      <c r="BT26" s="26">
        <f t="shared" si="39"/>
        <v>387.28757066371651</v>
      </c>
      <c r="BU26" s="26">
        <f t="shared" si="39"/>
        <v>385.35113281039793</v>
      </c>
      <c r="BV26" s="26">
        <f t="shared" si="39"/>
        <v>383.42437714634593</v>
      </c>
      <c r="BW26" s="26">
        <f t="shared" si="39"/>
        <v>381.50725526061422</v>
      </c>
      <c r="BX26" s="26">
        <f t="shared" si="39"/>
        <v>379.59971898431115</v>
      </c>
      <c r="BY26" s="26">
        <f t="shared" si="39"/>
        <v>377.70172038938961</v>
      </c>
      <c r="BZ26" s="26">
        <f t="shared" si="39"/>
        <v>375.81321178744264</v>
      </c>
      <c r="CA26" s="26">
        <f t="shared" si="39"/>
        <v>373.93414572850543</v>
      </c>
      <c r="CB26" s="26">
        <f t="shared" si="39"/>
        <v>372.06447499986291</v>
      </c>
      <c r="CC26" s="26">
        <f t="shared" si="39"/>
        <v>370.20415262486358</v>
      </c>
      <c r="CD26" s="26">
        <f t="shared" si="39"/>
        <v>368.35313186173926</v>
      </c>
      <c r="CE26" s="26">
        <f t="shared" si="39"/>
        <v>366.51136620243057</v>
      </c>
      <c r="CF26" s="26">
        <f t="shared" si="39"/>
        <v>364.67880937141842</v>
      </c>
      <c r="CG26" s="26">
        <f t="shared" ref="CG26:DL26" si="40">CF26*($F$2+1)</f>
        <v>362.85541532456131</v>
      </c>
      <c r="CH26" s="26">
        <f t="shared" si="40"/>
        <v>361.04113824793848</v>
      </c>
      <c r="CI26" s="26">
        <f t="shared" si="40"/>
        <v>359.2359325566988</v>
      </c>
      <c r="CJ26" s="26">
        <f t="shared" si="40"/>
        <v>357.43975289391528</v>
      </c>
      <c r="CK26" s="26">
        <f t="shared" si="40"/>
        <v>355.65255412944572</v>
      </c>
      <c r="CL26" s="26">
        <f t="shared" si="40"/>
        <v>353.87429135879847</v>
      </c>
      <c r="CM26" s="26">
        <f t="shared" si="40"/>
        <v>352.1049199020045</v>
      </c>
      <c r="CN26" s="26">
        <f t="shared" si="40"/>
        <v>350.34439530249449</v>
      </c>
      <c r="CO26" s="26">
        <f t="shared" si="40"/>
        <v>348.59267332598199</v>
      </c>
      <c r="CP26" s="26">
        <f t="shared" si="40"/>
        <v>346.84970995935208</v>
      </c>
      <c r="CQ26" s="26">
        <f t="shared" si="40"/>
        <v>345.11546140955534</v>
      </c>
      <c r="CR26" s="26">
        <f t="shared" si="40"/>
        <v>343.38988410250755</v>
      </c>
      <c r="CS26" s="26">
        <f t="shared" si="40"/>
        <v>341.672934681995</v>
      </c>
      <c r="CT26" s="26">
        <f t="shared" si="40"/>
        <v>339.96457000858504</v>
      </c>
      <c r="CU26" s="26">
        <f t="shared" si="40"/>
        <v>338.26474715854209</v>
      </c>
      <c r="CV26" s="26">
        <f t="shared" si="40"/>
        <v>336.57342342274939</v>
      </c>
      <c r="CW26" s="26">
        <f t="shared" si="40"/>
        <v>334.89055630563564</v>
      </c>
      <c r="CX26" s="26">
        <f t="shared" si="40"/>
        <v>333.21610352410744</v>
      </c>
      <c r="CY26" s="26">
        <f t="shared" si="40"/>
        <v>331.55002300648692</v>
      </c>
      <c r="CZ26" s="26">
        <f t="shared" si="40"/>
        <v>329.89227289145447</v>
      </c>
      <c r="DA26" s="26">
        <f t="shared" si="40"/>
        <v>328.24281152699717</v>
      </c>
      <c r="DB26" s="26">
        <f t="shared" si="40"/>
        <v>326.60159746936216</v>
      </c>
      <c r="DC26" s="26">
        <f t="shared" si="40"/>
        <v>324.96858948201537</v>
      </c>
      <c r="DD26" s="26">
        <f t="shared" si="40"/>
        <v>323.34374653460532</v>
      </c>
      <c r="DE26" s="26">
        <f t="shared" si="40"/>
        <v>321.72702780193231</v>
      </c>
      <c r="DF26" s="26">
        <f t="shared" si="40"/>
        <v>320.11839266292264</v>
      </c>
      <c r="DG26" s="26">
        <f t="shared" si="40"/>
        <v>318.51780069960802</v>
      </c>
      <c r="DH26" s="26">
        <f t="shared" si="40"/>
        <v>316.92521169610995</v>
      </c>
      <c r="DI26" s="26">
        <f t="shared" si="40"/>
        <v>315.34058563762943</v>
      </c>
      <c r="DJ26" s="26">
        <f t="shared" si="40"/>
        <v>313.7638827094413</v>
      </c>
      <c r="DK26" s="26">
        <f t="shared" si="40"/>
        <v>312.1950632958941</v>
      </c>
      <c r="DL26" s="26">
        <f t="shared" si="40"/>
        <v>310.63408797941463</v>
      </c>
      <c r="DM26" s="26">
        <f t="shared" ref="DM26:ER26" si="41">DL26*($F$2+1)</f>
        <v>309.08091753951754</v>
      </c>
      <c r="DN26" s="26">
        <f t="shared" si="41"/>
        <v>307.53551295181995</v>
      </c>
      <c r="DO26" s="26">
        <f t="shared" si="41"/>
        <v>305.99783538706083</v>
      </c>
      <c r="DP26" s="26">
        <f t="shared" si="41"/>
        <v>304.46784621012551</v>
      </c>
      <c r="DQ26" s="26">
        <f t="shared" si="41"/>
        <v>302.94550697907488</v>
      </c>
      <c r="DR26" s="26">
        <f t="shared" si="41"/>
        <v>301.43077944417951</v>
      </c>
      <c r="DS26" s="26">
        <f t="shared" si="41"/>
        <v>299.92362554695859</v>
      </c>
      <c r="DT26" s="26">
        <f t="shared" si="41"/>
        <v>298.42400741922381</v>
      </c>
      <c r="DU26" s="26">
        <f t="shared" si="41"/>
        <v>296.93188738212768</v>
      </c>
      <c r="DV26" s="26">
        <f t="shared" si="41"/>
        <v>295.44722794521704</v>
      </c>
      <c r="DW26" s="26">
        <f t="shared" si="41"/>
        <v>293.96999180549096</v>
      </c>
      <c r="DX26" s="26">
        <f t="shared" si="41"/>
        <v>292.50014184646352</v>
      </c>
      <c r="DY26" s="26">
        <f t="shared" si="41"/>
        <v>291.03764113723122</v>
      </c>
      <c r="DZ26" s="26">
        <f t="shared" si="41"/>
        <v>289.58245293154505</v>
      </c>
      <c r="EA26" s="26">
        <f t="shared" si="41"/>
        <v>288.13454066688735</v>
      </c>
      <c r="EB26" s="26">
        <f t="shared" si="41"/>
        <v>286.69386796355292</v>
      </c>
      <c r="EC26" s="26">
        <f t="shared" si="41"/>
        <v>285.26039862373517</v>
      </c>
      <c r="ED26" s="26">
        <f t="shared" si="41"/>
        <v>283.8340966306165</v>
      </c>
      <c r="EE26" s="26">
        <f t="shared" si="41"/>
        <v>282.4149261474634</v>
      </c>
      <c r="EF26" s="26">
        <f t="shared" si="41"/>
        <v>281.00285151672608</v>
      </c>
      <c r="EG26" s="26">
        <f t="shared" si="41"/>
        <v>279.59783725914247</v>
      </c>
      <c r="EH26" s="26">
        <f t="shared" si="41"/>
        <v>278.19984807284675</v>
      </c>
      <c r="EI26" s="26">
        <f t="shared" si="41"/>
        <v>276.80884883248251</v>
      </c>
      <c r="EJ26" s="26">
        <f t="shared" si="41"/>
        <v>275.42480458832011</v>
      </c>
      <c r="EK26" s="26">
        <f t="shared" si="41"/>
        <v>274.04768056537853</v>
      </c>
      <c r="EL26" s="26">
        <f t="shared" si="41"/>
        <v>272.67744216255164</v>
      </c>
      <c r="EM26" s="26">
        <f t="shared" si="41"/>
        <v>271.31405495173891</v>
      </c>
      <c r="EN26" s="26">
        <f t="shared" si="41"/>
        <v>269.95748467698019</v>
      </c>
      <c r="EO26" s="26">
        <f t="shared" si="41"/>
        <v>268.60769725359529</v>
      </c>
      <c r="EP26" s="26">
        <f t="shared" si="41"/>
        <v>267.26465876732732</v>
      </c>
      <c r="EQ26" s="26">
        <f t="shared" si="41"/>
        <v>265.92833547349068</v>
      </c>
      <c r="ER26" s="26">
        <f t="shared" si="41"/>
        <v>264.5986937961232</v>
      </c>
      <c r="ES26" s="26">
        <f t="shared" ref="ES26:FX26" si="42">ER26*($F$2+1)</f>
        <v>263.2757003271426</v>
      </c>
      <c r="ET26" s="26">
        <f t="shared" si="42"/>
        <v>261.95932182550689</v>
      </c>
      <c r="EU26" s="26">
        <f t="shared" si="42"/>
        <v>260.64952521637935</v>
      </c>
      <c r="EV26" s="26">
        <f t="shared" si="42"/>
        <v>259.34627759029746</v>
      </c>
      <c r="EW26" s="26">
        <f t="shared" si="42"/>
        <v>258.04954620234599</v>
      </c>
      <c r="EX26" s="26">
        <f t="shared" si="42"/>
        <v>256.75929847133426</v>
      </c>
      <c r="EY26" s="26">
        <f t="shared" si="42"/>
        <v>255.47550197897758</v>
      </c>
      <c r="EZ26" s="26">
        <f t="shared" si="42"/>
        <v>254.1981244690827</v>
      </c>
      <c r="FA26" s="26">
        <f t="shared" si="42"/>
        <v>252.92713384673729</v>
      </c>
      <c r="FB26" s="26">
        <f t="shared" si="42"/>
        <v>251.66249817750361</v>
      </c>
      <c r="FC26" s="26">
        <f t="shared" si="42"/>
        <v>250.4041856866161</v>
      </c>
      <c r="FD26" s="26">
        <f t="shared" si="42"/>
        <v>249.15216475818303</v>
      </c>
      <c r="FE26" s="26">
        <f t="shared" si="42"/>
        <v>247.90640393439213</v>
      </c>
      <c r="FF26" s="26">
        <f t="shared" si="42"/>
        <v>246.66687191472016</v>
      </c>
      <c r="FG26" s="26">
        <f t="shared" si="42"/>
        <v>245.43353755514656</v>
      </c>
      <c r="FH26" s="26">
        <f t="shared" si="42"/>
        <v>244.20636986737082</v>
      </c>
      <c r="FI26" s="26">
        <f t="shared" si="42"/>
        <v>242.98533801803396</v>
      </c>
      <c r="FJ26" s="26">
        <f t="shared" si="42"/>
        <v>241.77041132794378</v>
      </c>
      <c r="FK26" s="26">
        <f t="shared" si="42"/>
        <v>240.56155927130405</v>
      </c>
      <c r="FL26" s="26">
        <f t="shared" si="42"/>
        <v>239.35875147494752</v>
      </c>
      <c r="FM26" s="26">
        <f t="shared" si="42"/>
        <v>238.16195771757279</v>
      </c>
      <c r="FN26" s="26">
        <f t="shared" si="42"/>
        <v>236.97114792898492</v>
      </c>
      <c r="FO26" s="26">
        <f t="shared" si="42"/>
        <v>235.78629218934</v>
      </c>
      <c r="FP26" s="26">
        <f t="shared" si="42"/>
        <v>234.6073607283933</v>
      </c>
      <c r="FQ26" s="26">
        <f t="shared" si="42"/>
        <v>233.43432392475134</v>
      </c>
      <c r="FR26" s="26">
        <f t="shared" si="42"/>
        <v>232.26715230512758</v>
      </c>
      <c r="FS26" s="26">
        <f t="shared" si="42"/>
        <v>231.10581654360195</v>
      </c>
      <c r="FT26" s="26">
        <f t="shared" si="42"/>
        <v>229.95028746088394</v>
      </c>
      <c r="FU26" s="26">
        <f t="shared" si="42"/>
        <v>228.80053602357953</v>
      </c>
      <c r="FV26" s="26">
        <f t="shared" si="42"/>
        <v>227.65653334346163</v>
      </c>
      <c r="FW26" s="26">
        <f t="shared" si="42"/>
        <v>226.51825067674432</v>
      </c>
      <c r="FX26" s="26">
        <f t="shared" si="42"/>
        <v>225.38565942336058</v>
      </c>
      <c r="FY26" s="26">
        <f t="shared" ref="FY26:GQ26" si="43">FX26*($F$2+1)</f>
        <v>224.25873112624379</v>
      </c>
      <c r="FZ26" s="26">
        <f t="shared" si="43"/>
        <v>223.13743747061258</v>
      </c>
      <c r="GA26" s="26">
        <f t="shared" si="43"/>
        <v>222.02175028325951</v>
      </c>
      <c r="GB26" s="26">
        <f t="shared" si="43"/>
        <v>220.9116415318432</v>
      </c>
      <c r="GC26" s="26">
        <f t="shared" si="43"/>
        <v>219.80708332418399</v>
      </c>
      <c r="GD26" s="26">
        <f t="shared" si="43"/>
        <v>218.70804790756307</v>
      </c>
      <c r="GE26" s="26">
        <f t="shared" si="43"/>
        <v>217.61450766802525</v>
      </c>
      <c r="GF26" s="26">
        <f t="shared" si="43"/>
        <v>216.52643512968513</v>
      </c>
      <c r="GG26" s="26">
        <f t="shared" si="43"/>
        <v>215.4438029540367</v>
      </c>
      <c r="GH26" s="26">
        <f t="shared" si="43"/>
        <v>214.36658393926652</v>
      </c>
      <c r="GI26" s="26">
        <f t="shared" si="43"/>
        <v>213.29475101957019</v>
      </c>
      <c r="GJ26" s="26">
        <f t="shared" si="43"/>
        <v>212.22827726447233</v>
      </c>
      <c r="GK26" s="26">
        <f t="shared" si="43"/>
        <v>211.16713587814996</v>
      </c>
      <c r="GL26" s="26">
        <f t="shared" si="43"/>
        <v>210.11130019875921</v>
      </c>
      <c r="GM26" s="26">
        <f t="shared" si="43"/>
        <v>209.06074369776542</v>
      </c>
      <c r="GN26" s="26">
        <f t="shared" si="43"/>
        <v>208.01543997927658</v>
      </c>
      <c r="GO26" s="26">
        <f t="shared" si="43"/>
        <v>206.97536277938019</v>
      </c>
      <c r="GP26" s="26">
        <f t="shared" si="43"/>
        <v>205.94048596548328</v>
      </c>
      <c r="GQ26" s="26">
        <f t="shared" si="43"/>
        <v>204.91078353565587</v>
      </c>
    </row>
    <row r="27" spans="1:199" x14ac:dyDescent="0.15">
      <c r="A27" s="3" t="s">
        <v>16</v>
      </c>
      <c r="B27" s="24"/>
      <c r="C27" s="31">
        <f t="shared" ref="C27:F27" si="44">C26/C28</f>
        <v>-0.22412477250934429</v>
      </c>
      <c r="D27" s="31">
        <f t="shared" si="44"/>
        <v>-1.2087538061759686</v>
      </c>
      <c r="E27" s="31">
        <f t="shared" si="44"/>
        <v>-0.56350717572183251</v>
      </c>
      <c r="F27" s="55">
        <f t="shared" si="44"/>
        <v>-0.50202461305929491</v>
      </c>
      <c r="G27" s="55">
        <f t="shared" ref="G27" si="45">G26/G28</f>
        <v>-0.47929557750298141</v>
      </c>
      <c r="H27" s="55">
        <f t="shared" ref="H27:O27" si="46">H26/H28</f>
        <v>-0.43242576081914946</v>
      </c>
      <c r="I27" s="55">
        <f t="shared" si="46"/>
        <v>-0.35373521630596338</v>
      </c>
      <c r="J27" s="55">
        <f t="shared" si="46"/>
        <v>-0.23356428779273106</v>
      </c>
      <c r="K27" s="55">
        <f t="shared" si="46"/>
        <v>6.9506882123230385E-3</v>
      </c>
      <c r="L27" s="55">
        <f t="shared" si="46"/>
        <v>0.25301459964272632</v>
      </c>
      <c r="M27" s="55">
        <f t="shared" si="46"/>
        <v>0.5308526287355041</v>
      </c>
      <c r="N27" s="55">
        <f t="shared" si="46"/>
        <v>0.84409424720957604</v>
      </c>
      <c r="O27" s="55">
        <f t="shared" si="46"/>
        <v>1.196752453348513</v>
      </c>
      <c r="P27" s="55">
        <f t="shared" ref="P27:T27" si="47">P26/P28</f>
        <v>1.5932631913963553</v>
      </c>
      <c r="Q27" s="55">
        <f t="shared" si="47"/>
        <v>2.0385287654259456</v>
      </c>
      <c r="R27" s="55">
        <f t="shared" si="47"/>
        <v>2.5379656497688785</v>
      </c>
      <c r="S27" s="55">
        <f t="shared" si="47"/>
        <v>3.0975571384368377</v>
      </c>
      <c r="T27" s="55">
        <f t="shared" si="47"/>
        <v>3.7239113203454912</v>
      </c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</row>
    <row r="28" spans="1:199" s="16" customFormat="1" x14ac:dyDescent="0.15">
      <c r="A28" s="16" t="s">
        <v>17</v>
      </c>
      <c r="B28" s="24"/>
      <c r="C28" s="24">
        <f>Reports!E21</f>
        <v>102.202</v>
      </c>
      <c r="D28" s="24">
        <f>Reports!I21</f>
        <v>125.45399999999999</v>
      </c>
      <c r="E28" s="24">
        <f>Reports!M21</f>
        <v>134.96899999999999</v>
      </c>
      <c r="F28" s="24">
        <f t="shared" ref="F28" si="48">E28</f>
        <v>134.96899999999999</v>
      </c>
      <c r="G28" s="24">
        <f t="shared" ref="G28" si="49">F28</f>
        <v>134.96899999999999</v>
      </c>
      <c r="H28" s="24">
        <f t="shared" ref="H28" si="50">G28</f>
        <v>134.96899999999999</v>
      </c>
      <c r="I28" s="24">
        <f t="shared" ref="I28" si="51">H28</f>
        <v>134.96899999999999</v>
      </c>
      <c r="J28" s="24">
        <f t="shared" ref="J28" si="52">I28</f>
        <v>134.96899999999999</v>
      </c>
      <c r="K28" s="24">
        <f t="shared" ref="K28" si="53">J28</f>
        <v>134.96899999999999</v>
      </c>
      <c r="L28" s="24">
        <f t="shared" ref="L28" si="54">K28</f>
        <v>134.96899999999999</v>
      </c>
      <c r="M28" s="24">
        <f t="shared" ref="M28" si="55">L28</f>
        <v>134.96899999999999</v>
      </c>
      <c r="N28" s="24">
        <f t="shared" ref="N28" si="56">M28</f>
        <v>134.96899999999999</v>
      </c>
      <c r="O28" s="24">
        <f t="shared" ref="O28:T28" si="57">N28</f>
        <v>134.96899999999999</v>
      </c>
      <c r="P28" s="24">
        <f t="shared" si="57"/>
        <v>134.96899999999999</v>
      </c>
      <c r="Q28" s="24">
        <f t="shared" si="57"/>
        <v>134.96899999999999</v>
      </c>
      <c r="R28" s="24">
        <f t="shared" si="57"/>
        <v>134.96899999999999</v>
      </c>
      <c r="S28" s="24">
        <f t="shared" si="57"/>
        <v>134.96899999999999</v>
      </c>
      <c r="T28" s="24">
        <f t="shared" si="57"/>
        <v>134.96899999999999</v>
      </c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</row>
    <row r="29" spans="1:199" x14ac:dyDescent="0.1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</row>
    <row r="30" spans="1:199" x14ac:dyDescent="0.15">
      <c r="A30" s="3" t="s">
        <v>19</v>
      </c>
      <c r="B30" s="37">
        <f t="shared" ref="B30:O30" si="58">IFERROR(B17/B15,0)</f>
        <v>0.67314696447092304</v>
      </c>
      <c r="C30" s="37">
        <f t="shared" si="58"/>
        <v>0.71349755225736267</v>
      </c>
      <c r="D30" s="37">
        <f>IFERROR(D17/D15,0)</f>
        <v>0.69343435932118092</v>
      </c>
      <c r="E30" s="37">
        <f t="shared" si="58"/>
        <v>0.75123039740290998</v>
      </c>
      <c r="F30" s="37">
        <f t="shared" si="58"/>
        <v>0.75123039740290987</v>
      </c>
      <c r="G30" s="37">
        <f>IFERROR(G17/G15,0)</f>
        <v>0.75123039740290987</v>
      </c>
      <c r="H30" s="37">
        <f t="shared" si="58"/>
        <v>0.75123039740290987</v>
      </c>
      <c r="I30" s="37">
        <f t="shared" si="58"/>
        <v>0.75123039740290987</v>
      </c>
      <c r="J30" s="37">
        <f t="shared" si="58"/>
        <v>0.75123039740290987</v>
      </c>
      <c r="K30" s="37">
        <f t="shared" si="58"/>
        <v>0.75123039740290987</v>
      </c>
      <c r="L30" s="37">
        <f t="shared" si="58"/>
        <v>0.75123039740290987</v>
      </c>
      <c r="M30" s="37">
        <f t="shared" si="58"/>
        <v>0.75123039740290987</v>
      </c>
      <c r="N30" s="37">
        <f t="shared" si="58"/>
        <v>0.75123039740290987</v>
      </c>
      <c r="O30" s="37">
        <f t="shared" si="58"/>
        <v>0.75123039740290987</v>
      </c>
      <c r="P30" s="37">
        <f t="shared" ref="P30:T30" si="59">IFERROR(P17/P15,0)</f>
        <v>0.75123039740290998</v>
      </c>
      <c r="Q30" s="37">
        <f t="shared" si="59"/>
        <v>0.75123039740290998</v>
      </c>
      <c r="R30" s="37">
        <f t="shared" si="59"/>
        <v>0.75123039740290998</v>
      </c>
      <c r="S30" s="37">
        <f t="shared" si="59"/>
        <v>0.75123039740290998</v>
      </c>
      <c r="T30" s="37">
        <f t="shared" si="59"/>
        <v>0.75123039740290998</v>
      </c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</row>
    <row r="31" spans="1:199" x14ac:dyDescent="0.15">
      <c r="A31" s="3" t="s">
        <v>20</v>
      </c>
      <c r="B31" s="39">
        <f t="shared" ref="B31:O31" si="60">IFERROR(B22/B15,0)</f>
        <v>-0.16623652282978368</v>
      </c>
      <c r="C31" s="39">
        <f t="shared" si="60"/>
        <v>-0.10013118620670744</v>
      </c>
      <c r="D31" s="39">
        <f>IFERROR(D22/D15,0)</f>
        <v>-0.49009531149242685</v>
      </c>
      <c r="E31" s="39">
        <f t="shared" si="60"/>
        <v>-0.22137719934552297</v>
      </c>
      <c r="F31" s="39">
        <f>IFERROR(F22/F15,0)</f>
        <v>-0.17758445285990415</v>
      </c>
      <c r="G31" s="39">
        <f t="shared" si="60"/>
        <v>-0.13693748610778239</v>
      </c>
      <c r="H31" s="39">
        <f t="shared" si="60"/>
        <v>-9.9180358679633748E-2</v>
      </c>
      <c r="I31" s="39">
        <f t="shared" si="60"/>
        <v>-6.4079001994818252E-2</v>
      </c>
      <c r="J31" s="39">
        <f t="shared" si="60"/>
        <v>-3.141929937335327E-2</v>
      </c>
      <c r="K31" s="39">
        <f t="shared" si="60"/>
        <v>9.2849979538185915E-3</v>
      </c>
      <c r="L31" s="39">
        <f t="shared" si="60"/>
        <v>4.6668136025789585E-2</v>
      </c>
      <c r="M31" s="39">
        <f t="shared" si="60"/>
        <v>8.1041545418393937E-2</v>
      </c>
      <c r="N31" s="39">
        <f t="shared" si="60"/>
        <v>0.11268499508585481</v>
      </c>
      <c r="O31" s="39">
        <f t="shared" si="60"/>
        <v>0.14184994123664013</v>
      </c>
      <c r="P31" s="39">
        <f t="shared" ref="P31:T31" si="61">IFERROR(P22/P15,0)</f>
        <v>0.16876251565555436</v>
      </c>
      <c r="Q31" s="39">
        <f t="shared" si="61"/>
        <v>0.19362619258801497</v>
      </c>
      <c r="R31" s="39">
        <f t="shared" si="61"/>
        <v>0.21662416904514056</v>
      </c>
      <c r="S31" s="39">
        <f t="shared" si="61"/>
        <v>0.23792148959494155</v>
      </c>
      <c r="T31" s="39">
        <f t="shared" si="61"/>
        <v>0.25766694332496115</v>
      </c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</row>
    <row r="32" spans="1:199" x14ac:dyDescent="0.15">
      <c r="A32" s="3" t="s">
        <v>21</v>
      </c>
      <c r="B32" s="39">
        <f t="shared" ref="B32:O32" si="62">IFERROR(B25/B24,0)</f>
        <v>-6.996921354603973E-2</v>
      </c>
      <c r="C32" s="39">
        <f t="shared" si="62"/>
        <v>0.45339569512718936</v>
      </c>
      <c r="D32" s="39">
        <f>IFERROR(D25/D24,0)</f>
        <v>0</v>
      </c>
      <c r="E32" s="39">
        <f t="shared" si="62"/>
        <v>2.5622629906733623E-2</v>
      </c>
      <c r="F32" s="39">
        <f t="shared" si="62"/>
        <v>0</v>
      </c>
      <c r="G32" s="39">
        <f t="shared" si="62"/>
        <v>0</v>
      </c>
      <c r="H32" s="39">
        <f t="shared" si="62"/>
        <v>0</v>
      </c>
      <c r="I32" s="39">
        <f t="shared" si="62"/>
        <v>0</v>
      </c>
      <c r="J32" s="39">
        <f t="shared" si="62"/>
        <v>0</v>
      </c>
      <c r="K32" s="39">
        <f t="shared" si="62"/>
        <v>0.1</v>
      </c>
      <c r="L32" s="39">
        <f t="shared" si="62"/>
        <v>0.1</v>
      </c>
      <c r="M32" s="39">
        <f t="shared" si="62"/>
        <v>0.1</v>
      </c>
      <c r="N32" s="39">
        <f t="shared" si="62"/>
        <v>0.1</v>
      </c>
      <c r="O32" s="39">
        <f t="shared" si="62"/>
        <v>0.1</v>
      </c>
      <c r="P32" s="39">
        <f t="shared" ref="P32:T32" si="63">IFERROR(P25/P24,0)</f>
        <v>0.1</v>
      </c>
      <c r="Q32" s="39">
        <f t="shared" si="63"/>
        <v>0.1</v>
      </c>
      <c r="R32" s="39">
        <f t="shared" si="63"/>
        <v>0.1</v>
      </c>
      <c r="S32" s="39">
        <f t="shared" si="63"/>
        <v>0.1</v>
      </c>
      <c r="T32" s="39">
        <f t="shared" si="63"/>
        <v>0.1</v>
      </c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</row>
    <row r="33" spans="1:116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</row>
    <row r="34" spans="1:116" x14ac:dyDescent="0.15">
      <c r="A34" s="2" t="s">
        <v>18</v>
      </c>
      <c r="B34" s="56"/>
      <c r="C34" s="56">
        <f t="shared" ref="C34:T34" si="64">C15/B15-1</f>
        <v>5.5370365903663954E-2</v>
      </c>
      <c r="D34" s="56">
        <f t="shared" si="64"/>
        <v>0.162501771242338</v>
      </c>
      <c r="E34" s="56">
        <f>E15/D15-1</f>
        <v>0.20877699312687747</v>
      </c>
      <c r="F34" s="56">
        <f t="shared" si="64"/>
        <v>0.21000000000000041</v>
      </c>
      <c r="G34" s="56">
        <f t="shared" si="64"/>
        <v>0.21000000000000019</v>
      </c>
      <c r="H34" s="56">
        <f t="shared" si="64"/>
        <v>0.21000000000000041</v>
      </c>
      <c r="I34" s="56">
        <f t="shared" si="64"/>
        <v>0.21000000000000019</v>
      </c>
      <c r="J34" s="56">
        <f t="shared" si="64"/>
        <v>0.21000000000000019</v>
      </c>
      <c r="K34" s="56">
        <f t="shared" si="64"/>
        <v>0.10000000000000009</v>
      </c>
      <c r="L34" s="56">
        <f t="shared" si="64"/>
        <v>0.10000000000000009</v>
      </c>
      <c r="M34" s="56">
        <f t="shared" si="64"/>
        <v>0.10000000000000009</v>
      </c>
      <c r="N34" s="56">
        <f t="shared" si="64"/>
        <v>0.10000000000000009</v>
      </c>
      <c r="O34" s="56">
        <f t="shared" si="64"/>
        <v>0.10000000000000009</v>
      </c>
      <c r="P34" s="56">
        <f t="shared" si="64"/>
        <v>0.10000000000000009</v>
      </c>
      <c r="Q34" s="56">
        <f t="shared" si="64"/>
        <v>0.10000000000000009</v>
      </c>
      <c r="R34" s="56">
        <f t="shared" si="64"/>
        <v>0.10000000000000009</v>
      </c>
      <c r="S34" s="56">
        <f t="shared" si="64"/>
        <v>0.10000000000000009</v>
      </c>
      <c r="T34" s="56">
        <f t="shared" si="64"/>
        <v>0.10000000000000009</v>
      </c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</row>
    <row r="35" spans="1:116" x14ac:dyDescent="0.15">
      <c r="A35" s="3" t="s">
        <v>34</v>
      </c>
      <c r="B35" s="39"/>
      <c r="C35" s="39">
        <f t="shared" ref="C35:T35" si="65">C18/B18-1</f>
        <v>0.42105263157894735</v>
      </c>
      <c r="D35" s="39">
        <f t="shared" si="65"/>
        <v>0.96296296296296302</v>
      </c>
      <c r="E35" s="39">
        <f t="shared" si="65"/>
        <v>-0.14150943396226412</v>
      </c>
      <c r="F35" s="39">
        <f t="shared" si="65"/>
        <v>0.10000000000000009</v>
      </c>
      <c r="G35" s="39">
        <f t="shared" si="65"/>
        <v>0.10000000000000009</v>
      </c>
      <c r="H35" s="39">
        <f t="shared" si="65"/>
        <v>0.10000000000000009</v>
      </c>
      <c r="I35" s="39">
        <f t="shared" si="65"/>
        <v>0.10000000000000009</v>
      </c>
      <c r="J35" s="39">
        <f t="shared" si="65"/>
        <v>0.10000000000000009</v>
      </c>
      <c r="K35" s="39">
        <f t="shared" si="65"/>
        <v>0.10000000000000009</v>
      </c>
      <c r="L35" s="39">
        <f t="shared" si="65"/>
        <v>0.10000000000000009</v>
      </c>
      <c r="M35" s="39">
        <f t="shared" si="65"/>
        <v>0.10000000000000009</v>
      </c>
      <c r="N35" s="39">
        <f t="shared" si="65"/>
        <v>0.10000000000000009</v>
      </c>
      <c r="O35" s="39">
        <f t="shared" si="65"/>
        <v>0.10000000000000009</v>
      </c>
      <c r="P35" s="39">
        <f t="shared" si="65"/>
        <v>0.10000000000000009</v>
      </c>
      <c r="Q35" s="39">
        <f t="shared" si="65"/>
        <v>0.10000000000000009</v>
      </c>
      <c r="R35" s="39">
        <f t="shared" si="65"/>
        <v>0.10000000000000009</v>
      </c>
      <c r="S35" s="39">
        <f t="shared" si="65"/>
        <v>0.10000000000000009</v>
      </c>
      <c r="T35" s="39">
        <f t="shared" si="65"/>
        <v>0.10000000000000009</v>
      </c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</row>
    <row r="36" spans="1:116" x14ac:dyDescent="0.15">
      <c r="A36" s="3" t="s">
        <v>35</v>
      </c>
      <c r="B36" s="39"/>
      <c r="C36" s="39">
        <f t="shared" ref="C36:T36" si="66">C19/B19-1</f>
        <v>0</v>
      </c>
      <c r="D36" s="39">
        <f t="shared" si="66"/>
        <v>0.28378378378378377</v>
      </c>
      <c r="E36" s="39">
        <f t="shared" si="66"/>
        <v>0.3052631578947369</v>
      </c>
      <c r="F36" s="39">
        <f t="shared" si="66"/>
        <v>0.19999999999999996</v>
      </c>
      <c r="G36" s="39">
        <f t="shared" si="66"/>
        <v>0.19999999999999996</v>
      </c>
      <c r="H36" s="39">
        <f t="shared" si="66"/>
        <v>0.19999999999999996</v>
      </c>
      <c r="I36" s="39">
        <f t="shared" si="66"/>
        <v>0.19999999999999996</v>
      </c>
      <c r="J36" s="39">
        <f t="shared" si="66"/>
        <v>0.19999999999999996</v>
      </c>
      <c r="K36" s="39">
        <f t="shared" si="66"/>
        <v>5.0000000000000044E-2</v>
      </c>
      <c r="L36" s="39">
        <f t="shared" si="66"/>
        <v>5.0000000000000044E-2</v>
      </c>
      <c r="M36" s="39">
        <f t="shared" si="66"/>
        <v>5.0000000000000044E-2</v>
      </c>
      <c r="N36" s="39">
        <f t="shared" si="66"/>
        <v>5.0000000000000044E-2</v>
      </c>
      <c r="O36" s="39">
        <f t="shared" si="66"/>
        <v>5.0000000000000044E-2</v>
      </c>
      <c r="P36" s="39">
        <f t="shared" si="66"/>
        <v>5.0000000000000044E-2</v>
      </c>
      <c r="Q36" s="39">
        <f t="shared" si="66"/>
        <v>5.0000000000000044E-2</v>
      </c>
      <c r="R36" s="39">
        <f t="shared" si="66"/>
        <v>5.0000000000000044E-2</v>
      </c>
      <c r="S36" s="39">
        <f t="shared" si="66"/>
        <v>5.0000000000000044E-2</v>
      </c>
      <c r="T36" s="39">
        <f t="shared" si="66"/>
        <v>5.0000000000000044E-2</v>
      </c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</row>
    <row r="37" spans="1:116" x14ac:dyDescent="0.15">
      <c r="A37" s="3" t="s">
        <v>36</v>
      </c>
      <c r="B37" s="39"/>
      <c r="C37" s="39">
        <f>C20/B20-1</f>
        <v>-0.19354838709677424</v>
      </c>
      <c r="D37" s="39">
        <f t="shared" ref="D37:T37" si="67">D20/C20-1</f>
        <v>1</v>
      </c>
      <c r="E37" s="39">
        <f t="shared" si="67"/>
        <v>-0.16000000000000003</v>
      </c>
      <c r="F37" s="39">
        <f t="shared" si="67"/>
        <v>0.14999999999999991</v>
      </c>
      <c r="G37" s="39">
        <f t="shared" si="67"/>
        <v>0.14999999999999991</v>
      </c>
      <c r="H37" s="39">
        <f t="shared" si="67"/>
        <v>0.14999999999999991</v>
      </c>
      <c r="I37" s="39">
        <f t="shared" si="67"/>
        <v>0.14999999999999991</v>
      </c>
      <c r="J37" s="39">
        <f t="shared" si="67"/>
        <v>0.14999999999999991</v>
      </c>
      <c r="K37" s="39">
        <f t="shared" si="67"/>
        <v>-1.9999999999999907E-2</v>
      </c>
      <c r="L37" s="39">
        <f t="shared" si="67"/>
        <v>-2.0000000000000018E-2</v>
      </c>
      <c r="M37" s="39">
        <f t="shared" si="67"/>
        <v>-2.0000000000000018E-2</v>
      </c>
      <c r="N37" s="39">
        <f t="shared" si="67"/>
        <v>-2.0000000000000129E-2</v>
      </c>
      <c r="O37" s="39">
        <f t="shared" si="67"/>
        <v>-2.0000000000000018E-2</v>
      </c>
      <c r="P37" s="39">
        <f t="shared" si="67"/>
        <v>-1.9999999999999907E-2</v>
      </c>
      <c r="Q37" s="39">
        <f t="shared" si="67"/>
        <v>-2.0000000000000018E-2</v>
      </c>
      <c r="R37" s="39">
        <f t="shared" si="67"/>
        <v>-2.0000000000000129E-2</v>
      </c>
      <c r="S37" s="39">
        <f t="shared" si="67"/>
        <v>-2.0000000000000018E-2</v>
      </c>
      <c r="T37" s="39">
        <f t="shared" si="67"/>
        <v>-2.0000000000000129E-2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</row>
    <row r="38" spans="1:116" x14ac:dyDescent="0.15">
      <c r="A38" s="6" t="s">
        <v>64</v>
      </c>
      <c r="B38" s="50"/>
      <c r="C38" s="50">
        <f>C21/B21-1</f>
        <v>2.2988505747126409E-2</v>
      </c>
      <c r="D38" s="50">
        <f>D21/C21-1</f>
        <v>0.6910112359550562</v>
      </c>
      <c r="E38" s="50">
        <f t="shared" ref="E38:T38" si="68">E21/D21-1</f>
        <v>-6.6445182724252927E-3</v>
      </c>
      <c r="F38" s="50">
        <f t="shared" si="68"/>
        <v>0.15551839464882944</v>
      </c>
      <c r="G38" s="50">
        <f t="shared" si="68"/>
        <v>0.15704775687409533</v>
      </c>
      <c r="H38" s="50">
        <f t="shared" si="68"/>
        <v>0.15856138683209942</v>
      </c>
      <c r="I38" s="50">
        <f t="shared" si="68"/>
        <v>0.16005632127199476</v>
      </c>
      <c r="J38" s="50">
        <f t="shared" si="68"/>
        <v>0.16152976256478224</v>
      </c>
      <c r="K38" s="50">
        <f>K21/J21-1</f>
        <v>4.2790845962994428E-2</v>
      </c>
      <c r="L38" s="50">
        <f t="shared" si="68"/>
        <v>4.4576175134044327E-2</v>
      </c>
      <c r="M38" s="50">
        <f t="shared" si="68"/>
        <v>4.6334408746274924E-2</v>
      </c>
      <c r="N38" s="50">
        <f t="shared" si="68"/>
        <v>4.8062707203892607E-2</v>
      </c>
      <c r="O38" s="50">
        <f t="shared" si="68"/>
        <v>4.9758559611498887E-2</v>
      </c>
      <c r="P38" s="50">
        <f t="shared" si="68"/>
        <v>5.1419787816877172E-2</v>
      </c>
      <c r="Q38" s="50">
        <f t="shared" si="68"/>
        <v>5.3044544630240109E-2</v>
      </c>
      <c r="R38" s="50">
        <f t="shared" si="68"/>
        <v>5.4631306786439904E-2</v>
      </c>
      <c r="S38" s="50">
        <f t="shared" si="68"/>
        <v>5.6178863316378669E-2</v>
      </c>
      <c r="T38" s="50">
        <f t="shared" si="68"/>
        <v>5.7686300057066209E-2</v>
      </c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</row>
    <row r="39" spans="1:116" x14ac:dyDescent="0.1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</row>
    <row r="40" spans="1:116" x14ac:dyDescent="0.15">
      <c r="A40" s="2" t="s">
        <v>22</v>
      </c>
      <c r="B40" s="50"/>
      <c r="C40" s="50"/>
      <c r="D40" s="26">
        <f>D41-D42</f>
        <v>-64</v>
      </c>
      <c r="E40" s="26">
        <f>E41-E42</f>
        <v>-85</v>
      </c>
      <c r="F40" s="57">
        <f>E40+F26</f>
        <v>-152.75775999999996</v>
      </c>
      <c r="G40" s="57">
        <f>F40+G26</f>
        <v>-217.44780479999986</v>
      </c>
      <c r="H40" s="57">
        <f t="shared" ref="H40:T40" si="69">G40+H26</f>
        <v>-275.81187731199964</v>
      </c>
      <c r="I40" s="57">
        <f t="shared" si="69"/>
        <v>-323.55516572159922</v>
      </c>
      <c r="J40" s="57">
        <f t="shared" si="69"/>
        <v>-355.07910408069631</v>
      </c>
      <c r="K40" s="57">
        <f t="shared" si="69"/>
        <v>-354.14097664336731</v>
      </c>
      <c r="L40" s="57">
        <f t="shared" si="69"/>
        <v>-319.99184914418817</v>
      </c>
      <c r="M40" s="57">
        <f t="shared" si="69"/>
        <v>-248.34320069638591</v>
      </c>
      <c r="N40" s="57">
        <f t="shared" si="69"/>
        <v>-134.41664424475664</v>
      </c>
      <c r="O40" s="57">
        <f t="shared" si="69"/>
        <v>27.107837631238795</v>
      </c>
      <c r="P40" s="57">
        <f t="shared" si="69"/>
        <v>242.14897731081345</v>
      </c>
      <c r="Q40" s="57">
        <f t="shared" si="69"/>
        <v>517.28716625158791</v>
      </c>
      <c r="R40" s="57">
        <f t="shared" si="69"/>
        <v>859.83385203524358</v>
      </c>
      <c r="S40" s="57">
        <f t="shared" si="69"/>
        <v>1277.9080414529251</v>
      </c>
      <c r="T40" s="57">
        <f t="shared" si="69"/>
        <v>1780.5206284486358</v>
      </c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</row>
    <row r="41" spans="1:116" x14ac:dyDescent="0.15">
      <c r="A41" s="3" t="s">
        <v>23</v>
      </c>
      <c r="B41" s="50"/>
      <c r="C41" s="50"/>
      <c r="D41" s="58">
        <f>Reports!I34</f>
        <v>154</v>
      </c>
      <c r="E41" s="58">
        <f>Reports!M34</f>
        <v>131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</row>
    <row r="42" spans="1:116" x14ac:dyDescent="0.15">
      <c r="A42" s="3" t="s">
        <v>24</v>
      </c>
      <c r="B42" s="50"/>
      <c r="C42" s="50"/>
      <c r="D42" s="58">
        <f>Reports!I35</f>
        <v>218</v>
      </c>
      <c r="E42" s="58">
        <f>Reports!M35</f>
        <v>216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</row>
    <row r="43" spans="1:116" x14ac:dyDescent="0.15">
      <c r="B43" s="50"/>
      <c r="C43" s="5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</row>
    <row r="44" spans="1:116" x14ac:dyDescent="0.15">
      <c r="A44" s="3" t="s">
        <v>48</v>
      </c>
      <c r="B44" s="50"/>
      <c r="C44" s="50"/>
      <c r="D44" s="58">
        <f>Reports!I37</f>
        <v>346</v>
      </c>
      <c r="E44" s="58">
        <f>Reports!M37</f>
        <v>496</v>
      </c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</row>
    <row r="45" spans="1:116" x14ac:dyDescent="0.15">
      <c r="A45" s="3" t="s">
        <v>49</v>
      </c>
      <c r="B45" s="50"/>
      <c r="C45" s="50"/>
      <c r="D45" s="58">
        <f>Reports!I38</f>
        <v>679</v>
      </c>
      <c r="E45" s="58">
        <f>Reports!M38</f>
        <v>804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</row>
    <row r="46" spans="1:116" x14ac:dyDescent="0.15">
      <c r="A46" s="3" t="s">
        <v>50</v>
      </c>
      <c r="B46" s="50"/>
      <c r="C46" s="50"/>
      <c r="D46" s="58">
        <f>Reports!I39</f>
        <v>460</v>
      </c>
      <c r="E46" s="58">
        <f>Reports!M39</f>
        <v>502</v>
      </c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</row>
    <row r="47" spans="1:116" x14ac:dyDescent="0.15">
      <c r="B47" s="50"/>
      <c r="C47" s="50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</row>
    <row r="48" spans="1:116" x14ac:dyDescent="0.15">
      <c r="A48" s="3" t="s">
        <v>51</v>
      </c>
      <c r="B48" s="50"/>
      <c r="C48" s="50"/>
      <c r="D48" s="61">
        <f>D45-D44-D41</f>
        <v>179</v>
      </c>
      <c r="E48" s="61">
        <f>E45-E44-E41</f>
        <v>177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</row>
    <row r="49" spans="1:116" x14ac:dyDescent="0.15">
      <c r="A49" s="3" t="s">
        <v>52</v>
      </c>
      <c r="B49" s="50"/>
      <c r="C49" s="50"/>
      <c r="D49" s="61">
        <f>D45-D46</f>
        <v>219</v>
      </c>
      <c r="E49" s="61">
        <f>E45-E46</f>
        <v>302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</row>
    <row r="50" spans="1:116" x14ac:dyDescent="0.15">
      <c r="B50" s="50"/>
      <c r="C50" s="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</row>
    <row r="51" spans="1:116" x14ac:dyDescent="0.15">
      <c r="A51" s="19" t="s">
        <v>54</v>
      </c>
      <c r="B51" s="50"/>
      <c r="C51" s="50"/>
      <c r="D51" s="62">
        <f>D26/D49</f>
        <v>-0.6924337899543378</v>
      </c>
      <c r="E51" s="62">
        <f>E26/E49</f>
        <v>-0.25184105960264902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</row>
    <row r="52" spans="1:116" x14ac:dyDescent="0.15">
      <c r="A52" s="19" t="s">
        <v>55</v>
      </c>
      <c r="B52" s="50"/>
      <c r="C52" s="50"/>
      <c r="D52" s="62">
        <f>D26/D45</f>
        <v>-0.22333284241531659</v>
      </c>
      <c r="E52" s="62">
        <f>E26/E45</f>
        <v>-9.4597014925373146E-2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</row>
    <row r="53" spans="1:116" x14ac:dyDescent="0.15">
      <c r="A53" s="19" t="s">
        <v>56</v>
      </c>
      <c r="B53" s="50"/>
      <c r="C53" s="50"/>
      <c r="D53" s="62">
        <f>D26/(D49-D44)</f>
        <v>1.1940393700787399</v>
      </c>
      <c r="E53" s="62">
        <f>E26/(E49-E44)</f>
        <v>0.39204123711340211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</row>
    <row r="54" spans="1:116" x14ac:dyDescent="0.15">
      <c r="A54" s="19" t="s">
        <v>57</v>
      </c>
      <c r="B54" s="50"/>
      <c r="C54" s="50"/>
      <c r="D54" s="62">
        <f>D26/D48</f>
        <v>-0.84716759776536299</v>
      </c>
      <c r="E54" s="62">
        <f>E26/E48</f>
        <v>-0.42969491525423736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</row>
    <row r="55" spans="1:116" x14ac:dyDescent="0.15">
      <c r="B55" s="50"/>
      <c r="C55" s="50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</row>
    <row r="56" spans="1:116" x14ac:dyDescent="0.15">
      <c r="A56" s="3" t="s">
        <v>69</v>
      </c>
      <c r="B56" s="50"/>
      <c r="C56" s="50"/>
      <c r="D56" s="62">
        <f>(D44/D28)/$C$2</f>
        <v>0.14114549671050222</v>
      </c>
      <c r="E56" s="62">
        <f>(E44/E28)/$C$2</f>
        <v>0.18807154268784557</v>
      </c>
      <c r="F56" s="66" t="s">
        <v>70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</row>
    <row r="57" spans="1:116" x14ac:dyDescent="0.15">
      <c r="B57" s="62"/>
      <c r="C57" s="62"/>
      <c r="D57" s="62"/>
      <c r="E57" s="62"/>
      <c r="F57" s="66"/>
      <c r="G57" s="42"/>
      <c r="H57" s="42"/>
      <c r="I57" s="42"/>
      <c r="J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</row>
    <row r="58" spans="1:116" x14ac:dyDescent="0.15">
      <c r="A58" s="3" t="s">
        <v>74</v>
      </c>
      <c r="B58" s="62">
        <f>B26/B18-1</f>
        <v>-3.0121052631578951</v>
      </c>
      <c r="C58" s="62">
        <f t="shared" ref="C58:J58" si="70">C26/C18-1</f>
        <v>-1.4241851851851852</v>
      </c>
      <c r="D58" s="62">
        <f t="shared" si="70"/>
        <v>-2.4305943396226413</v>
      </c>
      <c r="E58" s="62">
        <f t="shared" si="70"/>
        <v>-1.83578021978022</v>
      </c>
      <c r="F58" s="62">
        <f t="shared" si="70"/>
        <v>-1.676900699300699</v>
      </c>
      <c r="G58" s="62">
        <f t="shared" si="70"/>
        <v>-1.5875038125510843</v>
      </c>
      <c r="H58" s="62">
        <f t="shared" si="70"/>
        <v>-1.4818658408698719</v>
      </c>
      <c r="I58" s="62">
        <f t="shared" si="70"/>
        <v>-1.3583440482102387</v>
      </c>
      <c r="J58" s="62">
        <f t="shared" si="70"/>
        <v>-1.2150976430106135</v>
      </c>
      <c r="K58" s="66" t="s">
        <v>76</v>
      </c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</row>
    <row r="59" spans="1:116" x14ac:dyDescent="0.15">
      <c r="A59" s="3" t="s">
        <v>75</v>
      </c>
      <c r="B59" s="67" t="str">
        <f t="shared" ref="B59:J59" si="71">ROUND($C$4/B18,0)&amp;"x"</f>
        <v>70x</v>
      </c>
      <c r="C59" s="67" t="str">
        <f t="shared" si="71"/>
        <v>50x</v>
      </c>
      <c r="D59" s="67" t="str">
        <f t="shared" si="71"/>
        <v>25x</v>
      </c>
      <c r="E59" s="67" t="str">
        <f t="shared" si="71"/>
        <v>29x</v>
      </c>
      <c r="F59" s="67" t="str">
        <f t="shared" si="71"/>
        <v>27x</v>
      </c>
      <c r="G59" s="67" t="str">
        <f t="shared" si="71"/>
        <v>24x</v>
      </c>
      <c r="H59" s="67" t="str">
        <f t="shared" si="71"/>
        <v>22x</v>
      </c>
      <c r="I59" s="67" t="str">
        <f t="shared" si="71"/>
        <v>20x</v>
      </c>
      <c r="J59" s="67" t="str">
        <f t="shared" si="71"/>
        <v>18x</v>
      </c>
      <c r="K59" s="66" t="s">
        <v>77</v>
      </c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</row>
    <row r="60" spans="1:116" x14ac:dyDescent="0.15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</row>
    <row r="61" spans="1:116" x14ac:dyDescent="0.15">
      <c r="A61" s="6" t="s">
        <v>63</v>
      </c>
      <c r="B61" s="62"/>
      <c r="C61" s="62">
        <f t="shared" ref="C61:J61" si="72">C10/B10-1</f>
        <v>5.5370365903663954E-2</v>
      </c>
      <c r="D61" s="62">
        <f t="shared" si="72"/>
        <v>0.162501771242338</v>
      </c>
      <c r="E61" s="62">
        <f t="shared" si="72"/>
        <v>0.20877699312687747</v>
      </c>
      <c r="F61" s="62"/>
      <c r="G61" s="62"/>
      <c r="H61" s="62"/>
      <c r="I61" s="62"/>
      <c r="J61" s="6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</row>
    <row r="62" spans="1:116" x14ac:dyDescent="0.15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</row>
    <row r="63" spans="1:116" s="20" customFormat="1" x14ac:dyDescent="0.15">
      <c r="A63" s="20" t="s">
        <v>87</v>
      </c>
      <c r="B63" s="62"/>
      <c r="C63" s="62"/>
      <c r="D63" s="62">
        <f>D12/C12-1</f>
        <v>6.707068573795083E-2</v>
      </c>
      <c r="E63" s="62">
        <f>E12/D12-1</f>
        <v>0.11472228621968772</v>
      </c>
      <c r="F63" s="62">
        <f t="shared" ref="F63:J63" si="73">F12/E12-1</f>
        <v>0.10000000000000009</v>
      </c>
      <c r="G63" s="62">
        <f t="shared" si="73"/>
        <v>0.10000000000000009</v>
      </c>
      <c r="H63" s="62">
        <f t="shared" si="73"/>
        <v>0.10000000000000009</v>
      </c>
      <c r="I63" s="62">
        <f t="shared" si="73"/>
        <v>0.10000000000000009</v>
      </c>
      <c r="J63" s="62">
        <f t="shared" si="73"/>
        <v>0.10000000000000009</v>
      </c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</row>
    <row r="64" spans="1:116" s="20" customFormat="1" x14ac:dyDescent="0.15">
      <c r="A64" s="20" t="s">
        <v>61</v>
      </c>
      <c r="B64" s="62"/>
      <c r="C64" s="62"/>
      <c r="D64" s="62">
        <f>D13/C13-1</f>
        <v>8.943276840033354E-2</v>
      </c>
      <c r="E64" s="62">
        <f>E13/D13-1</f>
        <v>8.4375012565823582E-2</v>
      </c>
      <c r="F64" s="62">
        <f t="shared" ref="F64:J64" si="74">F13/E13-1</f>
        <v>0.10000000000000009</v>
      </c>
      <c r="G64" s="62">
        <f t="shared" si="74"/>
        <v>0.10000000000000009</v>
      </c>
      <c r="H64" s="62">
        <f t="shared" si="74"/>
        <v>0.10000000000000009</v>
      </c>
      <c r="I64" s="62">
        <f t="shared" si="74"/>
        <v>0.10000000000000009</v>
      </c>
      <c r="J64" s="62">
        <f t="shared" si="74"/>
        <v>0.10000000000000009</v>
      </c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</row>
  </sheetData>
  <hyperlinks>
    <hyperlink ref="A1" r:id="rId1" xr:uid="{00000000-0004-0000-0000-000000000000}"/>
    <hyperlink ref="L4" r:id="rId2" xr:uid="{CBCA994A-BC74-CB48-8009-AD2DE8254A02}"/>
    <hyperlink ref="A7" r:id="rId3" xr:uid="{5F28D0FF-544F-9F48-AA67-54DC3F881655}"/>
    <hyperlink ref="A4" r:id="rId4" xr:uid="{EE3EE51F-D3A9-9849-A765-57FC0C1D4E4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5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Q46" sqref="Q46"/>
    </sheetView>
  </sheetViews>
  <sheetFormatPr baseColWidth="10" defaultRowHeight="13" x14ac:dyDescent="0.15"/>
  <cols>
    <col min="1" max="1" width="20.33203125" style="6" customWidth="1"/>
    <col min="2" max="2" width="10.83203125" style="22"/>
    <col min="3" max="5" width="10.83203125" style="21"/>
    <col min="6" max="6" width="10.83203125" style="22"/>
    <col min="7" max="9" width="10.83203125" style="21"/>
    <col min="10" max="10" width="10.83203125" style="22"/>
    <col min="11" max="13" width="10.83203125" style="21"/>
    <col min="14" max="14" width="10.83203125" style="22"/>
    <col min="15" max="17" width="10.83203125" style="21"/>
    <col min="18" max="16384" width="10.83203125" style="6"/>
  </cols>
  <sheetData>
    <row r="1" spans="1:17" x14ac:dyDescent="0.15">
      <c r="A1" s="68" t="s">
        <v>37</v>
      </c>
      <c r="B1" s="23" t="s">
        <v>0</v>
      </c>
      <c r="C1" s="24" t="s">
        <v>1</v>
      </c>
      <c r="D1" s="24" t="s">
        <v>2</v>
      </c>
      <c r="E1" s="24" t="s">
        <v>3</v>
      </c>
      <c r="F1" s="23" t="s">
        <v>30</v>
      </c>
      <c r="G1" s="24" t="s">
        <v>31</v>
      </c>
      <c r="H1" s="24" t="s">
        <v>32</v>
      </c>
      <c r="I1" s="24" t="s">
        <v>33</v>
      </c>
      <c r="J1" s="23" t="s">
        <v>44</v>
      </c>
      <c r="K1" s="24" t="s">
        <v>45</v>
      </c>
      <c r="L1" s="24" t="s">
        <v>46</v>
      </c>
      <c r="M1" s="24" t="s">
        <v>47</v>
      </c>
      <c r="N1" s="23" t="s">
        <v>65</v>
      </c>
      <c r="O1" s="24" t="s">
        <v>66</v>
      </c>
      <c r="P1" s="24" t="s">
        <v>67</v>
      </c>
      <c r="Q1" s="24" t="s">
        <v>68</v>
      </c>
    </row>
    <row r="2" spans="1:17" s="21" customFormat="1" x14ac:dyDescent="0.15">
      <c r="A2" s="1"/>
      <c r="B2" s="69">
        <v>42825</v>
      </c>
      <c r="C2" s="71">
        <v>42916</v>
      </c>
      <c r="D2" s="72" t="s">
        <v>81</v>
      </c>
      <c r="E2" s="71">
        <v>43100</v>
      </c>
      <c r="F2" s="69">
        <v>43190</v>
      </c>
      <c r="G2" s="71">
        <v>43281</v>
      </c>
      <c r="H2" s="72" t="s">
        <v>80</v>
      </c>
      <c r="I2" s="71">
        <v>43465</v>
      </c>
      <c r="J2" s="69">
        <v>43555</v>
      </c>
      <c r="K2" s="71">
        <v>43646</v>
      </c>
      <c r="L2" s="72" t="s">
        <v>79</v>
      </c>
      <c r="M2" s="71">
        <v>43830</v>
      </c>
      <c r="N2" s="69">
        <v>43921</v>
      </c>
    </row>
    <row r="3" spans="1:17" s="8" customFormat="1" x14ac:dyDescent="0.15">
      <c r="A3" s="70" t="s">
        <v>62</v>
      </c>
      <c r="B3" s="23">
        <v>52.933999999999997</v>
      </c>
      <c r="C3" s="24">
        <v>53.518000000000001</v>
      </c>
      <c r="D3" s="24">
        <v>55.308999999999997</v>
      </c>
      <c r="E3" s="24">
        <v>57.012</v>
      </c>
      <c r="F3" s="23">
        <v>58.491</v>
      </c>
      <c r="G3" s="24">
        <v>62.695999999999998</v>
      </c>
      <c r="H3" s="24">
        <v>65.204999999999998</v>
      </c>
      <c r="I3" s="24">
        <v>67.932000000000002</v>
      </c>
      <c r="J3" s="23">
        <v>68.641000000000005</v>
      </c>
      <c r="K3" s="24">
        <v>75.138999999999996</v>
      </c>
      <c r="L3" s="24">
        <v>79.316999999999993</v>
      </c>
      <c r="M3" s="24">
        <v>84.323999999999998</v>
      </c>
      <c r="N3" s="23">
        <v>88.265000000000001</v>
      </c>
      <c r="O3" s="24"/>
      <c r="P3" s="24"/>
      <c r="Q3" s="24"/>
    </row>
    <row r="4" spans="1:17" x14ac:dyDescent="0.15">
      <c r="B4" s="23"/>
      <c r="C4" s="24"/>
      <c r="D4" s="24"/>
      <c r="E4" s="24"/>
      <c r="G4" s="24"/>
      <c r="H4" s="24"/>
      <c r="I4" s="24"/>
    </row>
    <row r="5" spans="1:17" s="8" customFormat="1" x14ac:dyDescent="0.15">
      <c r="A5" s="8" t="s">
        <v>86</v>
      </c>
      <c r="B5" s="81">
        <f>B55/1000000</f>
        <v>0.59599999999999997</v>
      </c>
      <c r="C5" s="81">
        <f>C55/1000000</f>
        <v>0.59799999999999998</v>
      </c>
      <c r="D5" s="81">
        <f>D55/1000000</f>
        <v>0.6</v>
      </c>
      <c r="E5" s="81">
        <f>E55/1000000</f>
        <v>0.60607699999999998</v>
      </c>
      <c r="F5" s="79">
        <f>F55/1000000</f>
        <v>0.61045700000000003</v>
      </c>
      <c r="G5" s="81">
        <f>G55/1000000</f>
        <v>0.61611099999999996</v>
      </c>
      <c r="H5" s="81">
        <f>H55/1000000</f>
        <v>0.62107100000000004</v>
      </c>
      <c r="I5" s="81">
        <f>I55/1000000</f>
        <v>0.64672700000000005</v>
      </c>
      <c r="J5" s="79">
        <f>J55/1000000</f>
        <v>0.67086199999999996</v>
      </c>
      <c r="K5" s="81">
        <f>K55/1000000</f>
        <v>0.69245500000000004</v>
      </c>
      <c r="L5" s="81">
        <f>L55/1000000</f>
        <v>0.71321699999999999</v>
      </c>
      <c r="M5" s="81">
        <f>M55/1000000</f>
        <v>0.72092100000000003</v>
      </c>
      <c r="N5" s="79">
        <f>N55/1000000</f>
        <v>0.74617999999999995</v>
      </c>
      <c r="O5" s="24"/>
      <c r="P5" s="24"/>
      <c r="Q5" s="24"/>
    </row>
    <row r="6" spans="1:17" s="4" customFormat="1" x14ac:dyDescent="0.15">
      <c r="A6" s="4" t="s">
        <v>60</v>
      </c>
      <c r="B6" s="82">
        <f>B3/B5</f>
        <v>88.81543624161074</v>
      </c>
      <c r="C6" s="82">
        <f>C3/C5</f>
        <v>89.494983277591984</v>
      </c>
      <c r="D6" s="82">
        <f>D3/D5</f>
        <v>92.181666666666672</v>
      </c>
      <c r="E6" s="82">
        <f>E3/E5</f>
        <v>94.067255480739249</v>
      </c>
      <c r="F6" s="80">
        <f>F3/F5</f>
        <v>95.815102456028839</v>
      </c>
      <c r="G6" s="82">
        <f>G3/G5</f>
        <v>101.76088399655258</v>
      </c>
      <c r="H6" s="82">
        <f>H3/H5</f>
        <v>104.98799654145822</v>
      </c>
      <c r="I6" s="82">
        <f>I3/I5</f>
        <v>105.03968444181238</v>
      </c>
      <c r="J6" s="80">
        <f>J3/J5</f>
        <v>102.31761524724908</v>
      </c>
      <c r="K6" s="82">
        <f>K3/K5</f>
        <v>108.51102237690534</v>
      </c>
      <c r="L6" s="82">
        <f>L3/L5</f>
        <v>111.21019269030322</v>
      </c>
      <c r="M6" s="82">
        <f>M3/M5</f>
        <v>116.96704631991577</v>
      </c>
      <c r="N6" s="80">
        <f>N3/N5</f>
        <v>118.28915275134686</v>
      </c>
      <c r="O6" s="48"/>
      <c r="P6" s="48"/>
      <c r="Q6" s="48"/>
    </row>
    <row r="7" spans="1:17" s="45" customFormat="1" x14ac:dyDescent="0.15">
      <c r="B7" s="64"/>
      <c r="F7" s="64"/>
      <c r="J7" s="64"/>
      <c r="N7" s="64"/>
      <c r="O7" s="43" t="s">
        <v>96</v>
      </c>
    </row>
    <row r="8" spans="1:17" s="17" customFormat="1" x14ac:dyDescent="0.15">
      <c r="A8" s="17" t="s">
        <v>4</v>
      </c>
      <c r="B8" s="26">
        <f>B6*B5</f>
        <v>52.933999999999997</v>
      </c>
      <c r="C8" s="26">
        <f>C6*C5</f>
        <v>53.518000000000008</v>
      </c>
      <c r="D8" s="26">
        <f>D6*D5</f>
        <v>55.309000000000005</v>
      </c>
      <c r="E8" s="26">
        <f>E6*E5</f>
        <v>57.012</v>
      </c>
      <c r="F8" s="27">
        <f>F6*F5</f>
        <v>58.491</v>
      </c>
      <c r="G8" s="26">
        <f>G6*G5</f>
        <v>62.696000000000005</v>
      </c>
      <c r="H8" s="26">
        <f>H6*H5</f>
        <v>65.204999999999998</v>
      </c>
      <c r="I8" s="26">
        <f>I6*I5</f>
        <v>67.932000000000002</v>
      </c>
      <c r="J8" s="27">
        <f>J6*J5</f>
        <v>68.641000000000005</v>
      </c>
      <c r="K8" s="26">
        <f>K6*K5</f>
        <v>75.138999999999996</v>
      </c>
      <c r="L8" s="26">
        <f>L6*L5</f>
        <v>79.316999999999993</v>
      </c>
      <c r="M8" s="26">
        <f>M6*M5</f>
        <v>84.323999999999998</v>
      </c>
      <c r="N8" s="27">
        <f>N6*N5</f>
        <v>88.265000000000001</v>
      </c>
      <c r="O8" s="57">
        <v>90</v>
      </c>
      <c r="P8" s="57"/>
      <c r="Q8" s="57"/>
    </row>
    <row r="9" spans="1:17" s="8" customFormat="1" x14ac:dyDescent="0.15">
      <c r="A9" s="8" t="s">
        <v>5</v>
      </c>
      <c r="B9" s="23">
        <v>15.429</v>
      </c>
      <c r="C9" s="24">
        <v>15.413</v>
      </c>
      <c r="D9" s="24">
        <v>16.241</v>
      </c>
      <c r="E9" s="24">
        <v>15.596</v>
      </c>
      <c r="F9" s="23">
        <v>18.062999999999999</v>
      </c>
      <c r="G9" s="24">
        <v>17.690999999999999</v>
      </c>
      <c r="H9" s="24">
        <v>23.213000000000001</v>
      </c>
      <c r="I9" s="24">
        <v>19</v>
      </c>
      <c r="J9" s="23">
        <v>17.53</v>
      </c>
      <c r="K9" s="24">
        <v>19</v>
      </c>
      <c r="L9" s="58">
        <v>19.626000000000001</v>
      </c>
      <c r="M9" s="58">
        <v>20.321000000000002</v>
      </c>
      <c r="N9" s="23">
        <v>19.943999999999999</v>
      </c>
      <c r="O9" s="58"/>
      <c r="P9" s="58"/>
      <c r="Q9" s="58"/>
    </row>
    <row r="10" spans="1:17" s="8" customFormat="1" x14ac:dyDescent="0.15">
      <c r="A10" s="8" t="s">
        <v>6</v>
      </c>
      <c r="B10" s="30">
        <f t="shared" ref="B10:D10" si="0">B8-B9</f>
        <v>37.504999999999995</v>
      </c>
      <c r="C10" s="29">
        <f t="shared" si="0"/>
        <v>38.105000000000004</v>
      </c>
      <c r="D10" s="29">
        <f t="shared" si="0"/>
        <v>39.068000000000005</v>
      </c>
      <c r="E10" s="29">
        <f t="shared" ref="E10" si="1">E8-E9</f>
        <v>41.415999999999997</v>
      </c>
      <c r="F10" s="30">
        <f>F8-F9</f>
        <v>40.427999999999997</v>
      </c>
      <c r="G10" s="29">
        <f>G8-G9</f>
        <v>45.00500000000001</v>
      </c>
      <c r="H10" s="29">
        <f t="shared" ref="H10:J10" si="2">H8-H9</f>
        <v>41.991999999999997</v>
      </c>
      <c r="I10" s="29">
        <f t="shared" si="2"/>
        <v>48.932000000000002</v>
      </c>
      <c r="J10" s="30">
        <f t="shared" si="2"/>
        <v>51.111000000000004</v>
      </c>
      <c r="K10" s="29">
        <f t="shared" ref="K10:M10" si="3">K8-K9</f>
        <v>56.138999999999996</v>
      </c>
      <c r="L10" s="29">
        <f t="shared" si="3"/>
        <v>59.690999999999988</v>
      </c>
      <c r="M10" s="29">
        <f t="shared" si="3"/>
        <v>64.003</v>
      </c>
      <c r="N10" s="30">
        <f t="shared" ref="N10" si="4">N8-N9</f>
        <v>68.320999999999998</v>
      </c>
      <c r="O10" s="58"/>
      <c r="P10" s="58"/>
      <c r="Q10" s="58"/>
    </row>
    <row r="11" spans="1:17" s="8" customFormat="1" x14ac:dyDescent="0.15">
      <c r="A11" s="8" t="s">
        <v>7</v>
      </c>
      <c r="B11" s="23">
        <v>13</v>
      </c>
      <c r="C11" s="24">
        <v>12</v>
      </c>
      <c r="D11" s="24">
        <v>15</v>
      </c>
      <c r="E11" s="24">
        <v>14</v>
      </c>
      <c r="F11" s="23">
        <v>18</v>
      </c>
      <c r="G11" s="24">
        <v>16</v>
      </c>
      <c r="H11" s="24">
        <v>52</v>
      </c>
      <c r="I11" s="24">
        <v>20</v>
      </c>
      <c r="J11" s="23">
        <v>21</v>
      </c>
      <c r="K11" s="24">
        <v>22</v>
      </c>
      <c r="L11" s="58">
        <v>23</v>
      </c>
      <c r="M11" s="58">
        <v>25</v>
      </c>
      <c r="N11" s="23">
        <v>27</v>
      </c>
      <c r="O11" s="58"/>
      <c r="P11" s="58"/>
      <c r="Q11" s="58"/>
    </row>
    <row r="12" spans="1:17" s="8" customFormat="1" x14ac:dyDescent="0.15">
      <c r="A12" s="8" t="s">
        <v>8</v>
      </c>
      <c r="B12" s="23">
        <v>17</v>
      </c>
      <c r="C12" s="24">
        <v>20</v>
      </c>
      <c r="D12" s="24">
        <v>19</v>
      </c>
      <c r="E12" s="24">
        <v>18</v>
      </c>
      <c r="F12" s="23">
        <v>17</v>
      </c>
      <c r="G12" s="24">
        <v>20</v>
      </c>
      <c r="H12" s="24">
        <v>34</v>
      </c>
      <c r="I12" s="24">
        <v>24</v>
      </c>
      <c r="J12" s="23">
        <v>26</v>
      </c>
      <c r="K12" s="24">
        <v>30</v>
      </c>
      <c r="L12" s="58">
        <v>31</v>
      </c>
      <c r="M12" s="58">
        <v>37</v>
      </c>
      <c r="N12" s="23">
        <v>42</v>
      </c>
      <c r="O12" s="58"/>
      <c r="P12" s="58"/>
      <c r="Q12" s="58"/>
    </row>
    <row r="13" spans="1:17" s="8" customFormat="1" x14ac:dyDescent="0.15">
      <c r="A13" s="8" t="s">
        <v>9</v>
      </c>
      <c r="B13" s="23">
        <v>10</v>
      </c>
      <c r="C13" s="24">
        <v>14</v>
      </c>
      <c r="D13" s="24">
        <v>11</v>
      </c>
      <c r="E13" s="24">
        <f>13+2</f>
        <v>15</v>
      </c>
      <c r="F13" s="23">
        <v>13</v>
      </c>
      <c r="G13" s="24">
        <v>13</v>
      </c>
      <c r="H13" s="24">
        <v>50</v>
      </c>
      <c r="I13" s="24">
        <f>21+3</f>
        <v>24</v>
      </c>
      <c r="J13" s="23">
        <v>21</v>
      </c>
      <c r="K13" s="24">
        <v>20</v>
      </c>
      <c r="L13" s="58">
        <v>21</v>
      </c>
      <c r="M13" s="58">
        <v>22</v>
      </c>
      <c r="N13" s="23">
        <v>22</v>
      </c>
      <c r="O13" s="58"/>
      <c r="P13" s="58"/>
      <c r="Q13" s="58"/>
    </row>
    <row r="14" spans="1:17" s="8" customFormat="1" x14ac:dyDescent="0.15">
      <c r="A14" s="8" t="s">
        <v>10</v>
      </c>
      <c r="B14" s="30">
        <f t="shared" ref="B14:D14" si="5">SUM(B11:B13)</f>
        <v>40</v>
      </c>
      <c r="C14" s="29">
        <f t="shared" si="5"/>
        <v>46</v>
      </c>
      <c r="D14" s="29">
        <f t="shared" si="5"/>
        <v>45</v>
      </c>
      <c r="E14" s="29">
        <f t="shared" ref="E14:F14" si="6">SUM(E11:E13)</f>
        <v>47</v>
      </c>
      <c r="F14" s="30">
        <f t="shared" si="6"/>
        <v>48</v>
      </c>
      <c r="G14" s="29">
        <f t="shared" ref="G14:H14" si="7">SUM(G11:G13)</f>
        <v>49</v>
      </c>
      <c r="H14" s="29">
        <f t="shared" si="7"/>
        <v>136</v>
      </c>
      <c r="I14" s="29">
        <f t="shared" ref="I14:K14" si="8">SUM(I11:I13)</f>
        <v>68</v>
      </c>
      <c r="J14" s="30">
        <f t="shared" si="8"/>
        <v>68</v>
      </c>
      <c r="K14" s="29">
        <f t="shared" si="8"/>
        <v>72</v>
      </c>
      <c r="L14" s="29">
        <f t="shared" ref="L14:M14" si="9">SUM(L11:L13)</f>
        <v>75</v>
      </c>
      <c r="M14" s="29">
        <f t="shared" si="9"/>
        <v>84</v>
      </c>
      <c r="N14" s="30">
        <f t="shared" ref="N14" si="10">SUM(N11:N13)</f>
        <v>91</v>
      </c>
      <c r="O14" s="58"/>
      <c r="P14" s="58"/>
      <c r="Q14" s="58"/>
    </row>
    <row r="15" spans="1:17" s="8" customFormat="1" x14ac:dyDescent="0.15">
      <c r="A15" s="8" t="s">
        <v>11</v>
      </c>
      <c r="B15" s="30">
        <f t="shared" ref="B15:H15" si="11">B10-B14</f>
        <v>-2.4950000000000045</v>
      </c>
      <c r="C15" s="29">
        <f t="shared" si="11"/>
        <v>-7.894999999999996</v>
      </c>
      <c r="D15" s="29">
        <f t="shared" si="11"/>
        <v>-5.9319999999999951</v>
      </c>
      <c r="E15" s="29">
        <f t="shared" si="11"/>
        <v>-5.5840000000000032</v>
      </c>
      <c r="F15" s="30">
        <f t="shared" si="11"/>
        <v>-7.5720000000000027</v>
      </c>
      <c r="G15" s="29">
        <f t="shared" si="11"/>
        <v>-3.9949999999999903</v>
      </c>
      <c r="H15" s="29">
        <f t="shared" si="11"/>
        <v>-94.00800000000001</v>
      </c>
      <c r="I15" s="29">
        <f t="shared" ref="I15:K15" si="12">I10-I14</f>
        <v>-19.067999999999998</v>
      </c>
      <c r="J15" s="30">
        <f t="shared" si="12"/>
        <v>-16.888999999999996</v>
      </c>
      <c r="K15" s="29">
        <f t="shared" si="12"/>
        <v>-15.861000000000004</v>
      </c>
      <c r="L15" s="29">
        <f t="shared" ref="L15:M15" si="13">L10-L14</f>
        <v>-15.309000000000012</v>
      </c>
      <c r="M15" s="29">
        <f t="shared" si="13"/>
        <v>-19.997</v>
      </c>
      <c r="N15" s="30">
        <f t="shared" ref="N15" si="14">N10-N14</f>
        <v>-22.679000000000002</v>
      </c>
      <c r="O15" s="58"/>
      <c r="P15" s="58"/>
      <c r="Q15" s="58"/>
    </row>
    <row r="16" spans="1:17" s="8" customFormat="1" x14ac:dyDescent="0.15">
      <c r="A16" s="8" t="s">
        <v>12</v>
      </c>
      <c r="B16" s="23">
        <f>-7+7</f>
        <v>0</v>
      </c>
      <c r="C16" s="24">
        <f>-7+0</f>
        <v>-7</v>
      </c>
      <c r="D16" s="24">
        <f>-7+1</f>
        <v>-6</v>
      </c>
      <c r="E16" s="24">
        <f>-7+0</f>
        <v>-7</v>
      </c>
      <c r="F16" s="23">
        <f>-7+1</f>
        <v>-6</v>
      </c>
      <c r="G16" s="24">
        <f>-8+0</f>
        <v>-8</v>
      </c>
      <c r="H16" s="24">
        <f>-7+0</f>
        <v>-7</v>
      </c>
      <c r="I16" s="24">
        <f>-6+0</f>
        <v>-6</v>
      </c>
      <c r="J16" s="23">
        <v>-2</v>
      </c>
      <c r="K16" s="24">
        <f>+-4+1</f>
        <v>-3</v>
      </c>
      <c r="L16" s="58">
        <f>-4+1</f>
        <v>-3</v>
      </c>
      <c r="M16" s="58">
        <f>-3+1</f>
        <v>-2</v>
      </c>
      <c r="N16" s="23">
        <v>-1</v>
      </c>
      <c r="O16" s="58"/>
      <c r="P16" s="58"/>
      <c r="Q16" s="58"/>
    </row>
    <row r="17" spans="1:17" s="8" customFormat="1" x14ac:dyDescent="0.15">
      <c r="A17" s="8" t="s">
        <v>13</v>
      </c>
      <c r="B17" s="30">
        <f t="shared" ref="B17:C17" si="15">B15+B16</f>
        <v>-2.4950000000000045</v>
      </c>
      <c r="C17" s="29">
        <f t="shared" si="15"/>
        <v>-14.894999999999996</v>
      </c>
      <c r="D17" s="29">
        <f t="shared" ref="D17:F17" si="16">D15+D16</f>
        <v>-11.931999999999995</v>
      </c>
      <c r="E17" s="29">
        <f>E15+E16</f>
        <v>-12.584000000000003</v>
      </c>
      <c r="F17" s="30">
        <f t="shared" si="16"/>
        <v>-13.572000000000003</v>
      </c>
      <c r="G17" s="29">
        <f t="shared" ref="G17" si="17">G15+G16</f>
        <v>-11.99499999999999</v>
      </c>
      <c r="H17" s="29">
        <f t="shared" ref="H17:L17" si="18">H15+H16</f>
        <v>-101.00800000000001</v>
      </c>
      <c r="I17" s="29">
        <f t="shared" si="18"/>
        <v>-25.067999999999998</v>
      </c>
      <c r="J17" s="30">
        <f t="shared" si="18"/>
        <v>-18.888999999999996</v>
      </c>
      <c r="K17" s="29">
        <f t="shared" si="18"/>
        <v>-18.861000000000004</v>
      </c>
      <c r="L17" s="29">
        <f t="shared" si="18"/>
        <v>-18.309000000000012</v>
      </c>
      <c r="M17" s="29">
        <f t="shared" ref="M17" si="19">M15+M16</f>
        <v>-21.997</v>
      </c>
      <c r="N17" s="30">
        <f t="shared" ref="N17" si="20">N15+N16</f>
        <v>-23.679000000000002</v>
      </c>
      <c r="O17" s="58"/>
      <c r="P17" s="58"/>
      <c r="Q17" s="58"/>
    </row>
    <row r="18" spans="1:17" s="8" customFormat="1" x14ac:dyDescent="0.15">
      <c r="A18" s="8" t="s">
        <v>14</v>
      </c>
      <c r="B18" s="23">
        <v>1</v>
      </c>
      <c r="C18" s="24">
        <v>-1</v>
      </c>
      <c r="D18" s="24">
        <v>1</v>
      </c>
      <c r="E18" s="24">
        <v>-20</v>
      </c>
      <c r="F18" s="23">
        <v>0</v>
      </c>
      <c r="G18" s="24">
        <v>0</v>
      </c>
      <c r="H18" s="24">
        <v>0</v>
      </c>
      <c r="I18" s="24">
        <v>0</v>
      </c>
      <c r="J18" s="23">
        <v>0</v>
      </c>
      <c r="K18" s="24">
        <v>0</v>
      </c>
      <c r="L18" s="24">
        <v>-1</v>
      </c>
      <c r="M18" s="24">
        <v>-1</v>
      </c>
      <c r="N18" s="23">
        <v>0</v>
      </c>
      <c r="O18" s="24"/>
      <c r="P18" s="24"/>
      <c r="Q18" s="24"/>
    </row>
    <row r="19" spans="1:17" s="17" customFormat="1" x14ac:dyDescent="0.15">
      <c r="A19" s="17" t="s">
        <v>15</v>
      </c>
      <c r="B19" s="27">
        <f t="shared" ref="B19:N19" si="21">B17-B18</f>
        <v>-3.4950000000000045</v>
      </c>
      <c r="C19" s="26">
        <f t="shared" si="21"/>
        <v>-13.894999999999996</v>
      </c>
      <c r="D19" s="26">
        <f t="shared" si="21"/>
        <v>-12.931999999999995</v>
      </c>
      <c r="E19" s="26">
        <f t="shared" si="21"/>
        <v>7.4159999999999968</v>
      </c>
      <c r="F19" s="27">
        <f t="shared" si="21"/>
        <v>-13.572000000000003</v>
      </c>
      <c r="G19" s="26">
        <f t="shared" si="21"/>
        <v>-11.99499999999999</v>
      </c>
      <c r="H19" s="26">
        <f t="shared" si="21"/>
        <v>-101.00800000000001</v>
      </c>
      <c r="I19" s="26">
        <f t="shared" si="21"/>
        <v>-25.067999999999998</v>
      </c>
      <c r="J19" s="27">
        <f t="shared" si="21"/>
        <v>-18.888999999999996</v>
      </c>
      <c r="K19" s="26">
        <f t="shared" si="21"/>
        <v>-18.861000000000004</v>
      </c>
      <c r="L19" s="26">
        <f t="shared" si="21"/>
        <v>-17.309000000000012</v>
      </c>
      <c r="M19" s="26">
        <f t="shared" si="21"/>
        <v>-20.997</v>
      </c>
      <c r="N19" s="27">
        <f t="shared" si="21"/>
        <v>-23.679000000000002</v>
      </c>
      <c r="O19" s="57"/>
      <c r="P19" s="57"/>
      <c r="Q19" s="57"/>
    </row>
    <row r="20" spans="1:17" x14ac:dyDescent="0.15">
      <c r="A20" s="6" t="s">
        <v>16</v>
      </c>
      <c r="B20" s="32">
        <f t="shared" ref="B20:D20" si="22">IFERROR(B19/B21,0)</f>
        <v>0</v>
      </c>
      <c r="C20" s="31">
        <f t="shared" si="22"/>
        <v>0</v>
      </c>
      <c r="D20" s="31">
        <f t="shared" si="22"/>
        <v>-0.12856915612821118</v>
      </c>
      <c r="E20" s="31">
        <f t="shared" ref="E20" si="23">IFERROR(E19/E21,0)</f>
        <v>7.2562180779241078E-2</v>
      </c>
      <c r="F20" s="32">
        <f t="shared" ref="F20:K20" si="24">IFERROR(F19/F21,0)</f>
        <v>-0.13409477137098369</v>
      </c>
      <c r="G20" s="31">
        <f t="shared" si="24"/>
        <v>-0.1180343032581206</v>
      </c>
      <c r="H20" s="31">
        <f t="shared" si="24"/>
        <v>-0.97974703189260504</v>
      </c>
      <c r="I20" s="31">
        <f t="shared" si="24"/>
        <v>-0.19981826007939163</v>
      </c>
      <c r="J20" s="32">
        <f t="shared" si="24"/>
        <v>-0.14898332623475774</v>
      </c>
      <c r="K20" s="31">
        <f t="shared" si="24"/>
        <v>-0.14386837428203117</v>
      </c>
      <c r="L20" s="31">
        <f t="shared" ref="L20:M20" si="25">IFERROR(L19/L21,0)</f>
        <v>-0.12973609060314661</v>
      </c>
      <c r="M20" s="31">
        <f t="shared" si="25"/>
        <v>-0.15556905659818182</v>
      </c>
      <c r="N20" s="32">
        <f t="shared" ref="N20" si="26">IFERROR(N19/N21,0)</f>
        <v>-0.1729517715888424</v>
      </c>
      <c r="O20" s="63"/>
      <c r="P20" s="63"/>
      <c r="Q20" s="63"/>
    </row>
    <row r="21" spans="1:17" s="8" customFormat="1" x14ac:dyDescent="0.15">
      <c r="A21" s="8" t="s">
        <v>17</v>
      </c>
      <c r="B21" s="23"/>
      <c r="C21" s="24"/>
      <c r="D21" s="24">
        <v>100.584</v>
      </c>
      <c r="E21" s="24">
        <v>102.202</v>
      </c>
      <c r="F21" s="23">
        <v>101.212</v>
      </c>
      <c r="G21" s="24">
        <v>101.623</v>
      </c>
      <c r="H21" s="24">
        <v>103.096</v>
      </c>
      <c r="I21" s="24">
        <v>125.45399999999999</v>
      </c>
      <c r="J21" s="23">
        <v>126.786</v>
      </c>
      <c r="K21" s="24">
        <v>131.09899999999999</v>
      </c>
      <c r="L21" s="58">
        <v>133.417</v>
      </c>
      <c r="M21" s="58">
        <v>134.96899999999999</v>
      </c>
      <c r="N21" s="23">
        <v>136.911</v>
      </c>
      <c r="O21" s="58"/>
      <c r="P21" s="58"/>
      <c r="Q21" s="58"/>
    </row>
    <row r="22" spans="1:17" s="45" customFormat="1" x14ac:dyDescent="0.15">
      <c r="B22" s="44"/>
      <c r="C22" s="43"/>
      <c r="D22" s="43"/>
      <c r="E22" s="43"/>
      <c r="F22" s="64"/>
      <c r="I22" s="43"/>
      <c r="J22" s="64"/>
      <c r="N22" s="64"/>
    </row>
    <row r="23" spans="1:17" x14ac:dyDescent="0.15">
      <c r="A23" s="6" t="s">
        <v>19</v>
      </c>
      <c r="B23" s="38">
        <f t="shared" ref="B23:N23" si="27">IFERROR(B10/B8,0)</f>
        <v>0.70852382211810927</v>
      </c>
      <c r="C23" s="37">
        <f t="shared" si="27"/>
        <v>0.71200343809559397</v>
      </c>
      <c r="D23" s="37">
        <f t="shared" si="27"/>
        <v>0.70635882044513554</v>
      </c>
      <c r="E23" s="37">
        <f t="shared" si="27"/>
        <v>0.72644355574265063</v>
      </c>
      <c r="F23" s="38">
        <f t="shared" si="27"/>
        <v>0.69118325896291732</v>
      </c>
      <c r="G23" s="37">
        <f t="shared" si="27"/>
        <v>0.71782888860533378</v>
      </c>
      <c r="H23" s="37">
        <f t="shared" si="27"/>
        <v>0.64399969327505557</v>
      </c>
      <c r="I23" s="37">
        <f t="shared" si="27"/>
        <v>0.72030854383795562</v>
      </c>
      <c r="J23" s="38">
        <f t="shared" si="27"/>
        <v>0.7446132777785871</v>
      </c>
      <c r="K23" s="37">
        <f t="shared" si="27"/>
        <v>0.74713530922689941</v>
      </c>
      <c r="L23" s="37">
        <f t="shared" si="27"/>
        <v>0.75256250236393196</v>
      </c>
      <c r="M23" s="37">
        <f t="shared" si="27"/>
        <v>0.75901285517764816</v>
      </c>
      <c r="N23" s="38">
        <f t="shared" si="27"/>
        <v>0.7740440718291508</v>
      </c>
      <c r="O23" s="37"/>
      <c r="P23" s="37"/>
      <c r="Q23" s="37"/>
    </row>
    <row r="24" spans="1:17" x14ac:dyDescent="0.15">
      <c r="A24" s="6" t="s">
        <v>20</v>
      </c>
      <c r="B24" s="40">
        <f t="shared" ref="B24:N24" si="28">IFERROR(B15/B8,0)</f>
        <v>-4.7134167075981497E-2</v>
      </c>
      <c r="C24" s="39">
        <f t="shared" si="28"/>
        <v>-0.14752046040584466</v>
      </c>
      <c r="D24" s="39">
        <f t="shared" si="28"/>
        <v>-0.10725198430635149</v>
      </c>
      <c r="E24" s="39">
        <f t="shared" si="28"/>
        <v>-9.7944292429663987E-2</v>
      </c>
      <c r="F24" s="40">
        <f t="shared" si="28"/>
        <v>-0.12945581371493056</v>
      </c>
      <c r="G24" s="39">
        <f t="shared" si="28"/>
        <v>-6.3720173535791597E-2</v>
      </c>
      <c r="H24" s="39">
        <f t="shared" si="28"/>
        <v>-1.4417299286864507</v>
      </c>
      <c r="I24" s="39">
        <f t="shared" si="28"/>
        <v>-0.28069245716304536</v>
      </c>
      <c r="J24" s="40">
        <f t="shared" si="28"/>
        <v>-0.24604828018239819</v>
      </c>
      <c r="K24" s="39">
        <f t="shared" si="28"/>
        <v>-0.21108878212379731</v>
      </c>
      <c r="L24" s="39">
        <f t="shared" si="28"/>
        <v>-0.19301032565528214</v>
      </c>
      <c r="M24" s="39">
        <f t="shared" si="28"/>
        <v>-0.23714482235188084</v>
      </c>
      <c r="N24" s="40">
        <f t="shared" si="28"/>
        <v>-0.25694216280518895</v>
      </c>
      <c r="O24" s="39"/>
      <c r="P24" s="39"/>
      <c r="Q24" s="39"/>
    </row>
    <row r="25" spans="1:17" x14ac:dyDescent="0.15">
      <c r="A25" s="6" t="s">
        <v>21</v>
      </c>
      <c r="B25" s="40">
        <f t="shared" ref="B25:N25" si="29">IFERROR(B18/B17,0)</f>
        <v>-0.40080160320641212</v>
      </c>
      <c r="C25" s="39">
        <f t="shared" si="29"/>
        <v>6.7136623027861719E-2</v>
      </c>
      <c r="D25" s="39">
        <f t="shared" si="29"/>
        <v>-8.3808246731478409E-2</v>
      </c>
      <c r="E25" s="39">
        <f t="shared" si="29"/>
        <v>1.5893197711379525</v>
      </c>
      <c r="F25" s="40">
        <f t="shared" si="29"/>
        <v>0</v>
      </c>
      <c r="G25" s="39">
        <f t="shared" si="29"/>
        <v>0</v>
      </c>
      <c r="H25" s="39">
        <f t="shared" si="29"/>
        <v>0</v>
      </c>
      <c r="I25" s="39">
        <f t="shared" si="29"/>
        <v>0</v>
      </c>
      <c r="J25" s="40">
        <f t="shared" si="29"/>
        <v>0</v>
      </c>
      <c r="K25" s="39">
        <f t="shared" si="29"/>
        <v>0</v>
      </c>
      <c r="L25" s="39">
        <f t="shared" si="29"/>
        <v>5.461794745753451E-2</v>
      </c>
      <c r="M25" s="39">
        <f t="shared" si="29"/>
        <v>4.5460744646997321E-2</v>
      </c>
      <c r="N25" s="40">
        <f t="shared" si="29"/>
        <v>0</v>
      </c>
      <c r="O25" s="39"/>
      <c r="P25" s="39"/>
      <c r="Q25" s="39"/>
    </row>
    <row r="26" spans="1:17" s="45" customFormat="1" x14ac:dyDescent="0.15">
      <c r="B26" s="44"/>
      <c r="C26" s="43"/>
      <c r="D26" s="43"/>
      <c r="E26" s="43"/>
      <c r="F26" s="64"/>
      <c r="I26" s="43"/>
      <c r="J26" s="64"/>
      <c r="N26" s="64"/>
      <c r="O26" s="50"/>
    </row>
    <row r="27" spans="1:17" s="12" customFormat="1" x14ac:dyDescent="0.15">
      <c r="A27" s="12" t="s">
        <v>18</v>
      </c>
      <c r="B27" s="34"/>
      <c r="C27" s="33"/>
      <c r="D27" s="33"/>
      <c r="E27" s="33"/>
      <c r="F27" s="34">
        <f>IFERROR((F8/B8)-1,0)</f>
        <v>0.10497978614878911</v>
      </c>
      <c r="G27" s="33">
        <f>IFERROR((G8/C8)-1,0)</f>
        <v>0.17149370305317824</v>
      </c>
      <c r="H27" s="33">
        <f>IFERROR((H8/D8)-1,0)</f>
        <v>0.17892205608490475</v>
      </c>
      <c r="I27" s="33">
        <f>IFERROR((I8/E8)-1,0)</f>
        <v>0.19153862344769523</v>
      </c>
      <c r="J27" s="34">
        <f>IFERROR((J8/F8)-1,0)</f>
        <v>0.17353097057667011</v>
      </c>
      <c r="K27" s="33">
        <f>IFERROR((K8/G8)-1,0)</f>
        <v>0.19846561184126554</v>
      </c>
      <c r="L27" s="33">
        <f>IFERROR((L8/H8)-1,0)</f>
        <v>0.21642512077294684</v>
      </c>
      <c r="M27" s="33">
        <f>IFERROR((M8/I8)-1,0)</f>
        <v>0.24130012365306475</v>
      </c>
      <c r="N27" s="34">
        <f>IFERROR((N8/J8)-1,0)</f>
        <v>0.28589327078568183</v>
      </c>
      <c r="O27" s="33">
        <f>IFERROR((O8/K8)-1,0)</f>
        <v>0.19778011418837105</v>
      </c>
      <c r="P27" s="33"/>
      <c r="Q27" s="33"/>
    </row>
    <row r="28" spans="1:17" s="12" customFormat="1" x14ac:dyDescent="0.15">
      <c r="A28" s="6" t="s">
        <v>34</v>
      </c>
      <c r="B28" s="36"/>
      <c r="C28" s="35"/>
      <c r="D28" s="35"/>
      <c r="E28" s="35"/>
      <c r="F28" s="36">
        <f t="shared" ref="F28:N31" si="30">F11/B11-1</f>
        <v>0.38461538461538458</v>
      </c>
      <c r="G28" s="35">
        <f t="shared" si="30"/>
        <v>0.33333333333333326</v>
      </c>
      <c r="H28" s="35">
        <f t="shared" si="30"/>
        <v>2.4666666666666668</v>
      </c>
      <c r="I28" s="35">
        <f t="shared" si="30"/>
        <v>0.4285714285714286</v>
      </c>
      <c r="J28" s="36">
        <f t="shared" si="30"/>
        <v>0.16666666666666674</v>
      </c>
      <c r="K28" s="35">
        <f t="shared" si="30"/>
        <v>0.375</v>
      </c>
      <c r="L28" s="35">
        <f t="shared" si="30"/>
        <v>-0.55769230769230771</v>
      </c>
      <c r="M28" s="35">
        <f t="shared" si="30"/>
        <v>0.25</v>
      </c>
      <c r="N28" s="36">
        <f t="shared" si="30"/>
        <v>0.28571428571428581</v>
      </c>
      <c r="O28" s="35"/>
      <c r="P28" s="35"/>
      <c r="Q28" s="35"/>
    </row>
    <row r="29" spans="1:17" s="12" customFormat="1" x14ac:dyDescent="0.15">
      <c r="A29" s="6" t="s">
        <v>35</v>
      </c>
      <c r="B29" s="36"/>
      <c r="C29" s="35"/>
      <c r="D29" s="35"/>
      <c r="E29" s="35"/>
      <c r="F29" s="36">
        <f t="shared" si="30"/>
        <v>0</v>
      </c>
      <c r="G29" s="35">
        <f t="shared" si="30"/>
        <v>0</v>
      </c>
      <c r="H29" s="35">
        <f t="shared" si="30"/>
        <v>0.78947368421052633</v>
      </c>
      <c r="I29" s="35">
        <f t="shared" si="30"/>
        <v>0.33333333333333326</v>
      </c>
      <c r="J29" s="36">
        <f t="shared" si="30"/>
        <v>0.52941176470588225</v>
      </c>
      <c r="K29" s="35">
        <f t="shared" si="30"/>
        <v>0.5</v>
      </c>
      <c r="L29" s="35">
        <f t="shared" si="30"/>
        <v>-8.8235294117647078E-2</v>
      </c>
      <c r="M29" s="35">
        <f t="shared" si="30"/>
        <v>0.54166666666666674</v>
      </c>
      <c r="N29" s="36">
        <f t="shared" si="30"/>
        <v>0.61538461538461542</v>
      </c>
      <c r="O29" s="35"/>
      <c r="P29" s="35"/>
      <c r="Q29" s="35"/>
    </row>
    <row r="30" spans="1:17" s="12" customFormat="1" x14ac:dyDescent="0.15">
      <c r="A30" s="6" t="s">
        <v>36</v>
      </c>
      <c r="B30" s="36"/>
      <c r="C30" s="35"/>
      <c r="D30" s="35"/>
      <c r="E30" s="35"/>
      <c r="F30" s="36">
        <f t="shared" si="30"/>
        <v>0.30000000000000004</v>
      </c>
      <c r="G30" s="35">
        <f t="shared" si="30"/>
        <v>-7.1428571428571397E-2</v>
      </c>
      <c r="H30" s="35">
        <f t="shared" si="30"/>
        <v>3.5454545454545459</v>
      </c>
      <c r="I30" s="35">
        <f t="shared" si="30"/>
        <v>0.60000000000000009</v>
      </c>
      <c r="J30" s="36">
        <f t="shared" si="30"/>
        <v>0.61538461538461542</v>
      </c>
      <c r="K30" s="35">
        <f t="shared" si="30"/>
        <v>0.53846153846153855</v>
      </c>
      <c r="L30" s="35">
        <f t="shared" si="30"/>
        <v>-0.58000000000000007</v>
      </c>
      <c r="M30" s="35">
        <f t="shared" si="30"/>
        <v>-8.333333333333337E-2</v>
      </c>
      <c r="N30" s="36">
        <f t="shared" si="30"/>
        <v>4.7619047619047672E-2</v>
      </c>
      <c r="O30" s="35"/>
      <c r="P30" s="35"/>
      <c r="Q30" s="35"/>
    </row>
    <row r="31" spans="1:17" x14ac:dyDescent="0.15">
      <c r="A31" s="6" t="s">
        <v>64</v>
      </c>
      <c r="B31" s="38"/>
      <c r="C31" s="37"/>
      <c r="D31" s="37"/>
      <c r="E31" s="37"/>
      <c r="F31" s="38">
        <f t="shared" si="30"/>
        <v>0.19999999999999996</v>
      </c>
      <c r="G31" s="37">
        <f t="shared" si="30"/>
        <v>6.5217391304347894E-2</v>
      </c>
      <c r="H31" s="37">
        <f t="shared" si="30"/>
        <v>2.0222222222222221</v>
      </c>
      <c r="I31" s="37">
        <f t="shared" si="30"/>
        <v>0.44680851063829796</v>
      </c>
      <c r="J31" s="38">
        <f t="shared" si="30"/>
        <v>0.41666666666666674</v>
      </c>
      <c r="K31" s="37">
        <f t="shared" si="30"/>
        <v>0.46938775510204089</v>
      </c>
      <c r="L31" s="37">
        <f t="shared" si="30"/>
        <v>-0.44852941176470584</v>
      </c>
      <c r="M31" s="37">
        <f t="shared" si="30"/>
        <v>0.23529411764705888</v>
      </c>
      <c r="N31" s="38">
        <f t="shared" si="30"/>
        <v>0.33823529411764697</v>
      </c>
      <c r="O31" s="37"/>
      <c r="P31" s="37"/>
      <c r="Q31" s="37"/>
    </row>
    <row r="32" spans="1:17" x14ac:dyDescent="0.15">
      <c r="B32" s="51"/>
      <c r="C32" s="50"/>
      <c r="D32" s="50"/>
      <c r="E32" s="50"/>
      <c r="F32" s="51"/>
      <c r="G32" s="50"/>
      <c r="H32" s="50"/>
      <c r="I32" s="50"/>
      <c r="K32" s="50"/>
    </row>
    <row r="33" spans="1:17" s="12" customFormat="1" x14ac:dyDescent="0.15">
      <c r="A33" s="12" t="s">
        <v>22</v>
      </c>
      <c r="B33" s="23"/>
      <c r="C33" s="24"/>
      <c r="D33" s="24"/>
      <c r="E33" s="26">
        <f t="shared" ref="E33" si="31">E34-E35</f>
        <v>-283</v>
      </c>
      <c r="F33" s="51"/>
      <c r="G33" s="50"/>
      <c r="H33" s="26">
        <f t="shared" ref="H33" si="32">H34-H35</f>
        <v>-60</v>
      </c>
      <c r="I33" s="26">
        <f t="shared" ref="I33:J33" si="33">I34-I35</f>
        <v>-64</v>
      </c>
      <c r="J33" s="27">
        <f t="shared" si="33"/>
        <v>-51</v>
      </c>
      <c r="K33" s="26">
        <f t="shared" ref="K33:L33" si="34">K34-K35</f>
        <v>-62</v>
      </c>
      <c r="L33" s="26">
        <f t="shared" si="34"/>
        <v>-100</v>
      </c>
      <c r="M33" s="26">
        <f t="shared" ref="M33" si="35">M34-M35</f>
        <v>-85</v>
      </c>
      <c r="N33" s="27">
        <f t="shared" ref="N33" si="36">N34-N35</f>
        <v>-70</v>
      </c>
      <c r="O33" s="52"/>
      <c r="P33" s="52"/>
      <c r="Q33" s="52"/>
    </row>
    <row r="34" spans="1:17" x14ac:dyDescent="0.15">
      <c r="A34" s="6" t="s">
        <v>23</v>
      </c>
      <c r="B34" s="23"/>
      <c r="C34" s="24"/>
      <c r="D34" s="24"/>
      <c r="E34" s="24">
        <v>35</v>
      </c>
      <c r="F34" s="51"/>
      <c r="G34" s="50"/>
      <c r="H34" s="24">
        <v>257</v>
      </c>
      <c r="I34" s="24">
        <v>154</v>
      </c>
      <c r="J34" s="23">
        <v>166</v>
      </c>
      <c r="K34" s="24">
        <v>155</v>
      </c>
      <c r="L34" s="24">
        <v>116</v>
      </c>
      <c r="M34" s="24">
        <v>131</v>
      </c>
      <c r="N34" s="23">
        <v>145</v>
      </c>
    </row>
    <row r="35" spans="1:17" x14ac:dyDescent="0.15">
      <c r="A35" s="6" t="s">
        <v>24</v>
      </c>
      <c r="B35" s="23"/>
      <c r="C35" s="24"/>
      <c r="D35" s="24"/>
      <c r="E35" s="24">
        <f>2+316</f>
        <v>318</v>
      </c>
      <c r="F35" s="51"/>
      <c r="G35" s="50"/>
      <c r="H35" s="24">
        <f>103+214</f>
        <v>317</v>
      </c>
      <c r="I35" s="24">
        <f>2+216</f>
        <v>218</v>
      </c>
      <c r="J35" s="23">
        <f>2+215</f>
        <v>217</v>
      </c>
      <c r="K35" s="24">
        <f>2+215</f>
        <v>217</v>
      </c>
      <c r="L35" s="24">
        <f>2+214</f>
        <v>216</v>
      </c>
      <c r="M35" s="24">
        <f>2+214</f>
        <v>216</v>
      </c>
      <c r="N35" s="23">
        <f>2+213</f>
        <v>215</v>
      </c>
    </row>
    <row r="36" spans="1:17" x14ac:dyDescent="0.15">
      <c r="B36" s="23"/>
      <c r="C36" s="24"/>
      <c r="D36" s="24"/>
      <c r="F36" s="51"/>
      <c r="G36" s="50"/>
    </row>
    <row r="37" spans="1:17" x14ac:dyDescent="0.15">
      <c r="A37" s="19" t="s">
        <v>48</v>
      </c>
      <c r="B37" s="23"/>
      <c r="C37" s="24"/>
      <c r="D37" s="24"/>
      <c r="E37" s="24">
        <f>14+337</f>
        <v>351</v>
      </c>
      <c r="F37" s="51"/>
      <c r="G37" s="50"/>
      <c r="H37" s="24">
        <f>10+337</f>
        <v>347</v>
      </c>
      <c r="I37" s="24">
        <f>9+337</f>
        <v>346</v>
      </c>
      <c r="J37" s="23">
        <f>8+337</f>
        <v>345</v>
      </c>
      <c r="K37" s="24">
        <f>21+410</f>
        <v>431</v>
      </c>
      <c r="L37" s="24">
        <f>36+461</f>
        <v>497</v>
      </c>
      <c r="M37" s="24">
        <f>33+463</f>
        <v>496</v>
      </c>
      <c r="N37" s="23">
        <f>30+461</f>
        <v>491</v>
      </c>
    </row>
    <row r="38" spans="1:17" x14ac:dyDescent="0.15">
      <c r="A38" s="19" t="s">
        <v>49</v>
      </c>
      <c r="B38" s="23"/>
      <c r="C38" s="24"/>
      <c r="D38" s="24"/>
      <c r="E38" s="24">
        <v>578</v>
      </c>
      <c r="F38" s="51"/>
      <c r="G38" s="50"/>
      <c r="H38" s="24">
        <v>790</v>
      </c>
      <c r="I38" s="24">
        <v>679</v>
      </c>
      <c r="J38" s="23">
        <v>688</v>
      </c>
      <c r="K38" s="24">
        <v>761</v>
      </c>
      <c r="L38" s="24">
        <v>788</v>
      </c>
      <c r="M38" s="24">
        <v>804</v>
      </c>
      <c r="N38" s="23">
        <v>807</v>
      </c>
    </row>
    <row r="39" spans="1:17" x14ac:dyDescent="0.15">
      <c r="A39" s="19" t="s">
        <v>50</v>
      </c>
      <c r="B39" s="23"/>
      <c r="C39" s="24"/>
      <c r="D39" s="24"/>
      <c r="E39" s="24">
        <v>538</v>
      </c>
      <c r="F39" s="51"/>
      <c r="G39" s="50"/>
      <c r="H39" s="24">
        <v>563</v>
      </c>
      <c r="I39" s="24">
        <v>460</v>
      </c>
      <c r="J39" s="23">
        <v>453</v>
      </c>
      <c r="K39" s="24">
        <v>472</v>
      </c>
      <c r="L39" s="24">
        <v>492</v>
      </c>
      <c r="M39" s="24">
        <v>502</v>
      </c>
      <c r="N39" s="23">
        <v>500</v>
      </c>
    </row>
    <row r="40" spans="1:17" x14ac:dyDescent="0.15">
      <c r="B40" s="23"/>
      <c r="C40" s="24"/>
      <c r="D40" s="24"/>
      <c r="F40" s="51"/>
      <c r="G40" s="50"/>
    </row>
    <row r="41" spans="1:17" x14ac:dyDescent="0.15">
      <c r="A41" s="19" t="s">
        <v>51</v>
      </c>
      <c r="B41" s="23"/>
      <c r="C41" s="24"/>
      <c r="D41" s="24"/>
      <c r="E41" s="29">
        <f t="shared" ref="E41" si="37">E38-E34-E37</f>
        <v>192</v>
      </c>
      <c r="F41" s="51"/>
      <c r="G41" s="50"/>
      <c r="H41" s="29">
        <f t="shared" ref="H41" si="38">H38-H34-H37</f>
        <v>186</v>
      </c>
      <c r="I41" s="29">
        <f t="shared" ref="I41:N41" si="39">I38-I34-I37</f>
        <v>179</v>
      </c>
      <c r="J41" s="30">
        <f t="shared" ref="J41" si="40">J38-J34-J37</f>
        <v>177</v>
      </c>
      <c r="K41" s="29">
        <f t="shared" ref="K41" si="41">K38-K34-K37</f>
        <v>175</v>
      </c>
      <c r="L41" s="29">
        <f t="shared" si="39"/>
        <v>175</v>
      </c>
      <c r="M41" s="29">
        <f t="shared" si="39"/>
        <v>177</v>
      </c>
      <c r="N41" s="30">
        <f t="shared" si="39"/>
        <v>171</v>
      </c>
    </row>
    <row r="42" spans="1:17" x14ac:dyDescent="0.15">
      <c r="A42" s="19" t="s">
        <v>52</v>
      </c>
      <c r="B42" s="23"/>
      <c r="C42" s="24"/>
      <c r="D42" s="24"/>
      <c r="E42" s="29">
        <f t="shared" ref="E42" si="42">E38-E39</f>
        <v>40</v>
      </c>
      <c r="F42" s="51"/>
      <c r="G42" s="50"/>
      <c r="H42" s="29">
        <f t="shared" ref="H42" si="43">H38-H39</f>
        <v>227</v>
      </c>
      <c r="I42" s="29">
        <f t="shared" ref="I42:J42" si="44">I38-I39</f>
        <v>219</v>
      </c>
      <c r="J42" s="30">
        <f t="shared" si="44"/>
        <v>235</v>
      </c>
      <c r="K42" s="29">
        <f>K38-K39</f>
        <v>289</v>
      </c>
      <c r="L42" s="29">
        <f>L38-L39</f>
        <v>296</v>
      </c>
      <c r="M42" s="29">
        <f>M38-M39</f>
        <v>302</v>
      </c>
      <c r="N42" s="30">
        <f t="shared" ref="N42" si="45">N38-N39</f>
        <v>307</v>
      </c>
    </row>
    <row r="43" spans="1:17" x14ac:dyDescent="0.15">
      <c r="B43" s="23"/>
      <c r="C43" s="24"/>
      <c r="D43" s="24"/>
      <c r="F43" s="51"/>
      <c r="G43" s="50"/>
    </row>
    <row r="44" spans="1:17" s="12" customFormat="1" x14ac:dyDescent="0.15">
      <c r="A44" s="25" t="s">
        <v>53</v>
      </c>
      <c r="B44" s="23"/>
      <c r="C44" s="24"/>
      <c r="D44" s="24"/>
      <c r="E44" s="26">
        <f t="shared" ref="E44" si="46">SUM(B19:E19)</f>
        <v>-22.905999999999999</v>
      </c>
      <c r="F44" s="51"/>
      <c r="G44" s="50"/>
      <c r="H44" s="26">
        <f t="shared" ref="H44:M44" si="47">SUM(E19:H19)</f>
        <v>-119.15900000000001</v>
      </c>
      <c r="I44" s="26">
        <f t="shared" si="47"/>
        <v>-151.643</v>
      </c>
      <c r="J44" s="27">
        <f t="shared" ref="J44" si="48">SUM(G19:J19)</f>
        <v>-156.95999999999998</v>
      </c>
      <c r="K44" s="26">
        <f t="shared" si="47"/>
        <v>-163.82600000000002</v>
      </c>
      <c r="L44" s="26">
        <f t="shared" si="47"/>
        <v>-80.12700000000001</v>
      </c>
      <c r="M44" s="26">
        <f t="shared" si="47"/>
        <v>-76.056000000000012</v>
      </c>
      <c r="N44" s="27">
        <f t="shared" ref="N44" si="49">SUM(K19:N19)</f>
        <v>-80.846000000000018</v>
      </c>
      <c r="O44" s="28"/>
      <c r="P44" s="28"/>
      <c r="Q44" s="28"/>
    </row>
    <row r="45" spans="1:17" x14ac:dyDescent="0.15">
      <c r="A45" s="19" t="s">
        <v>54</v>
      </c>
      <c r="B45" s="23"/>
      <c r="C45" s="24"/>
      <c r="D45" s="24"/>
      <c r="E45" s="37">
        <f t="shared" ref="E45" si="50">E44/E42</f>
        <v>-0.57264999999999999</v>
      </c>
      <c r="F45" s="51"/>
      <c r="G45" s="50"/>
      <c r="H45" s="37">
        <f t="shared" ref="H45" si="51">H44/H42</f>
        <v>-0.52492951541850219</v>
      </c>
      <c r="I45" s="37">
        <f t="shared" ref="I45:N45" si="52">I44/I42</f>
        <v>-0.69243378995433791</v>
      </c>
      <c r="J45" s="38">
        <f t="shared" ref="J45" si="53">J44/J42</f>
        <v>-0.66791489361702117</v>
      </c>
      <c r="K45" s="37">
        <f t="shared" ref="K45" si="54">K44/K42</f>
        <v>-0.56687197231833919</v>
      </c>
      <c r="L45" s="37">
        <f t="shared" si="52"/>
        <v>-0.27069932432432436</v>
      </c>
      <c r="M45" s="37">
        <f t="shared" si="52"/>
        <v>-0.25184105960264902</v>
      </c>
      <c r="N45" s="38">
        <f t="shared" si="52"/>
        <v>-0.26334201954397402</v>
      </c>
    </row>
    <row r="46" spans="1:17" x14ac:dyDescent="0.15">
      <c r="A46" s="19" t="s">
        <v>55</v>
      </c>
      <c r="B46" s="23"/>
      <c r="C46" s="24"/>
      <c r="D46" s="24"/>
      <c r="E46" s="37">
        <f t="shared" ref="E46" si="55">E44/E38</f>
        <v>-3.9629757785467123E-2</v>
      </c>
      <c r="F46" s="51"/>
      <c r="G46" s="50"/>
      <c r="H46" s="37">
        <f t="shared" ref="H46" si="56">H44/H38</f>
        <v>-0.15083417721518988</v>
      </c>
      <c r="I46" s="37">
        <f t="shared" ref="I46:N46" si="57">I44/I38</f>
        <v>-0.22333284241531665</v>
      </c>
      <c r="J46" s="38">
        <f t="shared" ref="J46" si="58">J44/J38</f>
        <v>-0.22813953488372091</v>
      </c>
      <c r="K46" s="37">
        <f t="shared" ref="K46" si="59">K44/K38</f>
        <v>-0.21527726675427072</v>
      </c>
      <c r="L46" s="37">
        <f t="shared" si="57"/>
        <v>-0.10168401015228427</v>
      </c>
      <c r="M46" s="37">
        <f t="shared" si="57"/>
        <v>-9.4597014925373146E-2</v>
      </c>
      <c r="N46" s="38">
        <f t="shared" si="57"/>
        <v>-0.10018091697645604</v>
      </c>
    </row>
    <row r="47" spans="1:17" x14ac:dyDescent="0.15">
      <c r="A47" s="19" t="s">
        <v>56</v>
      </c>
      <c r="B47" s="23"/>
      <c r="C47" s="24"/>
      <c r="D47" s="24"/>
      <c r="E47" s="37">
        <f t="shared" ref="E47" si="60">E44/(E42-E37)</f>
        <v>7.3652733118971053E-2</v>
      </c>
      <c r="F47" s="51"/>
      <c r="G47" s="50"/>
      <c r="H47" s="37">
        <f t="shared" ref="H47" si="61">H44/(H42-H37)</f>
        <v>0.99299166666666672</v>
      </c>
      <c r="I47" s="37">
        <f t="shared" ref="I47:N47" si="62">I44/(I42-I37)</f>
        <v>1.1940393700787402</v>
      </c>
      <c r="J47" s="38">
        <f t="shared" ref="J47" si="63">J44/(J42-J37)</f>
        <v>1.4269090909090907</v>
      </c>
      <c r="K47" s="37">
        <f t="shared" ref="K47" si="64">K44/(K42-K37)</f>
        <v>1.1537042253521128</v>
      </c>
      <c r="L47" s="37">
        <f t="shared" si="62"/>
        <v>0.39864179104477615</v>
      </c>
      <c r="M47" s="37">
        <f t="shared" si="62"/>
        <v>0.39204123711340211</v>
      </c>
      <c r="N47" s="38">
        <f t="shared" si="62"/>
        <v>0.4393804347826088</v>
      </c>
    </row>
    <row r="48" spans="1:17" x14ac:dyDescent="0.15">
      <c r="A48" s="19" t="s">
        <v>57</v>
      </c>
      <c r="B48" s="23"/>
      <c r="C48" s="24"/>
      <c r="D48" s="24"/>
      <c r="E48" s="37">
        <f t="shared" ref="E48" si="65">E44/E41</f>
        <v>-0.11930208333333332</v>
      </c>
      <c r="F48" s="51"/>
      <c r="G48" s="50"/>
      <c r="H48" s="37">
        <f t="shared" ref="H48" si="66">H44/H41</f>
        <v>-0.64063978494623663</v>
      </c>
      <c r="I48" s="37">
        <f t="shared" ref="I48:N48" si="67">I44/I41</f>
        <v>-0.8471675977653631</v>
      </c>
      <c r="J48" s="38">
        <f t="shared" ref="J48" si="68">J44/J41</f>
        <v>-0.88677966101694905</v>
      </c>
      <c r="K48" s="37">
        <f t="shared" ref="K48" si="69">K44/K41</f>
        <v>-0.93614857142857155</v>
      </c>
      <c r="L48" s="37">
        <f t="shared" si="67"/>
        <v>-0.45786857142857146</v>
      </c>
      <c r="M48" s="37">
        <f t="shared" si="67"/>
        <v>-0.42969491525423736</v>
      </c>
      <c r="N48" s="38">
        <f t="shared" si="67"/>
        <v>-0.47278362573099425</v>
      </c>
    </row>
    <row r="50" spans="1:17" x14ac:dyDescent="0.15">
      <c r="A50" s="6" t="s">
        <v>63</v>
      </c>
      <c r="B50" s="38"/>
      <c r="C50" s="37"/>
      <c r="D50" s="37"/>
      <c r="E50" s="37"/>
      <c r="F50" s="38">
        <f t="shared" ref="F50:N50" si="70">F3/B3-1</f>
        <v>0.10497978614878911</v>
      </c>
      <c r="G50" s="37">
        <f t="shared" si="70"/>
        <v>0.17149370305317824</v>
      </c>
      <c r="H50" s="37">
        <f t="shared" si="70"/>
        <v>0.17892205608490475</v>
      </c>
      <c r="I50" s="37">
        <f t="shared" si="70"/>
        <v>0.19153862344769523</v>
      </c>
      <c r="J50" s="38">
        <f t="shared" si="70"/>
        <v>0.17353097057667011</v>
      </c>
      <c r="K50" s="37">
        <f t="shared" si="70"/>
        <v>0.19846561184126577</v>
      </c>
      <c r="L50" s="37">
        <f t="shared" si="70"/>
        <v>0.21642512077294684</v>
      </c>
      <c r="M50" s="37">
        <f t="shared" si="70"/>
        <v>0.24130012365306475</v>
      </c>
      <c r="N50" s="38">
        <f t="shared" si="70"/>
        <v>0.28589327078568183</v>
      </c>
      <c r="O50" s="37"/>
      <c r="P50" s="37"/>
      <c r="Q50" s="37"/>
    </row>
    <row r="52" spans="1:17" s="18" customFormat="1" x14ac:dyDescent="0.15">
      <c r="A52" s="18" t="s">
        <v>87</v>
      </c>
      <c r="B52" s="38"/>
      <c r="C52" s="37"/>
      <c r="D52" s="37"/>
      <c r="E52" s="37"/>
      <c r="F52" s="38">
        <f>F5/B5-1</f>
        <v>2.4256711409396114E-2</v>
      </c>
      <c r="G52" s="37">
        <f>G5/C5-1</f>
        <v>3.0285953177257463E-2</v>
      </c>
      <c r="H52" s="37">
        <f>H5/D5-1</f>
        <v>3.5118333333333362E-2</v>
      </c>
      <c r="I52" s="37">
        <f>I5/E5-1</f>
        <v>6.707068573795083E-2</v>
      </c>
      <c r="J52" s="38">
        <f>J5/F5-1</f>
        <v>9.8950458427047083E-2</v>
      </c>
      <c r="K52" s="37">
        <f>K5/G5-1</f>
        <v>0.12391273650364965</v>
      </c>
      <c r="L52" s="37">
        <f>L5/H5-1</f>
        <v>0.14836628984447819</v>
      </c>
      <c r="M52" s="37">
        <f>M5/I5-1</f>
        <v>0.11472228621968772</v>
      </c>
      <c r="N52" s="38">
        <f>N5/J5-1</f>
        <v>0.11227048185766964</v>
      </c>
      <c r="O52" s="37"/>
      <c r="P52" s="37"/>
      <c r="Q52" s="37"/>
    </row>
    <row r="53" spans="1:17" s="18" customFormat="1" x14ac:dyDescent="0.15">
      <c r="A53" s="18" t="s">
        <v>61</v>
      </c>
      <c r="B53" s="38"/>
      <c r="C53" s="37"/>
      <c r="D53" s="37"/>
      <c r="E53" s="37"/>
      <c r="F53" s="38">
        <f>F6/B6-1</f>
        <v>7.8811370079593157E-2</v>
      </c>
      <c r="G53" s="37">
        <f>G6/C6-1</f>
        <v>0.137056852459704</v>
      </c>
      <c r="H53" s="37">
        <f>H6/D6-1</f>
        <v>0.13892491140456209</v>
      </c>
      <c r="I53" s="37">
        <f>I6/E6-1</f>
        <v>0.11664451040904233</v>
      </c>
      <c r="J53" s="38">
        <f>J6/F6-1</f>
        <v>6.7865217742728579E-2</v>
      </c>
      <c r="K53" s="37">
        <f>K6/G6-1</f>
        <v>6.6333330797140544E-2</v>
      </c>
      <c r="L53" s="37">
        <f>L6/H6-1</f>
        <v>5.9265786126206699E-2</v>
      </c>
      <c r="M53" s="37">
        <f>M6/I6-1</f>
        <v>0.1135510063790286</v>
      </c>
      <c r="N53" s="38">
        <f>N6/J6-1</f>
        <v>0.15609763250934638</v>
      </c>
      <c r="O53" s="37"/>
      <c r="P53" s="37"/>
      <c r="Q53" s="37"/>
    </row>
    <row r="55" spans="1:17" s="8" customFormat="1" x14ac:dyDescent="0.15">
      <c r="A55" s="78" t="s">
        <v>86</v>
      </c>
      <c r="B55" s="23">
        <v>596000</v>
      </c>
      <c r="C55" s="24">
        <v>598000</v>
      </c>
      <c r="D55" s="24">
        <v>600000</v>
      </c>
      <c r="E55" s="24">
        <v>606077</v>
      </c>
      <c r="F55" s="23">
        <v>610457</v>
      </c>
      <c r="G55" s="24">
        <v>616111</v>
      </c>
      <c r="H55" s="24">
        <v>621071</v>
      </c>
      <c r="I55" s="24">
        <v>646727</v>
      </c>
      <c r="J55" s="23">
        <v>670862</v>
      </c>
      <c r="K55" s="24">
        <v>692455</v>
      </c>
      <c r="L55" s="24">
        <v>713217</v>
      </c>
      <c r="M55" s="24">
        <v>720921</v>
      </c>
      <c r="N55" s="23">
        <v>746180</v>
      </c>
      <c r="O55" s="24"/>
      <c r="P55" s="24"/>
      <c r="Q55" s="24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3"/>
  <sheetViews>
    <sheetView workbookViewId="0">
      <selection activeCell="C8" sqref="C8"/>
    </sheetView>
  </sheetViews>
  <sheetFormatPr baseColWidth="10" defaultRowHeight="13" x14ac:dyDescent="0.15"/>
  <cols>
    <col min="1" max="1" width="10.83203125" style="3"/>
    <col min="2" max="2" width="16.33203125" style="3" bestFit="1" customWidth="1"/>
    <col min="3" max="3" width="35.83203125" style="3" bestFit="1" customWidth="1"/>
    <col min="4" max="4" width="22.5" style="3" bestFit="1" customWidth="1"/>
    <col min="5" max="16384" width="10.83203125" style="3"/>
  </cols>
  <sheetData>
    <row r="4" spans="2:4" x14ac:dyDescent="0.15">
      <c r="B4" s="2" t="s">
        <v>78</v>
      </c>
    </row>
    <row r="6" spans="2:4" x14ac:dyDescent="0.15">
      <c r="B6" s="76" t="s">
        <v>93</v>
      </c>
      <c r="C6" s="76" t="s">
        <v>94</v>
      </c>
      <c r="D6" s="75" t="s">
        <v>95</v>
      </c>
    </row>
    <row r="10" spans="2:4" x14ac:dyDescent="0.15">
      <c r="B10" s="2" t="s">
        <v>88</v>
      </c>
    </row>
    <row r="12" spans="2:4" x14ac:dyDescent="0.15">
      <c r="B12" s="3" t="s">
        <v>89</v>
      </c>
      <c r="C12" s="3" t="s">
        <v>90</v>
      </c>
    </row>
    <row r="13" spans="2:4" x14ac:dyDescent="0.15">
      <c r="B13" s="3" t="s">
        <v>91</v>
      </c>
      <c r="C13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2020-05-21T08:56:58Z</dcterms:modified>
</cp:coreProperties>
</file>