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50948567-0171-0645-A529-F561362CD80C}" xr6:coauthVersionLast="45" xr6:coauthVersionMax="45" xr10:uidLastSave="{00000000-0000-0000-0000-000000000000}"/>
  <bookViews>
    <workbookView xWindow="0" yWindow="460" windowWidth="20000" windowHeight="20320" tabRatio="500" xr2:uid="{00000000-000D-0000-FFFF-FFFF00000000}"/>
  </bookViews>
  <sheets>
    <sheet name="Main" sheetId="1" r:id="rId1"/>
    <sheet name="Reports RMB" sheetId="2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V41" i="2" l="1"/>
  <c r="V45" i="2" s="1"/>
  <c r="V39" i="2"/>
  <c r="V38" i="2"/>
  <c r="V30" i="2"/>
  <c r="V32" i="2"/>
  <c r="U31" i="2"/>
  <c r="V31" i="2"/>
  <c r="C3" i="1"/>
  <c r="V50" i="2"/>
  <c r="V49" i="2"/>
  <c r="V48" i="2"/>
  <c r="V47" i="2"/>
  <c r="V22" i="2"/>
  <c r="V28" i="2"/>
  <c r="V27" i="2"/>
  <c r="V26" i="2"/>
  <c r="V24" i="2"/>
  <c r="V23" i="2"/>
  <c r="V18" i="2"/>
  <c r="V19" i="2" s="1"/>
  <c r="V16" i="2"/>
  <c r="V15" i="2"/>
  <c r="V13" i="2"/>
  <c r="V14" i="2" s="1"/>
  <c r="V10" i="2"/>
  <c r="V8" i="2"/>
  <c r="V44" i="2" l="1"/>
  <c r="V42" i="2"/>
  <c r="V43" i="2"/>
  <c r="I41" i="1"/>
  <c r="I40" i="1" s="1"/>
  <c r="J24" i="1" s="1"/>
  <c r="U30" i="2"/>
  <c r="K14" i="1"/>
  <c r="L14" i="1" s="1"/>
  <c r="M14" i="1" s="1"/>
  <c r="N14" i="1" s="1"/>
  <c r="N17" i="1" s="1"/>
  <c r="J14" i="1"/>
  <c r="J59" i="1" s="1"/>
  <c r="L20" i="1"/>
  <c r="M20" i="1" s="1"/>
  <c r="N20" i="1" s="1"/>
  <c r="K20" i="1"/>
  <c r="J20" i="1"/>
  <c r="K21" i="1"/>
  <c r="L21" i="1" s="1"/>
  <c r="M21" i="1" s="1"/>
  <c r="N21" i="1" s="1"/>
  <c r="J21" i="1"/>
  <c r="K12" i="1"/>
  <c r="L12" i="1" s="1"/>
  <c r="M12" i="1" s="1"/>
  <c r="N12" i="1" s="1"/>
  <c r="J12" i="1"/>
  <c r="F4" i="1"/>
  <c r="J57" i="1"/>
  <c r="J17" i="1"/>
  <c r="J63" i="1" s="1"/>
  <c r="K13" i="1"/>
  <c r="L13" i="1" s="1"/>
  <c r="M13" i="1" s="1"/>
  <c r="N13" i="1" s="1"/>
  <c r="J13" i="1"/>
  <c r="K58" i="1"/>
  <c r="N60" i="1"/>
  <c r="M60" i="1"/>
  <c r="L60" i="1"/>
  <c r="K60" i="1"/>
  <c r="J60" i="1"/>
  <c r="B64" i="1"/>
  <c r="B63" i="1"/>
  <c r="B24" i="1"/>
  <c r="B17" i="1"/>
  <c r="B19" i="1" s="1"/>
  <c r="B15" i="1"/>
  <c r="B12" i="1"/>
  <c r="B22" i="1"/>
  <c r="C34" i="1" s="1"/>
  <c r="E60" i="1"/>
  <c r="E59" i="1"/>
  <c r="E57" i="1"/>
  <c r="E38" i="1"/>
  <c r="E37" i="1"/>
  <c r="E36" i="1"/>
  <c r="E34" i="1"/>
  <c r="E33" i="1"/>
  <c r="E32" i="1"/>
  <c r="E31" i="1"/>
  <c r="C24" i="1"/>
  <c r="C22" i="1"/>
  <c r="D24" i="1"/>
  <c r="C17" i="1"/>
  <c r="C15" i="1"/>
  <c r="C59" i="1"/>
  <c r="C57" i="1"/>
  <c r="C32" i="1"/>
  <c r="D33" i="1"/>
  <c r="C63" i="1"/>
  <c r="C66" i="1" s="1"/>
  <c r="C60" i="1"/>
  <c r="D17" i="1"/>
  <c r="D15" i="1"/>
  <c r="D60" i="1" s="1"/>
  <c r="D57" i="1"/>
  <c r="D32" i="1"/>
  <c r="D22" i="1"/>
  <c r="D59" i="1"/>
  <c r="I29" i="1"/>
  <c r="I26" i="1"/>
  <c r="I24" i="1"/>
  <c r="I21" i="1"/>
  <c r="I20" i="1"/>
  <c r="I18" i="1"/>
  <c r="I15" i="1"/>
  <c r="I14" i="1"/>
  <c r="I13" i="1"/>
  <c r="I12" i="1"/>
  <c r="H47" i="1"/>
  <c r="H46" i="1"/>
  <c r="H45" i="1"/>
  <c r="H42" i="1"/>
  <c r="H41" i="1"/>
  <c r="H29" i="1"/>
  <c r="H26" i="1"/>
  <c r="H24" i="1"/>
  <c r="H21" i="1"/>
  <c r="H20" i="1"/>
  <c r="H18" i="1"/>
  <c r="I17" i="1"/>
  <c r="H17" i="1"/>
  <c r="G17" i="1"/>
  <c r="F17" i="1"/>
  <c r="E17" i="1"/>
  <c r="G18" i="1"/>
  <c r="H15" i="1"/>
  <c r="H14" i="1"/>
  <c r="H13" i="1"/>
  <c r="H12" i="1"/>
  <c r="I60" i="1"/>
  <c r="I57" i="1"/>
  <c r="H60" i="1"/>
  <c r="H59" i="1"/>
  <c r="H57" i="1"/>
  <c r="G60" i="1"/>
  <c r="G59" i="1"/>
  <c r="G57" i="1"/>
  <c r="F60" i="1"/>
  <c r="F59" i="1"/>
  <c r="F57" i="1"/>
  <c r="G47" i="1"/>
  <c r="G46" i="1"/>
  <c r="G45" i="1"/>
  <c r="G42" i="1"/>
  <c r="G41" i="1"/>
  <c r="G29" i="1"/>
  <c r="G26" i="1"/>
  <c r="G24" i="1"/>
  <c r="G21" i="1"/>
  <c r="G20" i="1"/>
  <c r="G15" i="1"/>
  <c r="G14" i="1"/>
  <c r="G12" i="1"/>
  <c r="F68" i="1"/>
  <c r="F47" i="1"/>
  <c r="F46" i="1"/>
  <c r="F49" i="1" s="1"/>
  <c r="F45" i="1"/>
  <c r="F42" i="1"/>
  <c r="F41" i="1"/>
  <c r="F40" i="1"/>
  <c r="F29" i="1"/>
  <c r="F26" i="1"/>
  <c r="F24" i="1"/>
  <c r="F43" i="1" s="1"/>
  <c r="F21" i="1"/>
  <c r="F20" i="1"/>
  <c r="F18" i="1"/>
  <c r="F15" i="1"/>
  <c r="F14" i="1"/>
  <c r="F12" i="1"/>
  <c r="E29" i="1"/>
  <c r="E26" i="1"/>
  <c r="E24" i="1"/>
  <c r="E21" i="1"/>
  <c r="E20" i="1"/>
  <c r="E18" i="1"/>
  <c r="E15" i="1"/>
  <c r="E14" i="1"/>
  <c r="E12" i="1"/>
  <c r="U50" i="2"/>
  <c r="U49" i="2"/>
  <c r="U48" i="2"/>
  <c r="U47" i="2"/>
  <c r="T50" i="2"/>
  <c r="T49" i="2"/>
  <c r="T48" i="2"/>
  <c r="T47" i="2"/>
  <c r="S50" i="2"/>
  <c r="S49" i="2"/>
  <c r="S48" i="2"/>
  <c r="S47" i="2"/>
  <c r="R50" i="2"/>
  <c r="R49" i="2"/>
  <c r="R48" i="2"/>
  <c r="R47" i="2"/>
  <c r="O50" i="2"/>
  <c r="Q50" i="2"/>
  <c r="Q49" i="2"/>
  <c r="Q47" i="2"/>
  <c r="P50" i="2"/>
  <c r="P49" i="2"/>
  <c r="P47" i="2"/>
  <c r="O49" i="2"/>
  <c r="O47" i="2"/>
  <c r="N47" i="2"/>
  <c r="M50" i="2"/>
  <c r="L50" i="2"/>
  <c r="K50" i="2"/>
  <c r="J50" i="2"/>
  <c r="I50" i="2"/>
  <c r="H50" i="2"/>
  <c r="M49" i="2"/>
  <c r="L49" i="2"/>
  <c r="K49" i="2"/>
  <c r="J49" i="2"/>
  <c r="I49" i="2"/>
  <c r="H49" i="2"/>
  <c r="M47" i="2"/>
  <c r="L47" i="2"/>
  <c r="K47" i="2"/>
  <c r="J47" i="2"/>
  <c r="I47" i="2"/>
  <c r="H47" i="2"/>
  <c r="G50" i="2"/>
  <c r="G49" i="2"/>
  <c r="G47" i="2"/>
  <c r="F50" i="2"/>
  <c r="F49" i="2"/>
  <c r="F47" i="2"/>
  <c r="B15" i="2"/>
  <c r="B8" i="2"/>
  <c r="C15" i="2"/>
  <c r="C8" i="2"/>
  <c r="E15" i="2"/>
  <c r="E8" i="2"/>
  <c r="D15" i="2"/>
  <c r="D8" i="2"/>
  <c r="F15" i="2"/>
  <c r="J15" i="2"/>
  <c r="F8" i="2"/>
  <c r="J8" i="2"/>
  <c r="G15" i="2"/>
  <c r="K15" i="2"/>
  <c r="G8" i="2"/>
  <c r="K8" i="2"/>
  <c r="H15" i="2"/>
  <c r="L15" i="2"/>
  <c r="H8" i="2"/>
  <c r="L8" i="2"/>
  <c r="M8" i="2"/>
  <c r="I32" i="2"/>
  <c r="I31" i="2"/>
  <c r="I38" i="2" s="1"/>
  <c r="I39" i="2"/>
  <c r="M32" i="2"/>
  <c r="M31" i="2"/>
  <c r="I15" i="2"/>
  <c r="M15" i="2"/>
  <c r="I8" i="2"/>
  <c r="O8" i="2"/>
  <c r="N15" i="2"/>
  <c r="R15" i="2"/>
  <c r="N8" i="2"/>
  <c r="R8" i="2"/>
  <c r="O15" i="2"/>
  <c r="S15" i="2"/>
  <c r="S8" i="2"/>
  <c r="P15" i="2"/>
  <c r="T15" i="2"/>
  <c r="P8" i="2"/>
  <c r="T8" i="2"/>
  <c r="Q32" i="2"/>
  <c r="Q31" i="2"/>
  <c r="U32" i="2"/>
  <c r="Q15" i="2"/>
  <c r="Q8" i="2"/>
  <c r="U19" i="2"/>
  <c r="U15" i="2"/>
  <c r="U8" i="2"/>
  <c r="J31" i="1" l="1"/>
  <c r="J19" i="1"/>
  <c r="J18" i="1" s="1"/>
  <c r="K17" i="1"/>
  <c r="L17" i="1"/>
  <c r="L58" i="1"/>
  <c r="J58" i="1"/>
  <c r="M17" i="1"/>
  <c r="L57" i="1"/>
  <c r="K57" i="1"/>
  <c r="B36" i="1"/>
  <c r="B23" i="1"/>
  <c r="C31" i="1"/>
  <c r="D34" i="1"/>
  <c r="C33" i="1"/>
  <c r="C19" i="1"/>
  <c r="D63" i="1"/>
  <c r="D19" i="1"/>
  <c r="D31" i="1"/>
  <c r="I59" i="1"/>
  <c r="I58" i="1"/>
  <c r="F50" i="1"/>
  <c r="I30" i="2"/>
  <c r="N58" i="1" l="1"/>
  <c r="M58" i="1"/>
  <c r="M57" i="1"/>
  <c r="D66" i="1"/>
  <c r="B25" i="1"/>
  <c r="B37" i="1"/>
  <c r="C23" i="1"/>
  <c r="C36" i="1"/>
  <c r="D36" i="1"/>
  <c r="D23" i="1"/>
  <c r="I47" i="1"/>
  <c r="I46" i="1"/>
  <c r="I45" i="1"/>
  <c r="I42" i="1"/>
  <c r="N57" i="1" l="1"/>
  <c r="K59" i="1"/>
  <c r="B38" i="1"/>
  <c r="B27" i="1"/>
  <c r="B28" i="1" s="1"/>
  <c r="C37" i="1"/>
  <c r="C25" i="1"/>
  <c r="D37" i="1"/>
  <c r="D25" i="1"/>
  <c r="I68" i="1"/>
  <c r="I50" i="1"/>
  <c r="I49" i="1"/>
  <c r="L59" i="1" l="1"/>
  <c r="C27" i="1"/>
  <c r="C38" i="1"/>
  <c r="D27" i="1"/>
  <c r="D38" i="1"/>
  <c r="I43" i="1"/>
  <c r="U39" i="2"/>
  <c r="U24" i="2"/>
  <c r="U23" i="2"/>
  <c r="U13" i="2"/>
  <c r="T24" i="2"/>
  <c r="T23" i="2"/>
  <c r="T13" i="2"/>
  <c r="N59" i="1" l="1"/>
  <c r="M59" i="1"/>
  <c r="C28" i="1"/>
  <c r="C64" i="1"/>
  <c r="D28" i="1"/>
  <c r="D64" i="1"/>
  <c r="C4" i="1"/>
  <c r="U10" i="2"/>
  <c r="U14" i="2" s="1"/>
  <c r="U38" i="2"/>
  <c r="I22" i="1"/>
  <c r="U26" i="2"/>
  <c r="T10" i="2"/>
  <c r="S24" i="2"/>
  <c r="S23" i="2"/>
  <c r="S10" i="2"/>
  <c r="S26" i="2" s="1"/>
  <c r="S13" i="2"/>
  <c r="R24" i="2"/>
  <c r="R23" i="2"/>
  <c r="R13" i="2"/>
  <c r="R10" i="2"/>
  <c r="I24" i="2"/>
  <c r="H24" i="2"/>
  <c r="G24" i="2"/>
  <c r="F24" i="2"/>
  <c r="I23" i="2"/>
  <c r="H23" i="2"/>
  <c r="G23" i="2"/>
  <c r="F23" i="2"/>
  <c r="M24" i="2"/>
  <c r="L24" i="2"/>
  <c r="K24" i="2"/>
  <c r="J24" i="2"/>
  <c r="M23" i="2"/>
  <c r="L23" i="2"/>
  <c r="K23" i="2"/>
  <c r="J23" i="2"/>
  <c r="E10" i="2"/>
  <c r="E26" i="2" s="1"/>
  <c r="E13" i="2"/>
  <c r="D10" i="2"/>
  <c r="D13" i="2"/>
  <c r="C10" i="2"/>
  <c r="C26" i="2" s="1"/>
  <c r="C13" i="2"/>
  <c r="B10" i="2"/>
  <c r="B13" i="2"/>
  <c r="F13" i="2"/>
  <c r="G10" i="2"/>
  <c r="G13" i="2"/>
  <c r="H10" i="2"/>
  <c r="H13" i="2"/>
  <c r="I13" i="2"/>
  <c r="I32" i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J13" i="2"/>
  <c r="N50" i="2"/>
  <c r="N49" i="2"/>
  <c r="N10" i="2"/>
  <c r="N13" i="2"/>
  <c r="N24" i="2"/>
  <c r="N23" i="2"/>
  <c r="K10" i="2"/>
  <c r="K26" i="2" s="1"/>
  <c r="K13" i="2"/>
  <c r="O13" i="2"/>
  <c r="O24" i="2"/>
  <c r="O23" i="2"/>
  <c r="L10" i="2"/>
  <c r="L26" i="2" s="1"/>
  <c r="L13" i="2"/>
  <c r="P10" i="2"/>
  <c r="P13" i="2"/>
  <c r="P24" i="2"/>
  <c r="P23" i="2"/>
  <c r="Q39" i="2"/>
  <c r="Q38" i="2"/>
  <c r="Q30" i="2"/>
  <c r="M39" i="2"/>
  <c r="M30" i="2"/>
  <c r="Q24" i="2"/>
  <c r="Q23" i="2"/>
  <c r="M10" i="2"/>
  <c r="M13" i="2"/>
  <c r="Q13" i="2"/>
  <c r="U22" i="2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E63" i="1" l="1"/>
  <c r="E66" i="1" s="1"/>
  <c r="I22" i="2"/>
  <c r="O22" i="2"/>
  <c r="H26" i="2"/>
  <c r="H14" i="2"/>
  <c r="H27" i="2" s="1"/>
  <c r="R14" i="2"/>
  <c r="R22" i="2"/>
  <c r="G14" i="2"/>
  <c r="G16" i="2" s="1"/>
  <c r="Q22" i="2"/>
  <c r="K22" i="2"/>
  <c r="G22" i="2"/>
  <c r="I10" i="2"/>
  <c r="E22" i="1"/>
  <c r="F22" i="1"/>
  <c r="I19" i="1"/>
  <c r="I23" i="1" s="1"/>
  <c r="I25" i="1" s="1"/>
  <c r="I38" i="1" s="1"/>
  <c r="J15" i="1"/>
  <c r="M38" i="2"/>
  <c r="E14" i="2"/>
  <c r="E16" i="2" s="1"/>
  <c r="H22" i="2"/>
  <c r="K14" i="2"/>
  <c r="K16" i="2" s="1"/>
  <c r="G40" i="1"/>
  <c r="G68" i="1" s="1"/>
  <c r="D14" i="2"/>
  <c r="D27" i="2" s="1"/>
  <c r="P22" i="2"/>
  <c r="N22" i="2"/>
  <c r="F22" i="2"/>
  <c r="H43" i="1"/>
  <c r="M22" i="2"/>
  <c r="D26" i="2"/>
  <c r="R26" i="2"/>
  <c r="L22" i="2"/>
  <c r="J22" i="2"/>
  <c r="G26" i="2"/>
  <c r="T22" i="2"/>
  <c r="H22" i="1"/>
  <c r="I34" i="1" s="1"/>
  <c r="I63" i="1"/>
  <c r="G22" i="1"/>
  <c r="F33" i="1"/>
  <c r="H32" i="1"/>
  <c r="F32" i="1"/>
  <c r="G50" i="1"/>
  <c r="H33" i="1"/>
  <c r="U16" i="2"/>
  <c r="U27" i="2"/>
  <c r="T14" i="2"/>
  <c r="T26" i="2"/>
  <c r="I33" i="1"/>
  <c r="P26" i="2"/>
  <c r="P14" i="2"/>
  <c r="B26" i="2"/>
  <c r="B14" i="2"/>
  <c r="H49" i="1"/>
  <c r="M14" i="2"/>
  <c r="M26" i="2"/>
  <c r="H40" i="1"/>
  <c r="H68" i="1" s="1"/>
  <c r="N26" i="2"/>
  <c r="N14" i="2"/>
  <c r="R27" i="2"/>
  <c r="R16" i="2"/>
  <c r="G32" i="1"/>
  <c r="Q10" i="2"/>
  <c r="L14" i="2"/>
  <c r="F10" i="2"/>
  <c r="S14" i="2"/>
  <c r="I31" i="1"/>
  <c r="S22" i="2"/>
  <c r="G33" i="1"/>
  <c r="H50" i="1"/>
  <c r="O10" i="2"/>
  <c r="J10" i="2"/>
  <c r="C14" i="2"/>
  <c r="G27" i="2" l="1"/>
  <c r="H16" i="2"/>
  <c r="H28" i="2" s="1"/>
  <c r="E27" i="2"/>
  <c r="D16" i="2"/>
  <c r="D18" i="2" s="1"/>
  <c r="D19" i="2" s="1"/>
  <c r="K27" i="2"/>
  <c r="I26" i="2"/>
  <c r="I14" i="2"/>
  <c r="G43" i="1"/>
  <c r="F34" i="1"/>
  <c r="G34" i="1"/>
  <c r="G49" i="1"/>
  <c r="K15" i="1"/>
  <c r="L15" i="1" s="1"/>
  <c r="M15" i="1" s="1"/>
  <c r="N15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F31" i="1"/>
  <c r="H63" i="1"/>
  <c r="H31" i="1"/>
  <c r="G63" i="1"/>
  <c r="G31" i="1"/>
  <c r="E19" i="1"/>
  <c r="H34" i="1"/>
  <c r="G19" i="1"/>
  <c r="G36" i="1" s="1"/>
  <c r="F19" i="1"/>
  <c r="F63" i="1"/>
  <c r="U18" i="2"/>
  <c r="U28" i="2"/>
  <c r="T16" i="2"/>
  <c r="T27" i="2"/>
  <c r="R28" i="2"/>
  <c r="R18" i="2"/>
  <c r="R19" i="2" s="1"/>
  <c r="N27" i="2"/>
  <c r="N16" i="2"/>
  <c r="S27" i="2"/>
  <c r="S16" i="2"/>
  <c r="B16" i="2"/>
  <c r="B27" i="2"/>
  <c r="F14" i="2"/>
  <c r="F26" i="2"/>
  <c r="P27" i="2"/>
  <c r="P16" i="2"/>
  <c r="J14" i="2"/>
  <c r="J26" i="2"/>
  <c r="L16" i="2"/>
  <c r="L27" i="2"/>
  <c r="E18" i="2"/>
  <c r="E19" i="2" s="1"/>
  <c r="E28" i="2"/>
  <c r="G28" i="2"/>
  <c r="G18" i="2"/>
  <c r="G19" i="2" s="1"/>
  <c r="K28" i="2"/>
  <c r="K18" i="2"/>
  <c r="C16" i="2"/>
  <c r="C27" i="2"/>
  <c r="Q14" i="2"/>
  <c r="Q26" i="2"/>
  <c r="M16" i="2"/>
  <c r="M27" i="2"/>
  <c r="J33" i="1"/>
  <c r="O14" i="2"/>
  <c r="O26" i="2"/>
  <c r="H19" i="1"/>
  <c r="H18" i="2"/>
  <c r="J32" i="1"/>
  <c r="J22" i="1"/>
  <c r="J34" i="1" s="1"/>
  <c r="D28" i="2" l="1"/>
  <c r="H19" i="2"/>
  <c r="I16" i="2"/>
  <c r="I27" i="2"/>
  <c r="G66" i="1"/>
  <c r="H66" i="1"/>
  <c r="F66" i="1"/>
  <c r="I66" i="1"/>
  <c r="T31" i="1"/>
  <c r="T63" i="1"/>
  <c r="U63" i="1"/>
  <c r="U31" i="1"/>
  <c r="E23" i="1"/>
  <c r="E25" i="1" s="1"/>
  <c r="G23" i="1"/>
  <c r="G25" i="1" s="1"/>
  <c r="F23" i="1"/>
  <c r="F36" i="1"/>
  <c r="T18" i="2"/>
  <c r="T28" i="2"/>
  <c r="O16" i="2"/>
  <c r="O27" i="2"/>
  <c r="K22" i="1"/>
  <c r="K34" i="1" s="1"/>
  <c r="K32" i="1"/>
  <c r="B28" i="2"/>
  <c r="B18" i="2"/>
  <c r="B19" i="2" s="1"/>
  <c r="J16" i="2"/>
  <c r="J27" i="2"/>
  <c r="C28" i="2"/>
  <c r="C18" i="2"/>
  <c r="C19" i="2" s="1"/>
  <c r="N28" i="2"/>
  <c r="N18" i="2"/>
  <c r="H23" i="1"/>
  <c r="H36" i="1"/>
  <c r="S28" i="2"/>
  <c r="S18" i="2"/>
  <c r="S19" i="2" s="1"/>
  <c r="Q16" i="2"/>
  <c r="Q27" i="2"/>
  <c r="K33" i="1"/>
  <c r="L18" i="2"/>
  <c r="L28" i="2"/>
  <c r="M18" i="2"/>
  <c r="M28" i="2"/>
  <c r="P28" i="2"/>
  <c r="P18" i="2"/>
  <c r="K19" i="2"/>
  <c r="F27" i="2"/>
  <c r="F16" i="2"/>
  <c r="I18" i="2" l="1"/>
  <c r="I19" i="2" s="1"/>
  <c r="I28" i="2"/>
  <c r="G37" i="1"/>
  <c r="V31" i="1"/>
  <c r="V63" i="1"/>
  <c r="U41" i="2"/>
  <c r="U44" i="2" s="1"/>
  <c r="F25" i="1"/>
  <c r="F37" i="1"/>
  <c r="T19" i="2"/>
  <c r="J28" i="2"/>
  <c r="J18" i="2"/>
  <c r="E27" i="1"/>
  <c r="E64" i="1" s="1"/>
  <c r="G27" i="1"/>
  <c r="G64" i="1" s="1"/>
  <c r="G38" i="1"/>
  <c r="L32" i="1"/>
  <c r="L22" i="1"/>
  <c r="L34" i="1" s="1"/>
  <c r="P19" i="2"/>
  <c r="N19" i="2"/>
  <c r="F28" i="2"/>
  <c r="F18" i="2"/>
  <c r="O18" i="2"/>
  <c r="Q41" i="2" s="1"/>
  <c r="Q42" i="2" s="1"/>
  <c r="O28" i="2"/>
  <c r="M19" i="2"/>
  <c r="L19" i="2"/>
  <c r="K63" i="1"/>
  <c r="Q18" i="2"/>
  <c r="Q19" i="2" s="1"/>
  <c r="Q28" i="2"/>
  <c r="H37" i="1"/>
  <c r="H25" i="1"/>
  <c r="H27" i="1" s="1"/>
  <c r="L33" i="1"/>
  <c r="F19" i="2" l="1"/>
  <c r="I41" i="2"/>
  <c r="W63" i="1"/>
  <c r="W31" i="1"/>
  <c r="Q45" i="2"/>
  <c r="U42" i="2"/>
  <c r="U43" i="2"/>
  <c r="U45" i="2"/>
  <c r="F38" i="1"/>
  <c r="F27" i="1"/>
  <c r="K31" i="1"/>
  <c r="M33" i="1"/>
  <c r="M41" i="2"/>
  <c r="J19" i="2"/>
  <c r="M32" i="1"/>
  <c r="M22" i="1"/>
  <c r="M34" i="1" s="1"/>
  <c r="I36" i="1"/>
  <c r="H64" i="1"/>
  <c r="H38" i="1"/>
  <c r="G52" i="1"/>
  <c r="G55" i="1"/>
  <c r="G53" i="1"/>
  <c r="G28" i="1"/>
  <c r="G54" i="1"/>
  <c r="O19" i="2"/>
  <c r="E28" i="1"/>
  <c r="F53" i="1" l="1"/>
  <c r="F55" i="1"/>
  <c r="F54" i="1"/>
  <c r="F52" i="1"/>
  <c r="I45" i="2"/>
  <c r="I44" i="2"/>
  <c r="I42" i="2"/>
  <c r="I43" i="2"/>
  <c r="Q43" i="2"/>
  <c r="Q44" i="2"/>
  <c r="X63" i="1"/>
  <c r="X31" i="1"/>
  <c r="F64" i="1"/>
  <c r="F28" i="1"/>
  <c r="N22" i="1"/>
  <c r="N34" i="1" s="1"/>
  <c r="O20" i="1"/>
  <c r="P20" i="1" s="1"/>
  <c r="Q20" i="1" s="1"/>
  <c r="R20" i="1" s="1"/>
  <c r="S20" i="1" s="1"/>
  <c r="T20" i="1" s="1"/>
  <c r="N32" i="1"/>
  <c r="I37" i="1"/>
  <c r="H54" i="1"/>
  <c r="H28" i="1"/>
  <c r="H52" i="1"/>
  <c r="H55" i="1"/>
  <c r="H53" i="1"/>
  <c r="J36" i="1"/>
  <c r="K19" i="1" s="1"/>
  <c r="J23" i="1"/>
  <c r="J25" i="1" s="1"/>
  <c r="J26" i="1" s="1"/>
  <c r="O21" i="1"/>
  <c r="P21" i="1" s="1"/>
  <c r="Q21" i="1" s="1"/>
  <c r="R21" i="1" s="1"/>
  <c r="S21" i="1" s="1"/>
  <c r="T21" i="1" s="1"/>
  <c r="N33" i="1"/>
  <c r="M45" i="2"/>
  <c r="M44" i="2"/>
  <c r="M43" i="2"/>
  <c r="M42" i="2"/>
  <c r="L63" i="1"/>
  <c r="L31" i="1"/>
  <c r="J27" i="1" l="1"/>
  <c r="J64" i="1" s="1"/>
  <c r="U21" i="1"/>
  <c r="T33" i="1"/>
  <c r="T32" i="1"/>
  <c r="U20" i="1"/>
  <c r="T22" i="1"/>
  <c r="O33" i="1"/>
  <c r="O22" i="1"/>
  <c r="O34" i="1" s="1"/>
  <c r="O32" i="1"/>
  <c r="J37" i="1"/>
  <c r="K23" i="1"/>
  <c r="K36" i="1"/>
  <c r="L19" i="1" s="1"/>
  <c r="K18" i="1"/>
  <c r="M63" i="1"/>
  <c r="M31" i="1"/>
  <c r="V20" i="1" l="1"/>
  <c r="U22" i="1"/>
  <c r="U34" i="1" s="1"/>
  <c r="U32" i="1"/>
  <c r="V21" i="1"/>
  <c r="U33" i="1"/>
  <c r="K37" i="1"/>
  <c r="N63" i="1"/>
  <c r="N31" i="1"/>
  <c r="L23" i="1"/>
  <c r="L36" i="1"/>
  <c r="M19" i="1" s="1"/>
  <c r="L18" i="1"/>
  <c r="P33" i="1"/>
  <c r="P22" i="1"/>
  <c r="P34" i="1" s="1"/>
  <c r="P32" i="1"/>
  <c r="I27" i="1"/>
  <c r="W21" i="1" l="1"/>
  <c r="V33" i="1"/>
  <c r="W20" i="1"/>
  <c r="V32" i="1"/>
  <c r="V22" i="1"/>
  <c r="V34" i="1" s="1"/>
  <c r="I64" i="1"/>
  <c r="I53" i="1"/>
  <c r="I55" i="1"/>
  <c r="I54" i="1"/>
  <c r="I52" i="1"/>
  <c r="I28" i="1"/>
  <c r="Q32" i="1"/>
  <c r="Q22" i="1"/>
  <c r="Q34" i="1" s="1"/>
  <c r="C6" i="1"/>
  <c r="C7" i="1" s="1"/>
  <c r="M36" i="1"/>
  <c r="N19" i="1" s="1"/>
  <c r="M23" i="1"/>
  <c r="M18" i="1"/>
  <c r="Q33" i="1"/>
  <c r="L37" i="1"/>
  <c r="O63" i="1"/>
  <c r="O31" i="1"/>
  <c r="X20" i="1" l="1"/>
  <c r="W22" i="1"/>
  <c r="W34" i="1" s="1"/>
  <c r="W32" i="1"/>
  <c r="X21" i="1"/>
  <c r="X33" i="1" s="1"/>
  <c r="W33" i="1"/>
  <c r="R33" i="1"/>
  <c r="M37" i="1"/>
  <c r="N23" i="1"/>
  <c r="N36" i="1"/>
  <c r="O19" i="1" s="1"/>
  <c r="N18" i="1"/>
  <c r="R22" i="1"/>
  <c r="R34" i="1" s="1"/>
  <c r="R32" i="1"/>
  <c r="P31" i="1"/>
  <c r="P63" i="1"/>
  <c r="J40" i="1" l="1"/>
  <c r="K24" i="1" s="1"/>
  <c r="X22" i="1"/>
  <c r="X34" i="1" s="1"/>
  <c r="X32" i="1"/>
  <c r="Q31" i="1"/>
  <c r="Q63" i="1"/>
  <c r="O23" i="1"/>
  <c r="O36" i="1"/>
  <c r="P19" i="1" s="1"/>
  <c r="O18" i="1"/>
  <c r="S22" i="1"/>
  <c r="S32" i="1"/>
  <c r="N37" i="1"/>
  <c r="S33" i="1"/>
  <c r="J38" i="1" l="1"/>
  <c r="S34" i="1"/>
  <c r="T34" i="1"/>
  <c r="O37" i="1"/>
  <c r="P36" i="1"/>
  <c r="Q19" i="1" s="1"/>
  <c r="P23" i="1"/>
  <c r="P18" i="1"/>
  <c r="R31" i="1"/>
  <c r="R63" i="1"/>
  <c r="P37" i="1" l="1"/>
  <c r="Q36" i="1"/>
  <c r="R19" i="1" s="1"/>
  <c r="Q23" i="1"/>
  <c r="Q18" i="1"/>
  <c r="S31" i="1"/>
  <c r="S63" i="1"/>
  <c r="J28" i="1"/>
  <c r="K25" i="1" l="1"/>
  <c r="K26" i="1" s="1"/>
  <c r="Q37" i="1"/>
  <c r="R23" i="1"/>
  <c r="R36" i="1"/>
  <c r="S19" i="1" s="1"/>
  <c r="R18" i="1"/>
  <c r="S23" i="1" l="1"/>
  <c r="S36" i="1"/>
  <c r="T19" i="1" s="1"/>
  <c r="S18" i="1"/>
  <c r="K38" i="1"/>
  <c r="R37" i="1"/>
  <c r="T36" i="1" l="1"/>
  <c r="U19" i="1" s="1"/>
  <c r="T23" i="1"/>
  <c r="T18" i="1"/>
  <c r="K27" i="1"/>
  <c r="S37" i="1"/>
  <c r="T37" i="1" l="1"/>
  <c r="U36" i="1"/>
  <c r="V19" i="1" s="1"/>
  <c r="U23" i="1"/>
  <c r="U37" i="1" s="1"/>
  <c r="U18" i="1"/>
  <c r="K28" i="1"/>
  <c r="K64" i="1"/>
  <c r="K40" i="1"/>
  <c r="L24" i="1" s="1"/>
  <c r="V23" i="1" l="1"/>
  <c r="V37" i="1" s="1"/>
  <c r="V36" i="1"/>
  <c r="W19" i="1" s="1"/>
  <c r="V18" i="1"/>
  <c r="L25" i="1"/>
  <c r="L26" i="1" s="1"/>
  <c r="W36" i="1" l="1"/>
  <c r="X19" i="1" s="1"/>
  <c r="W23" i="1"/>
  <c r="W37" i="1" s="1"/>
  <c r="W18" i="1"/>
  <c r="L38" i="1"/>
  <c r="X23" i="1" l="1"/>
  <c r="X37" i="1" s="1"/>
  <c r="X36" i="1"/>
  <c r="X18" i="1"/>
  <c r="L27" i="1"/>
  <c r="L64" i="1" l="1"/>
  <c r="L40" i="1"/>
  <c r="L28" i="1"/>
  <c r="M24" i="1" l="1"/>
  <c r="M25" i="1" s="1"/>
  <c r="M26" i="1" s="1"/>
  <c r="M38" i="1" s="1"/>
  <c r="M27" i="1" l="1"/>
  <c r="M28" i="1" l="1"/>
  <c r="M64" i="1"/>
  <c r="M40" i="1"/>
  <c r="N24" i="1" s="1"/>
  <c r="N25" i="1" l="1"/>
  <c r="N26" i="1" s="1"/>
  <c r="N38" i="1" l="1"/>
  <c r="N27" i="1" l="1"/>
  <c r="N28" i="1" l="1"/>
  <c r="N64" i="1"/>
  <c r="N40" i="1"/>
  <c r="O24" i="1" s="1"/>
  <c r="O25" i="1" l="1"/>
  <c r="O26" i="1" s="1"/>
  <c r="O38" i="1" l="1"/>
  <c r="O27" i="1" l="1"/>
  <c r="O28" i="1" s="1"/>
  <c r="O64" i="1"/>
  <c r="O40" i="1"/>
  <c r="P24" i="1" s="1"/>
  <c r="P25" i="1" l="1"/>
  <c r="P26" i="1" s="1"/>
  <c r="P38" i="1" l="1"/>
  <c r="P27" i="1"/>
  <c r="P64" i="1" l="1"/>
  <c r="P28" i="1"/>
  <c r="P40" i="1"/>
  <c r="Q24" i="1" s="1"/>
  <c r="Q25" i="1" l="1"/>
  <c r="Q26" i="1" s="1"/>
  <c r="Q38" i="1" l="1"/>
  <c r="Q27" i="1"/>
  <c r="Q64" i="1" l="1"/>
  <c r="Q28" i="1"/>
  <c r="Q40" i="1"/>
  <c r="R24" i="1" s="1"/>
  <c r="R25" i="1" l="1"/>
  <c r="R26" i="1" s="1"/>
  <c r="R38" i="1" l="1"/>
  <c r="R27" i="1" l="1"/>
  <c r="R64" i="1" l="1"/>
  <c r="R28" i="1"/>
  <c r="R40" i="1"/>
  <c r="S24" i="1" s="1"/>
  <c r="S25" i="1" l="1"/>
  <c r="S26" i="1" s="1"/>
  <c r="S38" i="1" l="1"/>
  <c r="S27" i="1"/>
  <c r="S28" i="1" l="1"/>
  <c r="S64" i="1"/>
  <c r="S40" i="1"/>
  <c r="T24" i="1" s="1"/>
  <c r="T25" i="1" l="1"/>
  <c r="T26" i="1" s="1"/>
  <c r="T38" i="1" l="1"/>
  <c r="T27" i="1"/>
  <c r="T28" i="1" l="1"/>
  <c r="T64" i="1"/>
  <c r="T40" i="1"/>
  <c r="U24" i="1" s="1"/>
  <c r="U25" i="1" l="1"/>
  <c r="U26" i="1" s="1"/>
  <c r="U38" i="1" l="1"/>
  <c r="U27" i="1" l="1"/>
  <c r="U64" i="1"/>
  <c r="U28" i="1"/>
  <c r="U40" i="1"/>
  <c r="V24" i="1" s="1"/>
  <c r="V25" i="1" l="1"/>
  <c r="V26" i="1" s="1"/>
  <c r="V38" i="1" l="1"/>
  <c r="V27" i="1"/>
  <c r="V28" i="1" l="1"/>
  <c r="V64" i="1"/>
  <c r="V40" i="1"/>
  <c r="W24" i="1" s="1"/>
  <c r="W25" i="1" l="1"/>
  <c r="W26" i="1" s="1"/>
  <c r="W38" i="1" l="1"/>
  <c r="W27" i="1" l="1"/>
  <c r="W28" i="1" s="1"/>
  <c r="W64" i="1"/>
  <c r="W40" i="1"/>
  <c r="X24" i="1" s="1"/>
  <c r="X25" i="1" l="1"/>
  <c r="X26" i="1" s="1"/>
  <c r="X38" i="1" l="1"/>
  <c r="X27" i="1" l="1"/>
  <c r="Y27" i="1" l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IN27" i="1" s="1"/>
  <c r="IO27" i="1" s="1"/>
  <c r="IP27" i="1" s="1"/>
  <c r="IQ27" i="1" s="1"/>
  <c r="IR27" i="1" s="1"/>
  <c r="X40" i="1"/>
  <c r="X28" i="1"/>
  <c r="X64" i="1"/>
  <c r="F5" i="1" l="1"/>
  <c r="F6" i="1" s="1"/>
  <c r="F7" i="1" s="1"/>
  <c r="G7" i="1" s="1"/>
</calcChain>
</file>

<file path=xl/sharedStrings.xml><?xml version="1.0" encoding="utf-8"?>
<sst xmlns="http://schemas.openxmlformats.org/spreadsheetml/2006/main" count="184" uniqueCount="139">
  <si>
    <t>Price</t>
  </si>
  <si>
    <t>Shares</t>
  </si>
  <si>
    <t>Market Cap</t>
  </si>
  <si>
    <t>Net Cash</t>
  </si>
  <si>
    <t>EV</t>
  </si>
  <si>
    <t>per share</t>
  </si>
  <si>
    <t>CEO</t>
  </si>
  <si>
    <t>Founder</t>
  </si>
  <si>
    <t>Revenue</t>
  </si>
  <si>
    <t>Net income</t>
  </si>
  <si>
    <t>Revenue y/y</t>
  </si>
  <si>
    <t>Advertising</t>
  </si>
  <si>
    <t>Other</t>
  </si>
  <si>
    <t>COGS</t>
  </si>
  <si>
    <t>Gross Profit</t>
  </si>
  <si>
    <t>Operating Expenses</t>
  </si>
  <si>
    <t>Operating Income</t>
  </si>
  <si>
    <t>Interest Income</t>
  </si>
  <si>
    <t>Pretax Income</t>
  </si>
  <si>
    <t>Taxes</t>
  </si>
  <si>
    <t>EPS</t>
  </si>
  <si>
    <t>R&amp;D y/y</t>
  </si>
  <si>
    <t>Gross Margin</t>
  </si>
  <si>
    <t>Operating Margin</t>
  </si>
  <si>
    <t>Tax Rate</t>
  </si>
  <si>
    <t>ROIC</t>
  </si>
  <si>
    <t>Intangibles</t>
  </si>
  <si>
    <t>Total assets</t>
  </si>
  <si>
    <t>ROE</t>
  </si>
  <si>
    <t>ROA</t>
  </si>
  <si>
    <t>ROTB</t>
  </si>
  <si>
    <t>ROTWC</t>
  </si>
  <si>
    <t>Cash</t>
  </si>
  <si>
    <t>Debt</t>
  </si>
  <si>
    <t>TWC</t>
  </si>
  <si>
    <t>Equity</t>
  </si>
  <si>
    <t>S&amp;G&amp;A y/y</t>
  </si>
  <si>
    <t>Maturity</t>
  </si>
  <si>
    <t>Discount</t>
  </si>
  <si>
    <t>NPV</t>
  </si>
  <si>
    <t>Value</t>
  </si>
  <si>
    <t>Investor Relations</t>
  </si>
  <si>
    <t>Q418</t>
  </si>
  <si>
    <t>Advertising y/y</t>
  </si>
  <si>
    <t>Other y/y</t>
  </si>
  <si>
    <t>Q318</t>
  </si>
  <si>
    <t>Q218</t>
  </si>
  <si>
    <t>Q118</t>
  </si>
  <si>
    <t>Q417</t>
  </si>
  <si>
    <t>Q317</t>
  </si>
  <si>
    <t>Q217</t>
  </si>
  <si>
    <t>Q117</t>
  </si>
  <si>
    <t>31/12/2018</t>
  </si>
  <si>
    <t>31/12/2017</t>
  </si>
  <si>
    <t>30/9/2018</t>
  </si>
  <si>
    <t>Total liabilities</t>
  </si>
  <si>
    <t>Net income TTM</t>
  </si>
  <si>
    <t>Net Income</t>
  </si>
  <si>
    <t>30/9/2017</t>
  </si>
  <si>
    <t>30/6/2018</t>
  </si>
  <si>
    <t>30/6/2017</t>
  </si>
  <si>
    <t>31/3/2018</t>
  </si>
  <si>
    <t>31/3/2017</t>
  </si>
  <si>
    <t>USD/RMB</t>
  </si>
  <si>
    <t>Revenue USD</t>
  </si>
  <si>
    <t>Net Income USD</t>
  </si>
  <si>
    <t>31/12/2016</t>
  </si>
  <si>
    <t>30/9/2016</t>
  </si>
  <si>
    <t>30/6/2016</t>
  </si>
  <si>
    <t>31/3/2016</t>
  </si>
  <si>
    <t>Q116</t>
  </si>
  <si>
    <t>Q216</t>
  </si>
  <si>
    <t>Q316</t>
  </si>
  <si>
    <t>Q416</t>
  </si>
  <si>
    <t>30/6/2015</t>
  </si>
  <si>
    <t>30/9/2015</t>
  </si>
  <si>
    <t>31/12/2015</t>
  </si>
  <si>
    <t>Q415</t>
  </si>
  <si>
    <t>Q315</t>
  </si>
  <si>
    <t>Q215</t>
  </si>
  <si>
    <t>Q115</t>
  </si>
  <si>
    <t>31/3/2015</t>
  </si>
  <si>
    <t>31/3/2019</t>
  </si>
  <si>
    <t>Q119</t>
  </si>
  <si>
    <t>30/6/2019</t>
  </si>
  <si>
    <t>Q219</t>
  </si>
  <si>
    <t>31/12/2019</t>
  </si>
  <si>
    <t>30/9/2019</t>
  </si>
  <si>
    <t>Q319</t>
  </si>
  <si>
    <t>Q419</t>
  </si>
  <si>
    <t>OE y/y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</si>
  <si>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</si>
  <si>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</si>
  <si>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</si>
  <si>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</si>
  <si>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Products</t>
  </si>
  <si>
    <t>Net Cash USD</t>
  </si>
  <si>
    <t>Revenue y/y USD</t>
  </si>
  <si>
    <t>Tencent Holdings LTD (TCEHY)</t>
  </si>
  <si>
    <t>Ma Huateng</t>
  </si>
  <si>
    <t>Tony Zhang</t>
  </si>
  <si>
    <t>WeChat + Weixin MAU</t>
  </si>
  <si>
    <t>QQ MAU</t>
  </si>
  <si>
    <t>VAS subscriptions</t>
  </si>
  <si>
    <t>QQ</t>
  </si>
  <si>
    <t>VAS</t>
  </si>
  <si>
    <t>Qzone</t>
  </si>
  <si>
    <t>Social networking platform</t>
  </si>
  <si>
    <t>WeChat/ Weixin</t>
  </si>
  <si>
    <t>PUBG Mobile</t>
  </si>
  <si>
    <t>Gaming</t>
  </si>
  <si>
    <t>CoD Mobile</t>
  </si>
  <si>
    <t>Tencent Video</t>
  </si>
  <si>
    <t>Original video content</t>
  </si>
  <si>
    <t>LiCaiTong</t>
  </si>
  <si>
    <t>Wealth management platform</t>
  </si>
  <si>
    <t>Financial</t>
  </si>
  <si>
    <t>WeiLiDai</t>
  </si>
  <si>
    <t>Micro-loans (via WeBank)</t>
  </si>
  <si>
    <t>Tencent Meeting</t>
  </si>
  <si>
    <t>Digital content and services</t>
  </si>
  <si>
    <t>Social media and mini games</t>
  </si>
  <si>
    <t>Services</t>
  </si>
  <si>
    <t>VAS y/y</t>
  </si>
  <si>
    <t>Services y/y</t>
  </si>
  <si>
    <t>S&amp;M</t>
  </si>
  <si>
    <t>G&amp;A</t>
  </si>
  <si>
    <t>FILINGS</t>
  </si>
  <si>
    <t>S&amp;G</t>
  </si>
  <si>
    <t>Video conferencing</t>
  </si>
  <si>
    <t>WeChat Work</t>
  </si>
  <si>
    <t>Teamwork hub</t>
  </si>
  <si>
    <t>Multiplayer action game</t>
  </si>
  <si>
    <t>Competetive modern combat game</t>
  </si>
  <si>
    <t>Brawl Stars</t>
  </si>
  <si>
    <t>Battle royale game</t>
  </si>
  <si>
    <t>Clash of Clans</t>
  </si>
  <si>
    <t>Mobile strategy game</t>
  </si>
  <si>
    <t>Q120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</si>
</sst>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6" x14ac:knownFonts="1"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Border="1"/>
    <xf numFmtId="10" fontId="3" fillId="0" borderId="0" xfId="0" applyNumberFormat="1" applyFont="1"/>
    <xf numFmtId="0" fontId="2" fillId="0" borderId="0" xfId="0" applyFont="1" applyBorder="1"/>
    <xf numFmtId="0" fontId="4" fillId="0" borderId="0" xfId="0" applyFont="1" applyBorder="1"/>
    <xf numFmtId="3" fontId="3" fillId="2" borderId="0" xfId="0" applyNumberFormat="1" applyFont="1" applyFill="1"/>
    <xf numFmtId="4" fontId="3" fillId="2" borderId="0" xfId="0" applyNumberFormat="1" applyFont="1" applyFill="1"/>
    <xf numFmtId="0" fontId="3" fillId="0" borderId="0" xfId="0" applyFont="1" applyFill="1" applyBorder="1"/>
    <xf numFmtId="9" fontId="3" fillId="0" borderId="0" xfId="0" applyNumberFormat="1" applyFont="1"/>
    <xf numFmtId="3" fontId="2" fillId="2" borderId="0" xfId="0" applyNumberFormat="1" applyFont="1" applyFill="1"/>
    <xf numFmtId="164" fontId="3" fillId="2" borderId="0" xfId="0" applyNumberFormat="1" applyFont="1" applyFill="1"/>
    <xf numFmtId="164" fontId="2" fillId="2" borderId="0" xfId="0" applyNumberFormat="1" applyFont="1" applyFill="1"/>
    <xf numFmtId="2" fontId="3" fillId="2" borderId="0" xfId="0" applyNumberFormat="1" applyFont="1" applyFill="1"/>
    <xf numFmtId="0" fontId="3" fillId="0" borderId="0" xfId="0" applyFont="1" applyFill="1"/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2" fillId="0" borderId="0" xfId="0" applyNumberFormat="1" applyFont="1"/>
    <xf numFmtId="3" fontId="2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9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9" fontId="2" fillId="0" borderId="0" xfId="0" applyNumberFormat="1" applyFont="1" applyAlignment="1">
      <alignment horizontal="right"/>
    </xf>
    <xf numFmtId="9" fontId="3" fillId="0" borderId="1" xfId="0" applyNumberFormat="1" applyFont="1" applyBorder="1" applyAlignment="1">
      <alignment horizontal="right"/>
    </xf>
    <xf numFmtId="4" fontId="3" fillId="2" borderId="0" xfId="0" applyNumberFormat="1" applyFont="1" applyFill="1" applyAlignment="1">
      <alignment horizontal="right"/>
    </xf>
    <xf numFmtId="9" fontId="3" fillId="0" borderId="0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2" fillId="0" borderId="0" xfId="0" applyNumberFormat="1" applyFont="1"/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9" fontId="2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0" applyNumberFormat="1" applyFont="1" applyFill="1" applyAlignment="1">
      <alignment horizontal="right"/>
    </xf>
    <xf numFmtId="9" fontId="4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1" applyAlignment="1">
      <alignment horizontal="left"/>
    </xf>
    <xf numFmtId="0" fontId="1" fillId="0" borderId="0" xfId="1"/>
    <xf numFmtId="14" fontId="3" fillId="0" borderId="1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10</xdr:row>
      <xdr:rowOff>12700</xdr:rowOff>
    </xdr:from>
    <xdr:to>
      <xdr:col>9</xdr:col>
      <xdr:colOff>228600</xdr:colOff>
      <xdr:row>69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064500" y="1663700"/>
          <a:ext cx="0" cy="90678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1</xdr:row>
      <xdr:rowOff>12700</xdr:rowOff>
    </xdr:from>
    <xdr:to>
      <xdr:col>22</xdr:col>
      <xdr:colOff>254000</xdr:colOff>
      <xdr:row>55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5DC75-4F2A-C04B-B2FE-F6A7256CBCA9}"/>
            </a:ext>
          </a:extLst>
        </xdr:cNvPr>
        <xdr:cNvCxnSpPr/>
      </xdr:nvCxnSpPr>
      <xdr:spPr>
        <a:xfrm>
          <a:off x="18884900" y="177800"/>
          <a:ext cx="0" cy="8902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_Huateng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www.tencent.com/en-us/investors.html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Tony_Zhang" TargetMode="External"/><Relationship Id="rId4" Type="http://schemas.openxmlformats.org/officeDocument/2006/relationships/hyperlink" Target="https://en.wikipedia.org/wiki/Ma_Huate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tencent.com/en-us/investors/financial-new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68"/>
  <sheetViews>
    <sheetView tabSelected="1"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E9" sqref="E9"/>
    </sheetView>
  </sheetViews>
  <sheetFormatPr baseColWidth="10" defaultRowHeight="13" x14ac:dyDescent="0.15"/>
  <cols>
    <col min="1" max="1" width="17.1640625" style="3" bestFit="1" customWidth="1"/>
    <col min="2" max="16384" width="10.83203125" style="3"/>
  </cols>
  <sheetData>
    <row r="1" spans="1:24" x14ac:dyDescent="0.15">
      <c r="A1" s="58" t="s">
        <v>41</v>
      </c>
      <c r="B1" s="2" t="s">
        <v>98</v>
      </c>
    </row>
    <row r="2" spans="1:24" x14ac:dyDescent="0.15">
      <c r="B2" s="3" t="s">
        <v>0</v>
      </c>
      <c r="C2" s="4">
        <v>56</v>
      </c>
      <c r="D2" s="61">
        <v>43965</v>
      </c>
      <c r="E2" s="7" t="s">
        <v>37</v>
      </c>
      <c r="F2" s="8">
        <v>-0.01</v>
      </c>
      <c r="I2" s="5"/>
    </row>
    <row r="3" spans="1:24" x14ac:dyDescent="0.15">
      <c r="A3" s="2" t="s">
        <v>6</v>
      </c>
      <c r="B3" s="3" t="s">
        <v>1</v>
      </c>
      <c r="C3" s="5">
        <f>'Reports RMB'!V20</f>
        <v>9550</v>
      </c>
      <c r="D3" s="62" t="s">
        <v>138</v>
      </c>
      <c r="E3" s="7" t="s">
        <v>25</v>
      </c>
      <c r="F3" s="8">
        <v>0.02</v>
      </c>
      <c r="G3" s="6" t="s">
        <v>91</v>
      </c>
      <c r="I3" s="5"/>
    </row>
    <row r="4" spans="1:24" x14ac:dyDescent="0.15">
      <c r="A4" s="59" t="s">
        <v>99</v>
      </c>
      <c r="B4" s="3" t="s">
        <v>2</v>
      </c>
      <c r="C4" s="11">
        <f>C3*C2</f>
        <v>534800</v>
      </c>
      <c r="D4" s="62"/>
      <c r="E4" s="7" t="s">
        <v>38</v>
      </c>
      <c r="F4" s="8">
        <f>6%</f>
        <v>0.06</v>
      </c>
      <c r="G4" s="6" t="s">
        <v>92</v>
      </c>
      <c r="I4" s="14"/>
      <c r="L4" s="1" t="s">
        <v>93</v>
      </c>
    </row>
    <row r="5" spans="1:24" x14ac:dyDescent="0.15">
      <c r="B5" s="3" t="s">
        <v>3</v>
      </c>
      <c r="C5" s="5">
        <f>'Reports RMB'!V30/Main!C9</f>
        <v>-437.6056338028169</v>
      </c>
      <c r="D5" s="62" t="s">
        <v>89</v>
      </c>
      <c r="E5" s="7" t="s">
        <v>39</v>
      </c>
      <c r="F5" s="16">
        <f>NPV(F4,J27:IR27)</f>
        <v>5093181.2190281209</v>
      </c>
      <c r="G5" s="6" t="s">
        <v>94</v>
      </c>
      <c r="I5" s="14"/>
    </row>
    <row r="6" spans="1:24" x14ac:dyDescent="0.15">
      <c r="A6" s="2" t="s">
        <v>7</v>
      </c>
      <c r="B6" s="3" t="s">
        <v>4</v>
      </c>
      <c r="C6" s="11">
        <f>C4-C5</f>
        <v>535237.60563380283</v>
      </c>
      <c r="D6" s="62"/>
      <c r="E6" s="9" t="s">
        <v>40</v>
      </c>
      <c r="F6" s="17">
        <f>F5/C9+C5</f>
        <v>716911.86183494667</v>
      </c>
      <c r="I6" s="14"/>
    </row>
    <row r="7" spans="1:24" x14ac:dyDescent="0.15">
      <c r="A7" s="59" t="s">
        <v>99</v>
      </c>
      <c r="B7" s="6" t="s">
        <v>5</v>
      </c>
      <c r="C7" s="12">
        <f>C6/C3</f>
        <v>56.045822579455795</v>
      </c>
      <c r="D7" s="62"/>
      <c r="E7" s="10" t="s">
        <v>5</v>
      </c>
      <c r="F7" s="18">
        <f>F6/C3</f>
        <v>75.0693049041829</v>
      </c>
      <c r="G7" s="14">
        <f>F7/C2-1</f>
        <v>0.34052330186040902</v>
      </c>
    </row>
    <row r="8" spans="1:24" x14ac:dyDescent="0.15">
      <c r="A8" s="59" t="s">
        <v>100</v>
      </c>
      <c r="D8" s="62"/>
    </row>
    <row r="9" spans="1:24" x14ac:dyDescent="0.15">
      <c r="A9" s="1"/>
      <c r="B9" s="2" t="s">
        <v>63</v>
      </c>
      <c r="C9" s="4">
        <v>7.1</v>
      </c>
      <c r="D9" s="61">
        <v>43966</v>
      </c>
    </row>
    <row r="10" spans="1:24" x14ac:dyDescent="0.15">
      <c r="A10" s="1"/>
    </row>
    <row r="11" spans="1:24" x14ac:dyDescent="0.15">
      <c r="B11" s="21">
        <v>2012</v>
      </c>
      <c r="C11" s="21">
        <v>2013</v>
      </c>
      <c r="D11" s="21">
        <v>2014</v>
      </c>
      <c r="E11" s="21">
        <v>2015</v>
      </c>
      <c r="F11" s="21">
        <v>2016</v>
      </c>
      <c r="G11" s="21">
        <v>2017</v>
      </c>
      <c r="H11" s="21">
        <v>2018</v>
      </c>
      <c r="I11" s="21">
        <v>2019</v>
      </c>
      <c r="J11" s="21">
        <v>2020</v>
      </c>
      <c r="K11" s="21">
        <v>2021</v>
      </c>
      <c r="L11" s="21">
        <v>2022</v>
      </c>
      <c r="M11" s="21">
        <f>L11+1</f>
        <v>2023</v>
      </c>
      <c r="N11" s="21">
        <f t="shared" ref="N11:S11" si="0">M11+1</f>
        <v>2024</v>
      </c>
      <c r="O11" s="21">
        <f t="shared" si="0"/>
        <v>2025</v>
      </c>
      <c r="P11" s="21">
        <f t="shared" si="0"/>
        <v>2026</v>
      </c>
      <c r="Q11" s="21">
        <f t="shared" si="0"/>
        <v>2027</v>
      </c>
      <c r="R11" s="21">
        <f t="shared" si="0"/>
        <v>2028</v>
      </c>
      <c r="S11" s="21">
        <f t="shared" si="0"/>
        <v>2029</v>
      </c>
      <c r="T11" s="21">
        <f t="shared" ref="T11" si="1">S11+1</f>
        <v>2030</v>
      </c>
      <c r="U11" s="21">
        <f t="shared" ref="U11" si="2">T11+1</f>
        <v>2031</v>
      </c>
      <c r="V11" s="21">
        <f t="shared" ref="V11" si="3">U11+1</f>
        <v>2032</v>
      </c>
      <c r="W11" s="21">
        <f t="shared" ref="W11" si="4">V11+1</f>
        <v>2033</v>
      </c>
      <c r="X11" s="21">
        <f t="shared" ref="X11" si="5">W11+1</f>
        <v>2034</v>
      </c>
    </row>
    <row r="12" spans="1:24" x14ac:dyDescent="0.15">
      <c r="A12" s="5" t="s">
        <v>105</v>
      </c>
      <c r="B12" s="25">
        <f>31995+3723</f>
        <v>35718</v>
      </c>
      <c r="C12" s="25">
        <v>44985</v>
      </c>
      <c r="D12" s="25">
        <v>63310</v>
      </c>
      <c r="E12" s="25">
        <f>SUM('Reports RMB'!B3:E3)</f>
        <v>80669</v>
      </c>
      <c r="F12" s="25">
        <f>SUM('Reports RMB'!F3:I3)</f>
        <v>107810</v>
      </c>
      <c r="G12" s="25">
        <f>SUM('Reports RMB'!J3:M3)</f>
        <v>153983</v>
      </c>
      <c r="H12" s="25">
        <f>SUM('Reports RMB'!N3:Q3)</f>
        <v>176646</v>
      </c>
      <c r="I12" s="25">
        <f>SUM('Reports RMB'!R3:U3)</f>
        <v>199991</v>
      </c>
      <c r="J12" s="25">
        <f>I12*1.15</f>
        <v>229989.65</v>
      </c>
      <c r="K12" s="25">
        <f t="shared" ref="K12:N12" si="6">J12*1.15</f>
        <v>264488.09749999997</v>
      </c>
      <c r="L12" s="25">
        <f t="shared" si="6"/>
        <v>304161.31212499994</v>
      </c>
      <c r="M12" s="25">
        <f t="shared" si="6"/>
        <v>349785.50894374988</v>
      </c>
      <c r="N12" s="25">
        <f t="shared" si="6"/>
        <v>402253.33528531232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x14ac:dyDescent="0.15">
      <c r="A13" s="5" t="s">
        <v>122</v>
      </c>
      <c r="B13" s="25"/>
      <c r="C13" s="25"/>
      <c r="D13" s="25"/>
      <c r="E13" s="25"/>
      <c r="F13" s="25"/>
      <c r="G13" s="25"/>
      <c r="H13" s="25">
        <f>SUM('Reports RMB'!N4:Q4)</f>
        <v>73138</v>
      </c>
      <c r="I13" s="25">
        <f>SUM('Reports RMB'!R4:U4)</f>
        <v>101355</v>
      </c>
      <c r="J13" s="25">
        <f>I13*1.2</f>
        <v>121626</v>
      </c>
      <c r="K13" s="25">
        <f t="shared" ref="K13:N13" si="7">J13*1.2</f>
        <v>145951.19999999998</v>
      </c>
      <c r="L13" s="25">
        <f t="shared" si="7"/>
        <v>175141.43999999997</v>
      </c>
      <c r="M13" s="25">
        <f t="shared" si="7"/>
        <v>210169.72799999997</v>
      </c>
      <c r="N13" s="25">
        <f t="shared" si="7"/>
        <v>252203.67359999995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x14ac:dyDescent="0.15">
      <c r="A14" s="5" t="s">
        <v>11</v>
      </c>
      <c r="B14" s="25">
        <v>3382</v>
      </c>
      <c r="C14" s="25">
        <v>5034</v>
      </c>
      <c r="D14" s="25">
        <v>8308</v>
      </c>
      <c r="E14" s="25">
        <f>SUM('Reports RMB'!B5:E5)</f>
        <v>17468</v>
      </c>
      <c r="F14" s="25">
        <f>SUM('Reports RMB'!F5:I5)</f>
        <v>26970</v>
      </c>
      <c r="G14" s="25">
        <f>SUM('Reports RMB'!J5:M5)</f>
        <v>40439</v>
      </c>
      <c r="H14" s="25">
        <f>SUM('Reports RMB'!N5:Q5)</f>
        <v>58079</v>
      </c>
      <c r="I14" s="25">
        <f>SUM('Reports RMB'!R5:U5)</f>
        <v>68377</v>
      </c>
      <c r="J14" s="25">
        <f>I14*1.15</f>
        <v>78633.549999999988</v>
      </c>
      <c r="K14" s="25">
        <f t="shared" ref="K14:N14" si="8">J14*1.15</f>
        <v>90428.582499999975</v>
      </c>
      <c r="L14" s="25">
        <f t="shared" si="8"/>
        <v>103992.86987499996</v>
      </c>
      <c r="M14" s="25">
        <f t="shared" si="8"/>
        <v>119591.80035624995</v>
      </c>
      <c r="N14" s="25">
        <f t="shared" si="8"/>
        <v>137530.57040968744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x14ac:dyDescent="0.15">
      <c r="A15" s="5" t="s">
        <v>12</v>
      </c>
      <c r="B15" s="25">
        <f>4428+365</f>
        <v>4793</v>
      </c>
      <c r="C15" s="25">
        <f>9796+622</f>
        <v>10418</v>
      </c>
      <c r="D15" s="25">
        <f>4743+2561</f>
        <v>7304</v>
      </c>
      <c r="E15" s="25">
        <f>SUM('Reports RMB'!B6:E6)</f>
        <v>4726</v>
      </c>
      <c r="F15" s="25">
        <f>SUM('Reports RMB'!F6:I6)</f>
        <v>17158</v>
      </c>
      <c r="G15" s="25">
        <f>SUM('Reports RMB'!J6:M6)</f>
        <v>43338</v>
      </c>
      <c r="H15" s="25">
        <f>SUM('Reports RMB'!N6:Q6)</f>
        <v>4831</v>
      </c>
      <c r="I15" s="25">
        <f>SUM('Reports RMB'!R6:U6)</f>
        <v>7566</v>
      </c>
      <c r="J15" s="25">
        <f>I15*1.25</f>
        <v>9457.5</v>
      </c>
      <c r="K15" s="25">
        <f t="shared" ref="K15:N15" si="9">J15*1.25</f>
        <v>11821.875</v>
      </c>
      <c r="L15" s="25">
        <f t="shared" si="9"/>
        <v>14777.34375</v>
      </c>
      <c r="M15" s="25">
        <f t="shared" si="9"/>
        <v>18471.6796875</v>
      </c>
      <c r="N15" s="25">
        <f t="shared" si="9"/>
        <v>23089.599609375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x14ac:dyDescent="0.15">
      <c r="B16" s="21"/>
      <c r="C16" s="21"/>
      <c r="D16" s="21"/>
      <c r="E16" s="21"/>
      <c r="F16" s="21"/>
      <c r="G16" s="21"/>
      <c r="H16" s="48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52" s="2" customFormat="1" x14ac:dyDescent="0.15">
      <c r="A17" s="2" t="s">
        <v>8</v>
      </c>
      <c r="B17" s="28">
        <f t="shared" ref="B17:J17" si="10">SUM(B12:B15)</f>
        <v>43893</v>
      </c>
      <c r="C17" s="28">
        <f t="shared" si="10"/>
        <v>60437</v>
      </c>
      <c r="D17" s="28">
        <f t="shared" si="10"/>
        <v>78922</v>
      </c>
      <c r="E17" s="28">
        <f t="shared" si="10"/>
        <v>102863</v>
      </c>
      <c r="F17" s="28">
        <f t="shared" si="10"/>
        <v>151938</v>
      </c>
      <c r="G17" s="28">
        <f t="shared" si="10"/>
        <v>237760</v>
      </c>
      <c r="H17" s="28">
        <f t="shared" si="10"/>
        <v>312694</v>
      </c>
      <c r="I17" s="28">
        <f t="shared" si="10"/>
        <v>377289</v>
      </c>
      <c r="J17" s="49">
        <f t="shared" si="10"/>
        <v>439706.7</v>
      </c>
      <c r="K17" s="49">
        <f t="shared" ref="K17:M17" si="11">SUM(K12:K15)</f>
        <v>512689.75499999995</v>
      </c>
      <c r="L17" s="49">
        <f t="shared" si="11"/>
        <v>598072.96574999986</v>
      </c>
      <c r="M17" s="49">
        <f t="shared" si="11"/>
        <v>698018.71698749973</v>
      </c>
      <c r="N17" s="49">
        <f>SUM(N12:N15)</f>
        <v>815077.17890437471</v>
      </c>
      <c r="O17" s="49">
        <f>N17*1.05</f>
        <v>855831.03784959344</v>
      </c>
      <c r="P17" s="49">
        <f t="shared" ref="P17:X17" si="12">O17*1.05</f>
        <v>898622.58974207321</v>
      </c>
      <c r="Q17" s="49">
        <f t="shared" si="12"/>
        <v>943553.71922917687</v>
      </c>
      <c r="R17" s="49">
        <f t="shared" si="12"/>
        <v>990731.40519063571</v>
      </c>
      <c r="S17" s="49">
        <f t="shared" si="12"/>
        <v>1040267.9754501675</v>
      </c>
      <c r="T17" s="49">
        <f t="shared" si="12"/>
        <v>1092281.374222676</v>
      </c>
      <c r="U17" s="49">
        <f t="shared" si="12"/>
        <v>1146895.4429338099</v>
      </c>
      <c r="V17" s="49">
        <f t="shared" si="12"/>
        <v>1204240.2150805006</v>
      </c>
      <c r="W17" s="49">
        <f t="shared" si="12"/>
        <v>1264452.2258345257</v>
      </c>
      <c r="X17" s="49">
        <f t="shared" si="12"/>
        <v>1327674.837126252</v>
      </c>
    </row>
    <row r="18" spans="1:252" s="2" customFormat="1" x14ac:dyDescent="0.15">
      <c r="A18" s="3" t="s">
        <v>13</v>
      </c>
      <c r="B18" s="25">
        <v>18207</v>
      </c>
      <c r="C18" s="25">
        <v>27778</v>
      </c>
      <c r="D18" s="25">
        <v>30873</v>
      </c>
      <c r="E18" s="25">
        <f>SUM('Reports RMB'!B9:E9)</f>
        <v>41631</v>
      </c>
      <c r="F18" s="25">
        <f>SUM('Reports RMB'!F9:I9)</f>
        <v>67439</v>
      </c>
      <c r="G18" s="25">
        <f>SUM('Reports RMB'!J9:M9)</f>
        <v>120835</v>
      </c>
      <c r="H18" s="25">
        <f>SUM('Reports RMB'!N9:Q9)</f>
        <v>170574</v>
      </c>
      <c r="I18" s="25">
        <f>SUM('Reports RMB'!R9:U9)</f>
        <v>209756</v>
      </c>
      <c r="J18" s="47">
        <f>J17-J19</f>
        <v>244457.48104291403</v>
      </c>
      <c r="K18" s="47">
        <f t="shared" ref="K18:S18" si="13">K17-K19</f>
        <v>285032.83225797722</v>
      </c>
      <c r="L18" s="47">
        <f t="shared" si="13"/>
        <v>332502.12172593677</v>
      </c>
      <c r="M18" s="47">
        <f t="shared" si="13"/>
        <v>388067.53973858227</v>
      </c>
      <c r="N18" s="47">
        <f t="shared" si="13"/>
        <v>453146.8681521751</v>
      </c>
      <c r="O18" s="47">
        <f t="shared" si="13"/>
        <v>475804.21155978384</v>
      </c>
      <c r="P18" s="47">
        <f t="shared" si="13"/>
        <v>499594.42213777307</v>
      </c>
      <c r="Q18" s="47">
        <f t="shared" si="13"/>
        <v>524574.14324466174</v>
      </c>
      <c r="R18" s="47">
        <f t="shared" si="13"/>
        <v>550802.85040689481</v>
      </c>
      <c r="S18" s="47">
        <f t="shared" si="13"/>
        <v>578342.99292723951</v>
      </c>
      <c r="T18" s="47">
        <f t="shared" ref="T18:X18" si="14">T17-T19</f>
        <v>607260.14257360157</v>
      </c>
      <c r="U18" s="47">
        <f t="shared" si="14"/>
        <v>637623.14970228169</v>
      </c>
      <c r="V18" s="47">
        <f t="shared" si="14"/>
        <v>669504.30718739587</v>
      </c>
      <c r="W18" s="47">
        <f t="shared" si="14"/>
        <v>702979.52254676563</v>
      </c>
      <c r="X18" s="47">
        <f t="shared" si="14"/>
        <v>738128.49867410387</v>
      </c>
    </row>
    <row r="19" spans="1:252" s="2" customFormat="1" x14ac:dyDescent="0.15">
      <c r="A19" s="3" t="s">
        <v>14</v>
      </c>
      <c r="B19" s="29">
        <f t="shared" ref="B19" si="15">B17-B18</f>
        <v>25686</v>
      </c>
      <c r="C19" s="29">
        <f t="shared" ref="C19:D19" si="16">C17-C18</f>
        <v>32659</v>
      </c>
      <c r="D19" s="29">
        <f t="shared" si="16"/>
        <v>48049</v>
      </c>
      <c r="E19" s="29">
        <f t="shared" ref="E19:I19" si="17">E17-E18</f>
        <v>61232</v>
      </c>
      <c r="F19" s="29">
        <f t="shared" si="17"/>
        <v>84499</v>
      </c>
      <c r="G19" s="29">
        <f t="shared" si="17"/>
        <v>116925</v>
      </c>
      <c r="H19" s="29">
        <f t="shared" si="17"/>
        <v>142120</v>
      </c>
      <c r="I19" s="29">
        <f t="shared" si="17"/>
        <v>167533</v>
      </c>
      <c r="J19" s="47">
        <f t="shared" ref="J19:X19" si="18">J17*I36</f>
        <v>195249.21895708598</v>
      </c>
      <c r="K19" s="47">
        <f t="shared" si="18"/>
        <v>227656.92274202273</v>
      </c>
      <c r="L19" s="47">
        <f t="shared" si="18"/>
        <v>265570.84402406309</v>
      </c>
      <c r="M19" s="47">
        <f t="shared" si="18"/>
        <v>309951.17724891746</v>
      </c>
      <c r="N19" s="47">
        <f t="shared" si="18"/>
        <v>361930.31075219961</v>
      </c>
      <c r="O19" s="47">
        <f t="shared" si="18"/>
        <v>380026.8262898096</v>
      </c>
      <c r="P19" s="47">
        <f t="shared" si="18"/>
        <v>399028.16760430014</v>
      </c>
      <c r="Q19" s="47">
        <f t="shared" si="18"/>
        <v>418979.57598451513</v>
      </c>
      <c r="R19" s="47">
        <f t="shared" si="18"/>
        <v>439928.5547837409</v>
      </c>
      <c r="S19" s="47">
        <f t="shared" si="18"/>
        <v>461924.98252292798</v>
      </c>
      <c r="T19" s="47">
        <f t="shared" si="18"/>
        <v>485021.23164907441</v>
      </c>
      <c r="U19" s="47">
        <f t="shared" si="18"/>
        <v>509272.29323152819</v>
      </c>
      <c r="V19" s="47">
        <f t="shared" si="18"/>
        <v>534735.90789310471</v>
      </c>
      <c r="W19" s="47">
        <f t="shared" si="18"/>
        <v>561472.70328776003</v>
      </c>
      <c r="X19" s="47">
        <f t="shared" si="18"/>
        <v>589546.33845214813</v>
      </c>
    </row>
    <row r="20" spans="1:252" s="2" customFormat="1" x14ac:dyDescent="0.15">
      <c r="A20" s="3" t="s">
        <v>125</v>
      </c>
      <c r="B20" s="25">
        <v>2993</v>
      </c>
      <c r="C20" s="25">
        <v>5695</v>
      </c>
      <c r="D20" s="25">
        <v>7797</v>
      </c>
      <c r="E20" s="25">
        <f>SUM('Reports RMB'!B11:E11)</f>
        <v>7993</v>
      </c>
      <c r="F20" s="25">
        <f>SUM('Reports RMB'!F11:I11)</f>
        <v>12136</v>
      </c>
      <c r="G20" s="25">
        <f>SUM('Reports RMB'!J11:M11)</f>
        <v>17652</v>
      </c>
      <c r="H20" s="25">
        <f>SUM('Reports RMB'!N11:Q11)</f>
        <v>24233</v>
      </c>
      <c r="I20" s="25">
        <f>SUM('Reports RMB'!R11:U11)</f>
        <v>21396</v>
      </c>
      <c r="J20" s="47">
        <f>I20*1.1</f>
        <v>23535.600000000002</v>
      </c>
      <c r="K20" s="47">
        <f t="shared" ref="K20:N20" si="19">J20*1.1</f>
        <v>25889.160000000003</v>
      </c>
      <c r="L20" s="47">
        <f t="shared" si="19"/>
        <v>28478.076000000005</v>
      </c>
      <c r="M20" s="47">
        <f t="shared" si="19"/>
        <v>31325.883600000008</v>
      </c>
      <c r="N20" s="47">
        <f t="shared" si="19"/>
        <v>34458.47196000001</v>
      </c>
      <c r="O20" s="47">
        <f t="shared" ref="O20" si="20">N20*1.05</f>
        <v>36181.395558000011</v>
      </c>
      <c r="P20" s="47">
        <f t="shared" ref="P20" si="21">O20*1.05</f>
        <v>37990.465335900015</v>
      </c>
      <c r="Q20" s="47">
        <f t="shared" ref="Q20" si="22">P20*1.05</f>
        <v>39889.988602695019</v>
      </c>
      <c r="R20" s="47">
        <f t="shared" ref="R20" si="23">Q20*1.05</f>
        <v>41884.488032829773</v>
      </c>
      <c r="S20" s="47">
        <f t="shared" ref="S20" si="24">R20*1.05</f>
        <v>43978.712434471265</v>
      </c>
      <c r="T20" s="47">
        <f t="shared" ref="T20" si="25">S20*1.05</f>
        <v>46177.648056194826</v>
      </c>
      <c r="U20" s="47">
        <f t="shared" ref="U20" si="26">T20*1.05</f>
        <v>48486.530459004571</v>
      </c>
      <c r="V20" s="47">
        <f t="shared" ref="V20" si="27">U20*1.05</f>
        <v>50910.856981954799</v>
      </c>
      <c r="W20" s="47">
        <f t="shared" ref="W20" si="28">V20*1.05</f>
        <v>53456.399831052542</v>
      </c>
      <c r="X20" s="47">
        <f t="shared" ref="X20" si="29">W20*1.05</f>
        <v>56129.21982260517</v>
      </c>
    </row>
    <row r="21" spans="1:252" s="2" customFormat="1" x14ac:dyDescent="0.15">
      <c r="A21" s="3" t="s">
        <v>128</v>
      </c>
      <c r="B21" s="25">
        <v>7765</v>
      </c>
      <c r="C21" s="25">
        <v>9988</v>
      </c>
      <c r="D21" s="25">
        <v>14155</v>
      </c>
      <c r="E21" s="25">
        <f>SUM('Reports RMB'!B12:E12)</f>
        <v>16825</v>
      </c>
      <c r="F21" s="25">
        <f>SUM('Reports RMB'!F12:I12)</f>
        <v>22459</v>
      </c>
      <c r="G21" s="25">
        <f>SUM('Reports RMB'!J12:M12)</f>
        <v>33051</v>
      </c>
      <c r="H21" s="25">
        <f>SUM('Reports RMB'!N12:Q12)</f>
        <v>41522</v>
      </c>
      <c r="I21" s="25">
        <f>SUM('Reports RMB'!R12:U12)</f>
        <v>53446</v>
      </c>
      <c r="J21" s="47">
        <f>I21*1.1</f>
        <v>58790.600000000006</v>
      </c>
      <c r="K21" s="47">
        <f t="shared" ref="K21:N21" si="30">J21*1.1</f>
        <v>64669.660000000011</v>
      </c>
      <c r="L21" s="47">
        <f t="shared" si="30"/>
        <v>71136.626000000018</v>
      </c>
      <c r="M21" s="47">
        <f t="shared" si="30"/>
        <v>78250.288600000029</v>
      </c>
      <c r="N21" s="47">
        <f t="shared" si="30"/>
        <v>86075.317460000035</v>
      </c>
      <c r="O21" s="47">
        <f t="shared" ref="O21" si="31">N21*0.98</f>
        <v>84353.81111080003</v>
      </c>
      <c r="P21" s="47">
        <f t="shared" ref="P21" si="32">O21*0.98</f>
        <v>82666.734888584033</v>
      </c>
      <c r="Q21" s="47">
        <f t="shared" ref="Q21" si="33">P21*0.98</f>
        <v>81013.400190812346</v>
      </c>
      <c r="R21" s="47">
        <f t="shared" ref="R21" si="34">Q21*0.98</f>
        <v>79393.132186996096</v>
      </c>
      <c r="S21" s="47">
        <f t="shared" ref="S21" si="35">R21*0.98</f>
        <v>77805.269543256174</v>
      </c>
      <c r="T21" s="47">
        <f t="shared" ref="T21" si="36">S21*0.98</f>
        <v>76249.164152391051</v>
      </c>
      <c r="U21" s="47">
        <f t="shared" ref="U21" si="37">T21*0.98</f>
        <v>74724.180869343225</v>
      </c>
      <c r="V21" s="47">
        <f t="shared" ref="V21" si="38">U21*0.98</f>
        <v>73229.697251956357</v>
      </c>
      <c r="W21" s="47">
        <f t="shared" ref="W21" si="39">V21*0.98</f>
        <v>71765.103306917226</v>
      </c>
      <c r="X21" s="47">
        <f t="shared" ref="X21" si="40">W21*0.98</f>
        <v>70329.801240778877</v>
      </c>
    </row>
    <row r="22" spans="1:252" s="2" customFormat="1" x14ac:dyDescent="0.15">
      <c r="A22" s="3" t="s">
        <v>15</v>
      </c>
      <c r="B22" s="29">
        <f>SUM(B20:B21)</f>
        <v>10758</v>
      </c>
      <c r="C22" s="29">
        <f>SUM(C20:C21)</f>
        <v>15683</v>
      </c>
      <c r="D22" s="29">
        <f t="shared" ref="D22" si="41">SUM(D20:D21)</f>
        <v>21952</v>
      </c>
      <c r="E22" s="29">
        <f t="shared" ref="E22:I22" si="42">SUM(E20:E21)</f>
        <v>24818</v>
      </c>
      <c r="F22" s="29">
        <f t="shared" si="42"/>
        <v>34595</v>
      </c>
      <c r="G22" s="29">
        <f t="shared" si="42"/>
        <v>50703</v>
      </c>
      <c r="H22" s="29">
        <f t="shared" si="42"/>
        <v>65755</v>
      </c>
      <c r="I22" s="29">
        <f t="shared" si="42"/>
        <v>74842</v>
      </c>
      <c r="J22" s="47">
        <f t="shared" ref="J22:S22" si="43">SUM(J20:J21)</f>
        <v>82326.200000000012</v>
      </c>
      <c r="K22" s="47">
        <f t="shared" si="43"/>
        <v>90558.82</v>
      </c>
      <c r="L22" s="47">
        <f t="shared" si="43"/>
        <v>99614.702000000019</v>
      </c>
      <c r="M22" s="47">
        <f t="shared" si="43"/>
        <v>109576.17220000003</v>
      </c>
      <c r="N22" s="47">
        <f t="shared" si="43"/>
        <v>120533.78942000004</v>
      </c>
      <c r="O22" s="47">
        <f t="shared" si="43"/>
        <v>120535.20666880003</v>
      </c>
      <c r="P22" s="47">
        <f t="shared" si="43"/>
        <v>120657.20022448406</v>
      </c>
      <c r="Q22" s="47">
        <f t="shared" si="43"/>
        <v>120903.38879350736</v>
      </c>
      <c r="R22" s="47">
        <f t="shared" si="43"/>
        <v>121277.62021982587</v>
      </c>
      <c r="S22" s="47">
        <f t="shared" si="43"/>
        <v>121783.98197772744</v>
      </c>
      <c r="T22" s="47">
        <f t="shared" ref="T22:X22" si="44">SUM(T20:T21)</f>
        <v>122426.81220858588</v>
      </c>
      <c r="U22" s="47">
        <f t="shared" si="44"/>
        <v>123210.7113283478</v>
      </c>
      <c r="V22" s="47">
        <f t="shared" si="44"/>
        <v>124140.55423391116</v>
      </c>
      <c r="W22" s="47">
        <f t="shared" si="44"/>
        <v>125221.50313796976</v>
      </c>
      <c r="X22" s="47">
        <f t="shared" si="44"/>
        <v>126459.02106338405</v>
      </c>
    </row>
    <row r="23" spans="1:252" s="2" customFormat="1" x14ac:dyDescent="0.15">
      <c r="A23" s="3" t="s">
        <v>16</v>
      </c>
      <c r="B23" s="29">
        <f t="shared" ref="B23" si="45">B19-B22</f>
        <v>14928</v>
      </c>
      <c r="C23" s="29">
        <f t="shared" ref="C23:D23" si="46">C19-C22</f>
        <v>16976</v>
      </c>
      <c r="D23" s="29">
        <f t="shared" si="46"/>
        <v>26097</v>
      </c>
      <c r="E23" s="29">
        <f t="shared" ref="E23:I23" si="47">E19-E22</f>
        <v>36414</v>
      </c>
      <c r="F23" s="29">
        <f t="shared" si="47"/>
        <v>49904</v>
      </c>
      <c r="G23" s="29">
        <f t="shared" si="47"/>
        <v>66222</v>
      </c>
      <c r="H23" s="29">
        <f t="shared" si="47"/>
        <v>76365</v>
      </c>
      <c r="I23" s="29">
        <f t="shared" si="47"/>
        <v>92691</v>
      </c>
      <c r="J23" s="47">
        <f t="shared" ref="J23:S23" si="48">J19-J22</f>
        <v>112923.01895708597</v>
      </c>
      <c r="K23" s="47">
        <f t="shared" si="48"/>
        <v>137098.10274202272</v>
      </c>
      <c r="L23" s="47">
        <f t="shared" si="48"/>
        <v>165956.14202406307</v>
      </c>
      <c r="M23" s="47">
        <f t="shared" si="48"/>
        <v>200375.00504891743</v>
      </c>
      <c r="N23" s="47">
        <f t="shared" si="48"/>
        <v>241396.52133219957</v>
      </c>
      <c r="O23" s="47">
        <f t="shared" si="48"/>
        <v>259491.61962100957</v>
      </c>
      <c r="P23" s="47">
        <f t="shared" si="48"/>
        <v>278370.96737981611</v>
      </c>
      <c r="Q23" s="47">
        <f t="shared" si="48"/>
        <v>298076.18719100778</v>
      </c>
      <c r="R23" s="47">
        <f t="shared" si="48"/>
        <v>318650.93456391501</v>
      </c>
      <c r="S23" s="47">
        <f t="shared" si="48"/>
        <v>340141.00054520054</v>
      </c>
      <c r="T23" s="47">
        <f t="shared" ref="T23:X23" si="49">T19-T22</f>
        <v>362594.41944048856</v>
      </c>
      <c r="U23" s="47">
        <f t="shared" si="49"/>
        <v>386061.5819031804</v>
      </c>
      <c r="V23" s="47">
        <f t="shared" si="49"/>
        <v>410595.35365919356</v>
      </c>
      <c r="W23" s="47">
        <f t="shared" si="49"/>
        <v>436251.20014979027</v>
      </c>
      <c r="X23" s="47">
        <f t="shared" si="49"/>
        <v>463087.31738876412</v>
      </c>
    </row>
    <row r="24" spans="1:252" s="2" customFormat="1" x14ac:dyDescent="0.15">
      <c r="A24" s="3" t="s">
        <v>17</v>
      </c>
      <c r="B24" s="25">
        <f>836-284-348-54-26</f>
        <v>124</v>
      </c>
      <c r="C24" s="25">
        <f>1314+904-84+171</f>
        <v>2305</v>
      </c>
      <c r="D24" s="25">
        <f>1676+2759-1182-347</f>
        <v>2906</v>
      </c>
      <c r="E24" s="25">
        <f>SUM('Reports RMB'!B15:E15)</f>
        <v>-198</v>
      </c>
      <c r="F24" s="25">
        <f>SUM('Reports RMB'!F15:I15)</f>
        <v>1736</v>
      </c>
      <c r="G24" s="25">
        <f>SUM('Reports RMB'!J15:M15)</f>
        <v>21960</v>
      </c>
      <c r="H24" s="25">
        <f>SUM('Reports RMB'!N15:Q15)</f>
        <v>18101</v>
      </c>
      <c r="I24" s="25">
        <f>SUM('Reports RMB'!R15:U15)</f>
        <v>16709</v>
      </c>
      <c r="J24" s="47">
        <f>I40*$F$3</f>
        <v>-252.34</v>
      </c>
      <c r="K24" s="47">
        <f t="shared" ref="K24:X24" si="50">J40*$F$3</f>
        <v>1663.0615422704616</v>
      </c>
      <c r="L24" s="47">
        <f t="shared" si="50"/>
        <v>4022.0013351034454</v>
      </c>
      <c r="M24" s="47">
        <f t="shared" si="50"/>
        <v>6911.6297722092759</v>
      </c>
      <c r="N24" s="47">
        <f t="shared" si="50"/>
        <v>10435.502564168431</v>
      </c>
      <c r="O24" s="47">
        <f t="shared" si="50"/>
        <v>14716.646970406688</v>
      </c>
      <c r="P24" s="47">
        <f t="shared" si="50"/>
        <v>19378.187502460765</v>
      </c>
      <c r="Q24" s="47">
        <f t="shared" si="50"/>
        <v>24439.92313545947</v>
      </c>
      <c r="R24" s="47">
        <f t="shared" si="50"/>
        <v>29922.697011009412</v>
      </c>
      <c r="S24" s="47">
        <f t="shared" si="50"/>
        <v>35848.448747783128</v>
      </c>
      <c r="T24" s="47">
        <f t="shared" si="50"/>
        <v>42240.269385763851</v>
      </c>
      <c r="U24" s="47">
        <f t="shared" si="50"/>
        <v>49122.459095810147</v>
      </c>
      <c r="V24" s="47">
        <f t="shared" si="50"/>
        <v>56520.587792792991</v>
      </c>
      <c r="W24" s="47">
        <f t="shared" si="50"/>
        <v>64461.558797476762</v>
      </c>
      <c r="X24" s="47">
        <f t="shared" si="50"/>
        <v>72973.675699580301</v>
      </c>
    </row>
    <row r="25" spans="1:252" s="2" customFormat="1" x14ac:dyDescent="0.15">
      <c r="A25" s="3" t="s">
        <v>18</v>
      </c>
      <c r="B25" s="29">
        <f t="shared" ref="B25" si="51">B23+B24</f>
        <v>15052</v>
      </c>
      <c r="C25" s="29">
        <f t="shared" ref="C25:D25" si="52">C23+C24</f>
        <v>19281</v>
      </c>
      <c r="D25" s="29">
        <f t="shared" si="52"/>
        <v>29003</v>
      </c>
      <c r="E25" s="29">
        <f t="shared" ref="E25:I25" si="53">E23+E24</f>
        <v>36216</v>
      </c>
      <c r="F25" s="29">
        <f t="shared" si="53"/>
        <v>51640</v>
      </c>
      <c r="G25" s="29">
        <f t="shared" si="53"/>
        <v>88182</v>
      </c>
      <c r="H25" s="29">
        <f t="shared" si="53"/>
        <v>94466</v>
      </c>
      <c r="I25" s="29">
        <f t="shared" si="53"/>
        <v>109400</v>
      </c>
      <c r="J25" s="47">
        <f>J23+J24</f>
        <v>112670.67895708597</v>
      </c>
      <c r="K25" s="47">
        <f t="shared" ref="K25:S25" si="54">K23+K24</f>
        <v>138761.16428429319</v>
      </c>
      <c r="L25" s="47">
        <f t="shared" si="54"/>
        <v>169978.14335916651</v>
      </c>
      <c r="M25" s="47">
        <f t="shared" si="54"/>
        <v>207286.6348211267</v>
      </c>
      <c r="N25" s="47">
        <f t="shared" si="54"/>
        <v>251832.02389636799</v>
      </c>
      <c r="O25" s="47">
        <f t="shared" si="54"/>
        <v>274208.26659141626</v>
      </c>
      <c r="P25" s="47">
        <f t="shared" si="54"/>
        <v>297749.1548822769</v>
      </c>
      <c r="Q25" s="47">
        <f t="shared" si="54"/>
        <v>322516.11032646726</v>
      </c>
      <c r="R25" s="47">
        <f t="shared" si="54"/>
        <v>348573.63157492445</v>
      </c>
      <c r="S25" s="47">
        <f t="shared" si="54"/>
        <v>375989.44929298369</v>
      </c>
      <c r="T25" s="47">
        <f t="shared" ref="T25:X25" si="55">T23+T24</f>
        <v>404834.68882625242</v>
      </c>
      <c r="U25" s="47">
        <f t="shared" si="55"/>
        <v>435184.04099899053</v>
      </c>
      <c r="V25" s="47">
        <f t="shared" si="55"/>
        <v>467115.94145198655</v>
      </c>
      <c r="W25" s="47">
        <f t="shared" si="55"/>
        <v>500712.75894726702</v>
      </c>
      <c r="X25" s="47">
        <f t="shared" si="55"/>
        <v>536060.99308834446</v>
      </c>
    </row>
    <row r="26" spans="1:252" s="2" customFormat="1" x14ac:dyDescent="0.15">
      <c r="A26" s="3" t="s">
        <v>19</v>
      </c>
      <c r="B26" s="25">
        <v>2266</v>
      </c>
      <c r="C26" s="25">
        <v>3718</v>
      </c>
      <c r="D26" s="25">
        <v>5125</v>
      </c>
      <c r="E26" s="25">
        <f>SUM('Reports RMB'!B17:E17)</f>
        <v>7108</v>
      </c>
      <c r="F26" s="25">
        <f>SUM('Reports RMB'!F17:I17)</f>
        <v>10193</v>
      </c>
      <c r="G26" s="25">
        <f>SUM('Reports RMB'!J17:M17)</f>
        <v>15744</v>
      </c>
      <c r="H26" s="25">
        <f>SUM('Reports RMB'!N17:Q17)</f>
        <v>14482</v>
      </c>
      <c r="I26" s="25">
        <f>SUM('Reports RMB'!R17:U17)</f>
        <v>13512</v>
      </c>
      <c r="J26" s="47">
        <f>J25*0.15</f>
        <v>16900.601843562894</v>
      </c>
      <c r="K26" s="47">
        <f t="shared" ref="K26:X26" si="56">K25*0.15</f>
        <v>20814.174642643979</v>
      </c>
      <c r="L26" s="47">
        <f t="shared" si="56"/>
        <v>25496.721503874975</v>
      </c>
      <c r="M26" s="47">
        <f t="shared" si="56"/>
        <v>31092.995223169004</v>
      </c>
      <c r="N26" s="47">
        <f t="shared" si="56"/>
        <v>37774.8035844552</v>
      </c>
      <c r="O26" s="47">
        <f t="shared" si="56"/>
        <v>41131.239988712441</v>
      </c>
      <c r="P26" s="47">
        <f t="shared" si="56"/>
        <v>44662.373232341532</v>
      </c>
      <c r="Q26" s="47">
        <f t="shared" si="56"/>
        <v>48377.41654897009</v>
      </c>
      <c r="R26" s="47">
        <f t="shared" si="56"/>
        <v>52286.044736238669</v>
      </c>
      <c r="S26" s="47">
        <f t="shared" si="56"/>
        <v>56398.417393947551</v>
      </c>
      <c r="T26" s="47">
        <f t="shared" si="56"/>
        <v>60725.203323937858</v>
      </c>
      <c r="U26" s="47">
        <f t="shared" si="56"/>
        <v>65277.60614984858</v>
      </c>
      <c r="V26" s="47">
        <f t="shared" si="56"/>
        <v>70067.39121779798</v>
      </c>
      <c r="W26" s="47">
        <f t="shared" si="56"/>
        <v>75106.913842090056</v>
      </c>
      <c r="X26" s="47">
        <f t="shared" si="56"/>
        <v>80409.14896325166</v>
      </c>
    </row>
    <row r="27" spans="1:252" s="2" customFormat="1" x14ac:dyDescent="0.15">
      <c r="A27" s="2" t="s">
        <v>57</v>
      </c>
      <c r="B27" s="28">
        <f t="shared" ref="B27" si="57">B25-B26</f>
        <v>12786</v>
      </c>
      <c r="C27" s="28">
        <f t="shared" ref="C27:D27" si="58">C25-C26</f>
        <v>15563</v>
      </c>
      <c r="D27" s="28">
        <f t="shared" si="58"/>
        <v>23878</v>
      </c>
      <c r="E27" s="28">
        <f t="shared" ref="E27:I27" si="59">E25-E26</f>
        <v>29108</v>
      </c>
      <c r="F27" s="28">
        <f t="shared" si="59"/>
        <v>41447</v>
      </c>
      <c r="G27" s="28">
        <f t="shared" si="59"/>
        <v>72438</v>
      </c>
      <c r="H27" s="28">
        <f>H25-H26</f>
        <v>79984</v>
      </c>
      <c r="I27" s="28">
        <f t="shared" si="59"/>
        <v>95888</v>
      </c>
      <c r="J27" s="28">
        <f>J25-J26</f>
        <v>95770.077113523075</v>
      </c>
      <c r="K27" s="28">
        <f t="shared" ref="K27:S27" si="60">K25-K26</f>
        <v>117946.98964164921</v>
      </c>
      <c r="L27" s="28">
        <f t="shared" si="60"/>
        <v>144481.42185529153</v>
      </c>
      <c r="M27" s="28">
        <f t="shared" si="60"/>
        <v>176193.63959795769</v>
      </c>
      <c r="N27" s="28">
        <f t="shared" si="60"/>
        <v>214057.2203119128</v>
      </c>
      <c r="O27" s="28">
        <f t="shared" si="60"/>
        <v>233077.02660270382</v>
      </c>
      <c r="P27" s="28">
        <f t="shared" si="60"/>
        <v>253086.78164993535</v>
      </c>
      <c r="Q27" s="28">
        <f t="shared" si="60"/>
        <v>274138.69377749716</v>
      </c>
      <c r="R27" s="28">
        <f t="shared" si="60"/>
        <v>296287.58683868579</v>
      </c>
      <c r="S27" s="28">
        <f t="shared" si="60"/>
        <v>319591.03189903614</v>
      </c>
      <c r="T27" s="28">
        <f t="shared" ref="T27:X27" si="61">T25-T26</f>
        <v>344109.48550231458</v>
      </c>
      <c r="U27" s="28">
        <f t="shared" si="61"/>
        <v>369906.43484914198</v>
      </c>
      <c r="V27" s="28">
        <f t="shared" si="61"/>
        <v>397048.55023418856</v>
      </c>
      <c r="W27" s="28">
        <f t="shared" si="61"/>
        <v>425605.84510517697</v>
      </c>
      <c r="X27" s="28">
        <f t="shared" si="61"/>
        <v>455651.84412509279</v>
      </c>
      <c r="Y27" s="15">
        <f>X27*($F$2+1)</f>
        <v>451095.32568384183</v>
      </c>
      <c r="Z27" s="15">
        <f t="shared" ref="Z27:CJ27" si="62">Y27*($F$2+1)</f>
        <v>446584.3724270034</v>
      </c>
      <c r="AA27" s="15">
        <f t="shared" si="62"/>
        <v>442118.52870273334</v>
      </c>
      <c r="AB27" s="15">
        <f t="shared" si="62"/>
        <v>437697.34341570601</v>
      </c>
      <c r="AC27" s="15">
        <f t="shared" si="62"/>
        <v>433320.36998154892</v>
      </c>
      <c r="AD27" s="15">
        <f t="shared" si="62"/>
        <v>428987.16628173343</v>
      </c>
      <c r="AE27" s="15">
        <f t="shared" si="62"/>
        <v>424697.29461891612</v>
      </c>
      <c r="AF27" s="15">
        <f t="shared" si="62"/>
        <v>420450.32167272695</v>
      </c>
      <c r="AG27" s="15">
        <f t="shared" si="62"/>
        <v>416245.81845599966</v>
      </c>
      <c r="AH27" s="15">
        <f t="shared" si="62"/>
        <v>412083.36027143965</v>
      </c>
      <c r="AI27" s="15">
        <f t="shared" si="62"/>
        <v>407962.52666872524</v>
      </c>
      <c r="AJ27" s="15">
        <f t="shared" si="62"/>
        <v>403882.901402038</v>
      </c>
      <c r="AK27" s="15">
        <f t="shared" si="62"/>
        <v>399844.07238801761</v>
      </c>
      <c r="AL27" s="15">
        <f t="shared" si="62"/>
        <v>395845.63166413741</v>
      </c>
      <c r="AM27" s="15">
        <f t="shared" si="62"/>
        <v>391887.17534749606</v>
      </c>
      <c r="AN27" s="15">
        <f t="shared" si="62"/>
        <v>387968.30359402107</v>
      </c>
      <c r="AO27" s="15">
        <f t="shared" si="62"/>
        <v>384088.62055808085</v>
      </c>
      <c r="AP27" s="15">
        <f t="shared" si="62"/>
        <v>380247.73435250006</v>
      </c>
      <c r="AQ27" s="15">
        <f t="shared" si="62"/>
        <v>376445.25700897508</v>
      </c>
      <c r="AR27" s="15">
        <f t="shared" si="62"/>
        <v>372680.8044388853</v>
      </c>
      <c r="AS27" s="15">
        <f t="shared" si="62"/>
        <v>368953.99639449647</v>
      </c>
      <c r="AT27" s="15">
        <f t="shared" si="62"/>
        <v>365264.45643055148</v>
      </c>
      <c r="AU27" s="15">
        <f t="shared" si="62"/>
        <v>361611.81186624599</v>
      </c>
      <c r="AV27" s="15">
        <f t="shared" si="62"/>
        <v>357995.69374758354</v>
      </c>
      <c r="AW27" s="15">
        <f t="shared" si="62"/>
        <v>354415.73681010772</v>
      </c>
      <c r="AX27" s="15">
        <f t="shared" si="62"/>
        <v>350871.57944200665</v>
      </c>
      <c r="AY27" s="15">
        <f t="shared" si="62"/>
        <v>347362.86364758661</v>
      </c>
      <c r="AZ27" s="15">
        <f t="shared" si="62"/>
        <v>343889.23501111072</v>
      </c>
      <c r="BA27" s="15">
        <f t="shared" si="62"/>
        <v>340450.34266099962</v>
      </c>
      <c r="BB27" s="15">
        <f t="shared" si="62"/>
        <v>337045.8392343896</v>
      </c>
      <c r="BC27" s="15">
        <f t="shared" si="62"/>
        <v>333675.38084204571</v>
      </c>
      <c r="BD27" s="15">
        <f t="shared" si="62"/>
        <v>330338.62703362526</v>
      </c>
      <c r="BE27" s="15">
        <f t="shared" si="62"/>
        <v>327035.24076328898</v>
      </c>
      <c r="BF27" s="15">
        <f t="shared" si="62"/>
        <v>323764.88835565606</v>
      </c>
      <c r="BG27" s="15">
        <f t="shared" si="62"/>
        <v>320527.23947209952</v>
      </c>
      <c r="BH27" s="15">
        <f t="shared" si="62"/>
        <v>317321.96707737853</v>
      </c>
      <c r="BI27" s="15">
        <f t="shared" si="62"/>
        <v>314148.74740660476</v>
      </c>
      <c r="BJ27" s="15">
        <f t="shared" si="62"/>
        <v>311007.25993253873</v>
      </c>
      <c r="BK27" s="15">
        <f t="shared" si="62"/>
        <v>307897.18733321334</v>
      </c>
      <c r="BL27" s="15">
        <f t="shared" si="62"/>
        <v>304818.21545988118</v>
      </c>
      <c r="BM27" s="15">
        <f t="shared" si="62"/>
        <v>301770.03330528236</v>
      </c>
      <c r="BN27" s="15">
        <f t="shared" si="62"/>
        <v>298752.33297222952</v>
      </c>
      <c r="BO27" s="15">
        <f t="shared" si="62"/>
        <v>295764.80964250723</v>
      </c>
      <c r="BP27" s="15">
        <f t="shared" si="62"/>
        <v>292807.16154608218</v>
      </c>
      <c r="BQ27" s="15">
        <f t="shared" si="62"/>
        <v>289879.08993062133</v>
      </c>
      <c r="BR27" s="15">
        <f t="shared" si="62"/>
        <v>286980.29903131508</v>
      </c>
      <c r="BS27" s="15">
        <f t="shared" si="62"/>
        <v>284110.49604100193</v>
      </c>
      <c r="BT27" s="15">
        <f t="shared" si="62"/>
        <v>281269.39108059189</v>
      </c>
      <c r="BU27" s="15">
        <f t="shared" si="62"/>
        <v>278456.69716978597</v>
      </c>
      <c r="BV27" s="15">
        <f t="shared" si="62"/>
        <v>275672.13019808813</v>
      </c>
      <c r="BW27" s="15">
        <f t="shared" si="62"/>
        <v>272915.40889610723</v>
      </c>
      <c r="BX27" s="15">
        <f t="shared" si="62"/>
        <v>270186.25480714615</v>
      </c>
      <c r="BY27" s="15">
        <f t="shared" si="62"/>
        <v>267484.39225907467</v>
      </c>
      <c r="BZ27" s="15">
        <f t="shared" si="62"/>
        <v>264809.54833648395</v>
      </c>
      <c r="CA27" s="15">
        <f t="shared" si="62"/>
        <v>262161.45285311912</v>
      </c>
      <c r="CB27" s="15">
        <f t="shared" si="62"/>
        <v>259539.83832458794</v>
      </c>
      <c r="CC27" s="15">
        <f t="shared" si="62"/>
        <v>256944.43994134205</v>
      </c>
      <c r="CD27" s="15">
        <f t="shared" si="62"/>
        <v>254374.99554192863</v>
      </c>
      <c r="CE27" s="15">
        <f t="shared" si="62"/>
        <v>251831.24558650935</v>
      </c>
      <c r="CF27" s="15">
        <f t="shared" si="62"/>
        <v>249312.93313064426</v>
      </c>
      <c r="CG27" s="15">
        <f t="shared" si="62"/>
        <v>246819.80379933782</v>
      </c>
      <c r="CH27" s="15">
        <f t="shared" si="62"/>
        <v>244351.60576134446</v>
      </c>
      <c r="CI27" s="15">
        <f t="shared" si="62"/>
        <v>241908.08970373101</v>
      </c>
      <c r="CJ27" s="15">
        <f t="shared" si="62"/>
        <v>239489.00880669369</v>
      </c>
      <c r="CK27" s="15">
        <f t="shared" ref="CK27:EV27" si="63">CJ27*($F$2+1)</f>
        <v>237094.11871862673</v>
      </c>
      <c r="CL27" s="15">
        <f t="shared" si="63"/>
        <v>234723.17753144045</v>
      </c>
      <c r="CM27" s="15">
        <f t="shared" si="63"/>
        <v>232375.94575612605</v>
      </c>
      <c r="CN27" s="15">
        <f t="shared" si="63"/>
        <v>230052.18629856477</v>
      </c>
      <c r="CO27" s="15">
        <f t="shared" si="63"/>
        <v>227751.66443557912</v>
      </c>
      <c r="CP27" s="15">
        <f t="shared" si="63"/>
        <v>225474.14779122334</v>
      </c>
      <c r="CQ27" s="15">
        <f t="shared" si="63"/>
        <v>223219.4063133111</v>
      </c>
      <c r="CR27" s="15">
        <f t="shared" si="63"/>
        <v>220987.21225017798</v>
      </c>
      <c r="CS27" s="15">
        <f t="shared" si="63"/>
        <v>218777.3401276762</v>
      </c>
      <c r="CT27" s="15">
        <f t="shared" si="63"/>
        <v>216589.56672639944</v>
      </c>
      <c r="CU27" s="15">
        <f t="shared" si="63"/>
        <v>214423.67105913543</v>
      </c>
      <c r="CV27" s="15">
        <f t="shared" si="63"/>
        <v>212279.43434854408</v>
      </c>
      <c r="CW27" s="15">
        <f t="shared" si="63"/>
        <v>210156.64000505864</v>
      </c>
      <c r="CX27" s="15">
        <f t="shared" si="63"/>
        <v>208055.07360500804</v>
      </c>
      <c r="CY27" s="15">
        <f t="shared" si="63"/>
        <v>205974.52286895795</v>
      </c>
      <c r="CZ27" s="15">
        <f t="shared" si="63"/>
        <v>203914.77764026838</v>
      </c>
      <c r="DA27" s="15">
        <f t="shared" si="63"/>
        <v>201875.6298638657</v>
      </c>
      <c r="DB27" s="15">
        <f t="shared" si="63"/>
        <v>199856.87356522706</v>
      </c>
      <c r="DC27" s="15">
        <f t="shared" si="63"/>
        <v>197858.30482957477</v>
      </c>
      <c r="DD27" s="15">
        <f t="shared" si="63"/>
        <v>195879.72178127902</v>
      </c>
      <c r="DE27" s="15">
        <f t="shared" si="63"/>
        <v>193920.92456346622</v>
      </c>
      <c r="DF27" s="15">
        <f t="shared" si="63"/>
        <v>191981.71531783155</v>
      </c>
      <c r="DG27" s="15">
        <f t="shared" si="63"/>
        <v>190061.89816465322</v>
      </c>
      <c r="DH27" s="15">
        <f t="shared" si="63"/>
        <v>188161.2791830067</v>
      </c>
      <c r="DI27" s="15">
        <f t="shared" si="63"/>
        <v>186279.66639117664</v>
      </c>
      <c r="DJ27" s="15">
        <f t="shared" si="63"/>
        <v>184416.86972726486</v>
      </c>
      <c r="DK27" s="15">
        <f t="shared" si="63"/>
        <v>182572.7010299922</v>
      </c>
      <c r="DL27" s="15">
        <f t="shared" si="63"/>
        <v>180746.97401969228</v>
      </c>
      <c r="DM27" s="15">
        <f t="shared" si="63"/>
        <v>178939.50427949536</v>
      </c>
      <c r="DN27" s="15">
        <f t="shared" si="63"/>
        <v>177150.1092367004</v>
      </c>
      <c r="DO27" s="15">
        <f t="shared" si="63"/>
        <v>175378.60814433338</v>
      </c>
      <c r="DP27" s="15">
        <f t="shared" si="63"/>
        <v>173624.82206289005</v>
      </c>
      <c r="DQ27" s="15">
        <f t="shared" si="63"/>
        <v>171888.57384226113</v>
      </c>
      <c r="DR27" s="15">
        <f t="shared" si="63"/>
        <v>170169.68810383853</v>
      </c>
      <c r="DS27" s="15">
        <f t="shared" si="63"/>
        <v>168467.99122280013</v>
      </c>
      <c r="DT27" s="15">
        <f t="shared" si="63"/>
        <v>166783.31131057214</v>
      </c>
      <c r="DU27" s="15">
        <f t="shared" si="63"/>
        <v>165115.47819746641</v>
      </c>
      <c r="DV27" s="15">
        <f t="shared" si="63"/>
        <v>163464.32341549173</v>
      </c>
      <c r="DW27" s="15">
        <f t="shared" si="63"/>
        <v>161829.68018133682</v>
      </c>
      <c r="DX27" s="15">
        <f t="shared" si="63"/>
        <v>160211.38337952344</v>
      </c>
      <c r="DY27" s="15">
        <f t="shared" si="63"/>
        <v>158609.2695457282</v>
      </c>
      <c r="DZ27" s="15">
        <f t="shared" si="63"/>
        <v>157023.17685027092</v>
      </c>
      <c r="EA27" s="15">
        <f t="shared" si="63"/>
        <v>155452.94508176821</v>
      </c>
      <c r="EB27" s="15">
        <f t="shared" si="63"/>
        <v>153898.41563095053</v>
      </c>
      <c r="EC27" s="15">
        <f t="shared" si="63"/>
        <v>152359.43147464102</v>
      </c>
      <c r="ED27" s="15">
        <f t="shared" si="63"/>
        <v>150835.83715989461</v>
      </c>
      <c r="EE27" s="15">
        <f t="shared" si="63"/>
        <v>149327.47878829567</v>
      </c>
      <c r="EF27" s="15">
        <f t="shared" si="63"/>
        <v>147834.20400041272</v>
      </c>
      <c r="EG27" s="15">
        <f t="shared" si="63"/>
        <v>146355.8619604086</v>
      </c>
      <c r="EH27" s="15">
        <f t="shared" si="63"/>
        <v>144892.3033408045</v>
      </c>
      <c r="EI27" s="15">
        <f t="shared" si="63"/>
        <v>143443.38030739647</v>
      </c>
      <c r="EJ27" s="15">
        <f t="shared" si="63"/>
        <v>142008.94650432249</v>
      </c>
      <c r="EK27" s="15">
        <f t="shared" si="63"/>
        <v>140588.85703927928</v>
      </c>
      <c r="EL27" s="15">
        <f t="shared" si="63"/>
        <v>139182.96846888648</v>
      </c>
      <c r="EM27" s="15">
        <f t="shared" si="63"/>
        <v>137791.13878419762</v>
      </c>
      <c r="EN27" s="15">
        <f t="shared" si="63"/>
        <v>136413.22739635565</v>
      </c>
      <c r="EO27" s="15">
        <f t="shared" si="63"/>
        <v>135049.09512239209</v>
      </c>
      <c r="EP27" s="15">
        <f t="shared" si="63"/>
        <v>133698.60417116818</v>
      </c>
      <c r="EQ27" s="15">
        <f t="shared" si="63"/>
        <v>132361.6181294565</v>
      </c>
      <c r="ER27" s="15">
        <f t="shared" si="63"/>
        <v>131038.00194816194</v>
      </c>
      <c r="ES27" s="15">
        <f t="shared" si="63"/>
        <v>129727.62192868032</v>
      </c>
      <c r="ET27" s="15">
        <f t="shared" si="63"/>
        <v>128430.34570939351</v>
      </c>
      <c r="EU27" s="15">
        <f t="shared" si="63"/>
        <v>127146.04225229958</v>
      </c>
      <c r="EV27" s="15">
        <f t="shared" si="63"/>
        <v>125874.58182977658</v>
      </c>
      <c r="EW27" s="15">
        <f t="shared" ref="EW27:HH27" si="64">EV27*($F$2+1)</f>
        <v>124615.83601147881</v>
      </c>
      <c r="EX27" s="15">
        <f t="shared" si="64"/>
        <v>123369.67765136402</v>
      </c>
      <c r="EY27" s="15">
        <f t="shared" si="64"/>
        <v>122135.98087485039</v>
      </c>
      <c r="EZ27" s="15">
        <f t="shared" si="64"/>
        <v>120914.62106610188</v>
      </c>
      <c r="FA27" s="15">
        <f t="shared" si="64"/>
        <v>119705.47485544086</v>
      </c>
      <c r="FB27" s="15">
        <f t="shared" si="64"/>
        <v>118508.42010688645</v>
      </c>
      <c r="FC27" s="15">
        <f t="shared" si="64"/>
        <v>117323.33590581758</v>
      </c>
      <c r="FD27" s="15">
        <f t="shared" si="64"/>
        <v>116150.1025467594</v>
      </c>
      <c r="FE27" s="15">
        <f t="shared" si="64"/>
        <v>114988.6015212918</v>
      </c>
      <c r="FF27" s="15">
        <f t="shared" si="64"/>
        <v>113838.71550607888</v>
      </c>
      <c r="FG27" s="15">
        <f t="shared" si="64"/>
        <v>112700.32835101809</v>
      </c>
      <c r="FH27" s="15">
        <f t="shared" si="64"/>
        <v>111573.3250675079</v>
      </c>
      <c r="FI27" s="15">
        <f t="shared" si="64"/>
        <v>110457.59181683282</v>
      </c>
      <c r="FJ27" s="15">
        <f t="shared" si="64"/>
        <v>109353.0158986645</v>
      </c>
      <c r="FK27" s="15">
        <f t="shared" si="64"/>
        <v>108259.48573967785</v>
      </c>
      <c r="FL27" s="15">
        <f t="shared" si="64"/>
        <v>107176.89088228108</v>
      </c>
      <c r="FM27" s="15">
        <f t="shared" si="64"/>
        <v>106105.12197345827</v>
      </c>
      <c r="FN27" s="15">
        <f t="shared" si="64"/>
        <v>105044.07075372369</v>
      </c>
      <c r="FO27" s="15">
        <f t="shared" si="64"/>
        <v>103993.63004618644</v>
      </c>
      <c r="FP27" s="15">
        <f t="shared" si="64"/>
        <v>102953.69374572458</v>
      </c>
      <c r="FQ27" s="15">
        <f t="shared" si="64"/>
        <v>101924.15680826733</v>
      </c>
      <c r="FR27" s="15">
        <f t="shared" si="64"/>
        <v>100904.91524018467</v>
      </c>
      <c r="FS27" s="15">
        <f t="shared" si="64"/>
        <v>99895.866087782822</v>
      </c>
      <c r="FT27" s="15">
        <f t="shared" si="64"/>
        <v>98896.907426904989</v>
      </c>
      <c r="FU27" s="15">
        <f t="shared" si="64"/>
        <v>97907.938352635945</v>
      </c>
      <c r="FV27" s="15">
        <f t="shared" si="64"/>
        <v>96928.858969109584</v>
      </c>
      <c r="FW27" s="15">
        <f t="shared" si="64"/>
        <v>95959.570379418481</v>
      </c>
      <c r="FX27" s="15">
        <f t="shared" si="64"/>
        <v>94999.974675624297</v>
      </c>
      <c r="FY27" s="15">
        <f t="shared" si="64"/>
        <v>94049.974928868047</v>
      </c>
      <c r="FZ27" s="15">
        <f t="shared" si="64"/>
        <v>93109.475179579371</v>
      </c>
      <c r="GA27" s="15">
        <f t="shared" si="64"/>
        <v>92178.380427783573</v>
      </c>
      <c r="GB27" s="15">
        <f t="shared" si="64"/>
        <v>91256.596623505742</v>
      </c>
      <c r="GC27" s="15">
        <f t="shared" si="64"/>
        <v>90344.03065727069</v>
      </c>
      <c r="GD27" s="15">
        <f t="shared" si="64"/>
        <v>89440.590350697981</v>
      </c>
      <c r="GE27" s="15">
        <f t="shared" si="64"/>
        <v>88546.184447191001</v>
      </c>
      <c r="GF27" s="15">
        <f t="shared" si="64"/>
        <v>87660.722602719092</v>
      </c>
      <c r="GG27" s="15">
        <f t="shared" si="64"/>
        <v>86784.115376691901</v>
      </c>
      <c r="GH27" s="15">
        <f t="shared" si="64"/>
        <v>85916.274222924985</v>
      </c>
      <c r="GI27" s="15">
        <f t="shared" si="64"/>
        <v>85057.111480695734</v>
      </c>
      <c r="GJ27" s="15">
        <f t="shared" si="64"/>
        <v>84206.540365888781</v>
      </c>
      <c r="GK27" s="15">
        <f t="shared" si="64"/>
        <v>83364.474962229899</v>
      </c>
      <c r="GL27" s="15">
        <f t="shared" si="64"/>
        <v>82530.830212607601</v>
      </c>
      <c r="GM27" s="15">
        <f t="shared" si="64"/>
        <v>81705.521910481519</v>
      </c>
      <c r="GN27" s="15">
        <f t="shared" si="64"/>
        <v>80888.4666913767</v>
      </c>
      <c r="GO27" s="15">
        <f t="shared" si="64"/>
        <v>80079.582024462929</v>
      </c>
      <c r="GP27" s="15">
        <f t="shared" si="64"/>
        <v>79278.786204218297</v>
      </c>
      <c r="GQ27" s="15">
        <f t="shared" si="64"/>
        <v>78485.998342176114</v>
      </c>
      <c r="GR27" s="15">
        <f t="shared" si="64"/>
        <v>77701.138358754353</v>
      </c>
      <c r="GS27" s="15">
        <f t="shared" si="64"/>
        <v>76924.126975166815</v>
      </c>
      <c r="GT27" s="15">
        <f t="shared" si="64"/>
        <v>76154.885705415145</v>
      </c>
      <c r="GU27" s="15">
        <f t="shared" si="64"/>
        <v>75393.336848360996</v>
      </c>
      <c r="GV27" s="15">
        <f t="shared" si="64"/>
        <v>74639.403479877379</v>
      </c>
      <c r="GW27" s="15">
        <f t="shared" si="64"/>
        <v>73893.009445078598</v>
      </c>
      <c r="GX27" s="15">
        <f t="shared" si="64"/>
        <v>73154.079350627813</v>
      </c>
      <c r="GY27" s="15">
        <f t="shared" si="64"/>
        <v>72422.53855712153</v>
      </c>
      <c r="GZ27" s="15">
        <f t="shared" si="64"/>
        <v>71698.313171550311</v>
      </c>
      <c r="HA27" s="15">
        <f t="shared" si="64"/>
        <v>70981.330039834807</v>
      </c>
      <c r="HB27" s="15">
        <f t="shared" si="64"/>
        <v>70271.516739436454</v>
      </c>
      <c r="HC27" s="15">
        <f t="shared" si="64"/>
        <v>69568.801572042095</v>
      </c>
      <c r="HD27" s="15">
        <f t="shared" si="64"/>
        <v>68873.113556321667</v>
      </c>
      <c r="HE27" s="15">
        <f t="shared" si="64"/>
        <v>68184.382420758455</v>
      </c>
      <c r="HF27" s="15">
        <f t="shared" si="64"/>
        <v>67502.538596550876</v>
      </c>
      <c r="HG27" s="15">
        <f t="shared" si="64"/>
        <v>66827.51321058537</v>
      </c>
      <c r="HH27" s="15">
        <f t="shared" si="64"/>
        <v>66159.23807847951</v>
      </c>
      <c r="HI27" s="15">
        <f t="shared" ref="HI27:IR27" si="65">HH27*($F$2+1)</f>
        <v>65497.645697694716</v>
      </c>
      <c r="HJ27" s="15">
        <f t="shared" si="65"/>
        <v>64842.669240717769</v>
      </c>
      <c r="HK27" s="15">
        <f t="shared" si="65"/>
        <v>64194.242548310591</v>
      </c>
      <c r="HL27" s="15">
        <f t="shared" si="65"/>
        <v>63552.300122827488</v>
      </c>
      <c r="HM27" s="15">
        <f t="shared" si="65"/>
        <v>62916.777121599211</v>
      </c>
      <c r="HN27" s="15">
        <f t="shared" si="65"/>
        <v>62287.609350383216</v>
      </c>
      <c r="HO27" s="15">
        <f t="shared" si="65"/>
        <v>61664.733256879386</v>
      </c>
      <c r="HP27" s="15">
        <f t="shared" si="65"/>
        <v>61048.085924310595</v>
      </c>
      <c r="HQ27" s="15">
        <f t="shared" si="65"/>
        <v>60437.605065067488</v>
      </c>
      <c r="HR27" s="15">
        <f t="shared" si="65"/>
        <v>59833.229014416815</v>
      </c>
      <c r="HS27" s="15">
        <f t="shared" si="65"/>
        <v>59234.896724272643</v>
      </c>
      <c r="HT27" s="15">
        <f t="shared" si="65"/>
        <v>58642.547757029919</v>
      </c>
      <c r="HU27" s="15">
        <f t="shared" si="65"/>
        <v>58056.122279459618</v>
      </c>
      <c r="HV27" s="15">
        <f t="shared" si="65"/>
        <v>57475.561056665021</v>
      </c>
      <c r="HW27" s="15">
        <f t="shared" si="65"/>
        <v>56900.805446098369</v>
      </c>
      <c r="HX27" s="15">
        <f t="shared" si="65"/>
        <v>56331.797391637389</v>
      </c>
      <c r="HY27" s="15">
        <f t="shared" si="65"/>
        <v>55768.479417721013</v>
      </c>
      <c r="HZ27" s="15">
        <f t="shared" si="65"/>
        <v>55210.794623543799</v>
      </c>
      <c r="IA27" s="15">
        <f t="shared" si="65"/>
        <v>54658.68667730836</v>
      </c>
      <c r="IB27" s="15">
        <f t="shared" si="65"/>
        <v>54112.099810535277</v>
      </c>
      <c r="IC27" s="15">
        <f t="shared" si="65"/>
        <v>53570.978812429923</v>
      </c>
      <c r="ID27" s="15">
        <f t="shared" si="65"/>
        <v>53035.26902430562</v>
      </c>
      <c r="IE27" s="15">
        <f t="shared" si="65"/>
        <v>52504.916334062567</v>
      </c>
      <c r="IF27" s="15">
        <f t="shared" si="65"/>
        <v>51979.86717072194</v>
      </c>
      <c r="IG27" s="15">
        <f t="shared" si="65"/>
        <v>51460.06849901472</v>
      </c>
      <c r="IH27" s="15">
        <f t="shared" si="65"/>
        <v>50945.467814024574</v>
      </c>
      <c r="II27" s="15">
        <f t="shared" si="65"/>
        <v>50436.013135884328</v>
      </c>
      <c r="IJ27" s="15">
        <f t="shared" si="65"/>
        <v>49931.653004525484</v>
      </c>
      <c r="IK27" s="15">
        <f t="shared" si="65"/>
        <v>49432.336474480231</v>
      </c>
      <c r="IL27" s="15">
        <f t="shared" si="65"/>
        <v>48938.013109735431</v>
      </c>
      <c r="IM27" s="15">
        <f t="shared" si="65"/>
        <v>48448.632978638074</v>
      </c>
      <c r="IN27" s="15">
        <f t="shared" si="65"/>
        <v>47964.146648851696</v>
      </c>
      <c r="IO27" s="15">
        <f t="shared" si="65"/>
        <v>47484.50518236318</v>
      </c>
      <c r="IP27" s="15">
        <f t="shared" si="65"/>
        <v>47009.660130539545</v>
      </c>
      <c r="IQ27" s="15">
        <f t="shared" si="65"/>
        <v>46539.563529234147</v>
      </c>
      <c r="IR27" s="15">
        <f t="shared" si="65"/>
        <v>46074.167893941805</v>
      </c>
    </row>
    <row r="28" spans="1:252" s="2" customFormat="1" x14ac:dyDescent="0.15">
      <c r="A28" s="3" t="s">
        <v>20</v>
      </c>
      <c r="B28" s="35">
        <f t="shared" ref="B28" si="66">B27/B29</f>
        <v>1.3723301491896533</v>
      </c>
      <c r="C28" s="35">
        <f t="shared" ref="C28:D28" si="67">C27/C29</f>
        <v>1.6660957070977411</v>
      </c>
      <c r="D28" s="35">
        <f t="shared" si="67"/>
        <v>2.5521590423257803</v>
      </c>
      <c r="E28" s="35">
        <f t="shared" ref="E28:I28" si="68">E27/E29</f>
        <v>3.1245169600686991</v>
      </c>
      <c r="F28" s="35">
        <f t="shared" si="68"/>
        <v>4.3655993258900354</v>
      </c>
      <c r="G28" s="35">
        <f t="shared" si="68"/>
        <v>7.6971628944851771</v>
      </c>
      <c r="H28" s="35">
        <f t="shared" si="68"/>
        <v>8.3595317725752505</v>
      </c>
      <c r="I28" s="35">
        <f t="shared" si="68"/>
        <v>9.9852129542851191</v>
      </c>
      <c r="J28" s="50">
        <f t="shared" ref="J28:S28" si="69">J27/J29</f>
        <v>9.9729331577135341</v>
      </c>
      <c r="K28" s="50">
        <f t="shared" si="69"/>
        <v>12.282306533546727</v>
      </c>
      <c r="L28" s="50">
        <f t="shared" si="69"/>
        <v>15.045446407923725</v>
      </c>
      <c r="M28" s="50">
        <f t="shared" si="69"/>
        <v>18.34777044652272</v>
      </c>
      <c r="N28" s="50">
        <f t="shared" si="69"/>
        <v>22.290661284172945</v>
      </c>
      <c r="O28" s="50">
        <f t="shared" si="69"/>
        <v>24.271272165230013</v>
      </c>
      <c r="P28" s="50">
        <f t="shared" si="69"/>
        <v>26.354970493589018</v>
      </c>
      <c r="Q28" s="50">
        <f t="shared" si="69"/>
        <v>28.547192937363029</v>
      </c>
      <c r="R28" s="50">
        <f t="shared" si="69"/>
        <v>30.853648530530645</v>
      </c>
      <c r="S28" s="50">
        <f t="shared" si="69"/>
        <v>33.280332385612425</v>
      </c>
      <c r="T28" s="50">
        <f t="shared" ref="T28:X28" si="70">T27/T29</f>
        <v>35.833540091879058</v>
      </c>
      <c r="U28" s="50">
        <f t="shared" si="70"/>
        <v>38.519882833400189</v>
      </c>
      <c r="V28" s="50">
        <f t="shared" si="70"/>
        <v>41.346303262958301</v>
      </c>
      <c r="W28" s="50">
        <f t="shared" si="70"/>
        <v>44.320092169652916</v>
      </c>
      <c r="X28" s="50">
        <f t="shared" si="70"/>
        <v>47.448905979911778</v>
      </c>
    </row>
    <row r="29" spans="1:252" s="2" customFormat="1" x14ac:dyDescent="0.15">
      <c r="A29" s="3" t="s">
        <v>1</v>
      </c>
      <c r="B29" s="25">
        <v>9317</v>
      </c>
      <c r="C29" s="25">
        <v>9341</v>
      </c>
      <c r="D29" s="25">
        <v>9356</v>
      </c>
      <c r="E29" s="25">
        <f>'Reports RMB'!E20</f>
        <v>9316</v>
      </c>
      <c r="F29" s="25">
        <f>'Reports RMB'!I20</f>
        <v>9494</v>
      </c>
      <c r="G29" s="25">
        <f>'Reports RMB'!M20</f>
        <v>9411</v>
      </c>
      <c r="H29" s="47">
        <f>'Reports RMB'!Q20</f>
        <v>9568</v>
      </c>
      <c r="I29" s="47">
        <f>'Reports RMB'!U20</f>
        <v>9603</v>
      </c>
      <c r="J29" s="47">
        <f t="shared" ref="J29:S29" si="71">I29</f>
        <v>9603</v>
      </c>
      <c r="K29" s="47">
        <f t="shared" si="71"/>
        <v>9603</v>
      </c>
      <c r="L29" s="47">
        <f t="shared" si="71"/>
        <v>9603</v>
      </c>
      <c r="M29" s="47">
        <f t="shared" si="71"/>
        <v>9603</v>
      </c>
      <c r="N29" s="47">
        <f t="shared" si="71"/>
        <v>9603</v>
      </c>
      <c r="O29" s="47">
        <f t="shared" si="71"/>
        <v>9603</v>
      </c>
      <c r="P29" s="47">
        <f t="shared" si="71"/>
        <v>9603</v>
      </c>
      <c r="Q29" s="47">
        <f t="shared" si="71"/>
        <v>9603</v>
      </c>
      <c r="R29" s="47">
        <f t="shared" si="71"/>
        <v>9603</v>
      </c>
      <c r="S29" s="47">
        <f t="shared" si="71"/>
        <v>9603</v>
      </c>
      <c r="T29" s="47">
        <f t="shared" ref="T29" si="72">S29</f>
        <v>9603</v>
      </c>
      <c r="U29" s="47">
        <f t="shared" ref="U29" si="73">T29</f>
        <v>9603</v>
      </c>
      <c r="V29" s="47">
        <f t="shared" ref="V29" si="74">U29</f>
        <v>9603</v>
      </c>
      <c r="W29" s="47">
        <f t="shared" ref="W29" si="75">V29</f>
        <v>9603</v>
      </c>
      <c r="X29" s="47">
        <f t="shared" ref="X29" si="76">W29</f>
        <v>9603</v>
      </c>
    </row>
    <row r="30" spans="1:252" s="42" customFormat="1" x14ac:dyDescent="0.15">
      <c r="A30" s="6"/>
      <c r="B30" s="43"/>
      <c r="C30" s="43"/>
      <c r="D30" s="43"/>
      <c r="E30" s="43"/>
      <c r="F30" s="43"/>
      <c r="G30" s="43"/>
      <c r="H30" s="43"/>
      <c r="I30" s="43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52" s="2" customFormat="1" x14ac:dyDescent="0.15">
      <c r="A31" s="2" t="s">
        <v>10</v>
      </c>
      <c r="B31" s="43"/>
      <c r="C31" s="52">
        <f t="shared" ref="C31:X31" si="77">C17/B17-1</f>
        <v>0.37691659262296939</v>
      </c>
      <c r="D31" s="52">
        <f t="shared" si="77"/>
        <v>0.3058556844317224</v>
      </c>
      <c r="E31" s="52">
        <f t="shared" si="77"/>
        <v>0.30335014317934172</v>
      </c>
      <c r="F31" s="52">
        <f t="shared" si="77"/>
        <v>0.47709088787999576</v>
      </c>
      <c r="G31" s="52">
        <f t="shared" si="77"/>
        <v>0.56484881991338565</v>
      </c>
      <c r="H31" s="52">
        <f t="shared" si="77"/>
        <v>0.31516655450874831</v>
      </c>
      <c r="I31" s="52">
        <f t="shared" si="77"/>
        <v>0.2065757577695766</v>
      </c>
      <c r="J31" s="52">
        <f t="shared" si="77"/>
        <v>0.16543737029173933</v>
      </c>
      <c r="K31" s="52">
        <f t="shared" si="77"/>
        <v>0.16598122111853186</v>
      </c>
      <c r="L31" s="52">
        <f t="shared" si="77"/>
        <v>0.16653972488683721</v>
      </c>
      <c r="M31" s="52">
        <f t="shared" si="77"/>
        <v>0.16711297276606563</v>
      </c>
      <c r="N31" s="52">
        <f t="shared" si="77"/>
        <v>0.16770103590069096</v>
      </c>
      <c r="O31" s="52">
        <f t="shared" si="77"/>
        <v>5.0000000000000044E-2</v>
      </c>
      <c r="P31" s="52">
        <f t="shared" si="77"/>
        <v>5.0000000000000044E-2</v>
      </c>
      <c r="Q31" s="52">
        <f t="shared" si="77"/>
        <v>5.0000000000000044E-2</v>
      </c>
      <c r="R31" s="52">
        <f t="shared" si="77"/>
        <v>5.0000000000000044E-2</v>
      </c>
      <c r="S31" s="52">
        <f t="shared" si="77"/>
        <v>5.0000000000000044E-2</v>
      </c>
      <c r="T31" s="52">
        <f t="shared" si="77"/>
        <v>5.0000000000000044E-2</v>
      </c>
      <c r="U31" s="52">
        <f t="shared" si="77"/>
        <v>5.0000000000000044E-2</v>
      </c>
      <c r="V31" s="52">
        <f t="shared" si="77"/>
        <v>5.0000000000000044E-2</v>
      </c>
      <c r="W31" s="52">
        <f t="shared" si="77"/>
        <v>5.0000000000000044E-2</v>
      </c>
      <c r="X31" s="52">
        <f t="shared" si="77"/>
        <v>5.0000000000000044E-2</v>
      </c>
    </row>
    <row r="32" spans="1:252" x14ac:dyDescent="0.15">
      <c r="A32" s="3" t="s">
        <v>21</v>
      </c>
      <c r="B32" s="43"/>
      <c r="C32" s="53">
        <f t="shared" ref="C32:X32" si="78">C20/B20-1</f>
        <v>0.9027731373204142</v>
      </c>
      <c r="D32" s="53">
        <f t="shared" si="78"/>
        <v>0.36909569798068476</v>
      </c>
      <c r="E32" s="53">
        <f t="shared" si="78"/>
        <v>2.5137873541105638E-2</v>
      </c>
      <c r="F32" s="53">
        <f t="shared" si="78"/>
        <v>0.5183285374702864</v>
      </c>
      <c r="G32" s="53">
        <f t="shared" si="78"/>
        <v>0.45451549110085687</v>
      </c>
      <c r="H32" s="53">
        <f t="shared" si="78"/>
        <v>0.37281894402900528</v>
      </c>
      <c r="I32" s="53">
        <f t="shared" si="78"/>
        <v>-0.11707176164734046</v>
      </c>
      <c r="J32" s="53">
        <f t="shared" si="78"/>
        <v>0.10000000000000009</v>
      </c>
      <c r="K32" s="53">
        <f t="shared" si="78"/>
        <v>0.10000000000000009</v>
      </c>
      <c r="L32" s="53">
        <f t="shared" si="78"/>
        <v>0.10000000000000009</v>
      </c>
      <c r="M32" s="53">
        <f t="shared" si="78"/>
        <v>0.10000000000000009</v>
      </c>
      <c r="N32" s="53">
        <f t="shared" si="78"/>
        <v>0.10000000000000009</v>
      </c>
      <c r="O32" s="53">
        <f t="shared" si="78"/>
        <v>5.0000000000000044E-2</v>
      </c>
      <c r="P32" s="53">
        <f t="shared" si="78"/>
        <v>5.0000000000000044E-2</v>
      </c>
      <c r="Q32" s="53">
        <f t="shared" si="78"/>
        <v>5.0000000000000044E-2</v>
      </c>
      <c r="R32" s="53">
        <f t="shared" si="78"/>
        <v>5.0000000000000044E-2</v>
      </c>
      <c r="S32" s="53">
        <f t="shared" si="78"/>
        <v>5.0000000000000044E-2</v>
      </c>
      <c r="T32" s="53">
        <f t="shared" si="78"/>
        <v>5.0000000000000044E-2</v>
      </c>
      <c r="U32" s="53">
        <f t="shared" si="78"/>
        <v>5.0000000000000044E-2</v>
      </c>
      <c r="V32" s="53">
        <f t="shared" si="78"/>
        <v>5.0000000000000044E-2</v>
      </c>
      <c r="W32" s="53">
        <f t="shared" si="78"/>
        <v>5.0000000000000044E-2</v>
      </c>
      <c r="X32" s="53">
        <f t="shared" si="78"/>
        <v>5.0000000000000044E-2</v>
      </c>
    </row>
    <row r="33" spans="1:24" x14ac:dyDescent="0.15">
      <c r="A33" s="3" t="s">
        <v>36</v>
      </c>
      <c r="B33" s="43"/>
      <c r="C33" s="53">
        <f t="shared" ref="C33:X33" si="79">C21/B21-1</f>
        <v>0.28628461043142295</v>
      </c>
      <c r="D33" s="53">
        <f t="shared" si="79"/>
        <v>0.4172006407689226</v>
      </c>
      <c r="E33" s="53">
        <f t="shared" si="79"/>
        <v>0.1886259272341928</v>
      </c>
      <c r="F33" s="53">
        <f t="shared" si="79"/>
        <v>0.3348588410104012</v>
      </c>
      <c r="G33" s="53">
        <f t="shared" si="79"/>
        <v>0.47161494278462968</v>
      </c>
      <c r="H33" s="53">
        <f t="shared" si="79"/>
        <v>0.25630086835496657</v>
      </c>
      <c r="I33" s="53">
        <f t="shared" si="79"/>
        <v>0.28717306488126781</v>
      </c>
      <c r="J33" s="53">
        <f t="shared" si="79"/>
        <v>0.10000000000000009</v>
      </c>
      <c r="K33" s="53">
        <f t="shared" si="79"/>
        <v>0.10000000000000009</v>
      </c>
      <c r="L33" s="53">
        <f t="shared" si="79"/>
        <v>0.10000000000000009</v>
      </c>
      <c r="M33" s="53">
        <f t="shared" si="79"/>
        <v>0.10000000000000009</v>
      </c>
      <c r="N33" s="53">
        <f t="shared" si="79"/>
        <v>0.10000000000000009</v>
      </c>
      <c r="O33" s="53">
        <f t="shared" si="79"/>
        <v>-2.0000000000000018E-2</v>
      </c>
      <c r="P33" s="53">
        <f t="shared" si="79"/>
        <v>-1.9999999999999907E-2</v>
      </c>
      <c r="Q33" s="53">
        <f t="shared" si="79"/>
        <v>-2.0000000000000018E-2</v>
      </c>
      <c r="R33" s="53">
        <f t="shared" si="79"/>
        <v>-2.0000000000000018E-2</v>
      </c>
      <c r="S33" s="53">
        <f t="shared" si="79"/>
        <v>-2.0000000000000018E-2</v>
      </c>
      <c r="T33" s="53">
        <f t="shared" si="79"/>
        <v>-2.0000000000000018E-2</v>
      </c>
      <c r="U33" s="53">
        <f t="shared" si="79"/>
        <v>-2.0000000000000018E-2</v>
      </c>
      <c r="V33" s="53">
        <f t="shared" si="79"/>
        <v>-2.0000000000000018E-2</v>
      </c>
      <c r="W33" s="53">
        <f t="shared" si="79"/>
        <v>-2.0000000000000018E-2</v>
      </c>
      <c r="X33" s="53">
        <f t="shared" si="79"/>
        <v>-2.0000000000000018E-2</v>
      </c>
    </row>
    <row r="34" spans="1:24" s="6" customFormat="1" x14ac:dyDescent="0.15">
      <c r="A34" s="6" t="s">
        <v>90</v>
      </c>
      <c r="B34" s="43"/>
      <c r="C34" s="55">
        <f t="shared" ref="C34:X34" si="80">C22/B22-1</f>
        <v>0.45779884736939946</v>
      </c>
      <c r="D34" s="55">
        <f t="shared" si="80"/>
        <v>0.39973219409551741</v>
      </c>
      <c r="E34" s="55">
        <f t="shared" si="80"/>
        <v>0.13055758017492702</v>
      </c>
      <c r="F34" s="55">
        <f t="shared" si="80"/>
        <v>0.39394794101055686</v>
      </c>
      <c r="G34" s="55">
        <f t="shared" si="80"/>
        <v>0.46561641855759506</v>
      </c>
      <c r="H34" s="55">
        <f t="shared" si="80"/>
        <v>0.29686606315208164</v>
      </c>
      <c r="I34" s="55">
        <f t="shared" si="80"/>
        <v>0.13819481408257928</v>
      </c>
      <c r="J34" s="55">
        <f t="shared" si="80"/>
        <v>0.10000000000000009</v>
      </c>
      <c r="K34" s="55">
        <f t="shared" si="80"/>
        <v>9.9999999999999867E-2</v>
      </c>
      <c r="L34" s="55">
        <f t="shared" si="80"/>
        <v>0.10000000000000009</v>
      </c>
      <c r="M34" s="55">
        <f t="shared" si="80"/>
        <v>0.10000000000000009</v>
      </c>
      <c r="N34" s="55">
        <f t="shared" si="80"/>
        <v>0.10000000000000009</v>
      </c>
      <c r="O34" s="55">
        <f t="shared" si="80"/>
        <v>1.1758103738435111E-5</v>
      </c>
      <c r="P34" s="55">
        <f t="shared" si="80"/>
        <v>1.0120989464865726E-3</v>
      </c>
      <c r="Q34" s="55">
        <f t="shared" si="80"/>
        <v>2.0403968313973397E-3</v>
      </c>
      <c r="R34" s="55">
        <f t="shared" si="80"/>
        <v>3.0952931100853842E-3</v>
      </c>
      <c r="S34" s="55">
        <f t="shared" si="80"/>
        <v>4.1752283478497798E-3</v>
      </c>
      <c r="T34" s="55">
        <f t="shared" si="80"/>
        <v>5.2784464789137342E-3</v>
      </c>
      <c r="U34" s="55">
        <f t="shared" si="80"/>
        <v>6.4030019700778151E-3</v>
      </c>
      <c r="V34" s="55">
        <f t="shared" si="80"/>
        <v>7.5467700457096942E-3</v>
      </c>
      <c r="W34" s="55">
        <f t="shared" si="80"/>
        <v>8.7074599491623328E-3</v>
      </c>
      <c r="X34" s="55">
        <f t="shared" si="80"/>
        <v>9.8826311328557015E-3</v>
      </c>
    </row>
    <row r="35" spans="1:24" x14ac:dyDescent="0.15">
      <c r="B35" s="21"/>
      <c r="C35" s="21"/>
      <c r="D35" s="21"/>
      <c r="E35" s="21"/>
      <c r="F35" s="21"/>
      <c r="G35" s="21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x14ac:dyDescent="0.15">
      <c r="A36" s="3" t="s">
        <v>22</v>
      </c>
      <c r="B36" s="30">
        <f t="shared" ref="B36:X36" si="81">B19/B17</f>
        <v>0.5851958171006767</v>
      </c>
      <c r="C36" s="30">
        <f t="shared" si="81"/>
        <v>0.54038089249962773</v>
      </c>
      <c r="D36" s="30">
        <f t="shared" si="81"/>
        <v>0.60881629963761685</v>
      </c>
      <c r="E36" s="30">
        <f t="shared" si="81"/>
        <v>0.59527721338090467</v>
      </c>
      <c r="F36" s="30">
        <f t="shared" si="81"/>
        <v>0.55614132080190604</v>
      </c>
      <c r="G36" s="30">
        <f t="shared" si="81"/>
        <v>0.49177742261103635</v>
      </c>
      <c r="H36" s="53">
        <f t="shared" si="81"/>
        <v>0.45450184525446602</v>
      </c>
      <c r="I36" s="53">
        <f t="shared" si="81"/>
        <v>0.4440442207432499</v>
      </c>
      <c r="J36" s="53">
        <f t="shared" si="81"/>
        <v>0.44404422074324995</v>
      </c>
      <c r="K36" s="53">
        <f t="shared" si="81"/>
        <v>0.44404422074324995</v>
      </c>
      <c r="L36" s="53">
        <f t="shared" si="81"/>
        <v>0.44404422074324995</v>
      </c>
      <c r="M36" s="53">
        <f t="shared" si="81"/>
        <v>0.44404422074324995</v>
      </c>
      <c r="N36" s="53">
        <f t="shared" si="81"/>
        <v>0.44404422074324995</v>
      </c>
      <c r="O36" s="53">
        <f t="shared" si="81"/>
        <v>0.44404422074325001</v>
      </c>
      <c r="P36" s="53">
        <f t="shared" si="81"/>
        <v>0.44404422074325001</v>
      </c>
      <c r="Q36" s="53">
        <f t="shared" si="81"/>
        <v>0.44404422074325001</v>
      </c>
      <c r="R36" s="53">
        <f t="shared" si="81"/>
        <v>0.44404422074325001</v>
      </c>
      <c r="S36" s="53">
        <f t="shared" si="81"/>
        <v>0.44404422074325001</v>
      </c>
      <c r="T36" s="53">
        <f t="shared" si="81"/>
        <v>0.44404422074325001</v>
      </c>
      <c r="U36" s="53">
        <f t="shared" si="81"/>
        <v>0.44404422074325001</v>
      </c>
      <c r="V36" s="53">
        <f t="shared" si="81"/>
        <v>0.44404422074325006</v>
      </c>
      <c r="W36" s="53">
        <f t="shared" si="81"/>
        <v>0.44404422074325012</v>
      </c>
      <c r="X36" s="53">
        <f t="shared" si="81"/>
        <v>0.44404422074325017</v>
      </c>
    </row>
    <row r="37" spans="1:24" x14ac:dyDescent="0.15">
      <c r="A37" s="3" t="s">
        <v>23</v>
      </c>
      <c r="B37" s="30">
        <f t="shared" ref="B37:X37" si="82">B23/B17</f>
        <v>0.34009978812111269</v>
      </c>
      <c r="C37" s="30">
        <f t="shared" si="82"/>
        <v>0.28088753578106129</v>
      </c>
      <c r="D37" s="30">
        <f t="shared" si="82"/>
        <v>0.33066825473252071</v>
      </c>
      <c r="E37" s="30">
        <f t="shared" si="82"/>
        <v>0.35400484139097632</v>
      </c>
      <c r="F37" s="30">
        <f t="shared" si="82"/>
        <v>0.32844976240308549</v>
      </c>
      <c r="G37" s="30">
        <f t="shared" si="82"/>
        <v>0.27852456258411845</v>
      </c>
      <c r="H37" s="53">
        <f t="shared" si="82"/>
        <v>0.24421639046479945</v>
      </c>
      <c r="I37" s="53">
        <f t="shared" si="82"/>
        <v>0.24567639130745927</v>
      </c>
      <c r="J37" s="53">
        <f t="shared" si="82"/>
        <v>0.25681441505686853</v>
      </c>
      <c r="K37" s="53">
        <f t="shared" si="82"/>
        <v>0.26740948381545626</v>
      </c>
      <c r="L37" s="53">
        <f t="shared" si="82"/>
        <v>0.2774847744805678</v>
      </c>
      <c r="M37" s="53">
        <f t="shared" si="82"/>
        <v>0.28706251017693812</v>
      </c>
      <c r="N37" s="53">
        <f t="shared" si="82"/>
        <v>0.29616400456295972</v>
      </c>
      <c r="O37" s="53">
        <f t="shared" si="82"/>
        <v>0.30320426362780906</v>
      </c>
      <c r="P37" s="53">
        <f t="shared" si="82"/>
        <v>0.30977517208833516</v>
      </c>
      <c r="Q37" s="53">
        <f t="shared" si="82"/>
        <v>0.31590801998482609</v>
      </c>
      <c r="R37" s="53">
        <f t="shared" si="82"/>
        <v>0.32163201135488428</v>
      </c>
      <c r="S37" s="53">
        <f t="shared" si="82"/>
        <v>0.326974403300272</v>
      </c>
      <c r="T37" s="53">
        <f t="shared" si="82"/>
        <v>0.33196063578263385</v>
      </c>
      <c r="U37" s="53">
        <f t="shared" si="82"/>
        <v>0.33661445276617158</v>
      </c>
      <c r="V37" s="53">
        <f t="shared" si="82"/>
        <v>0.34095801528414016</v>
      </c>
      <c r="W37" s="53">
        <f t="shared" si="82"/>
        <v>0.3450120069675775</v>
      </c>
      <c r="X37" s="53">
        <f t="shared" si="82"/>
        <v>0.34879573253878576</v>
      </c>
    </row>
    <row r="38" spans="1:24" x14ac:dyDescent="0.15">
      <c r="A38" s="3" t="s">
        <v>24</v>
      </c>
      <c r="B38" s="30">
        <f t="shared" ref="B38:X38" si="83">B26/B25</f>
        <v>0.15054477810257774</v>
      </c>
      <c r="C38" s="30">
        <f t="shared" si="83"/>
        <v>0.1928323219750013</v>
      </c>
      <c r="D38" s="30">
        <f t="shared" si="83"/>
        <v>0.17670585801468813</v>
      </c>
      <c r="E38" s="30">
        <f t="shared" si="83"/>
        <v>0.19626684338413961</v>
      </c>
      <c r="F38" s="30">
        <f t="shared" si="83"/>
        <v>0.19738574748257165</v>
      </c>
      <c r="G38" s="30">
        <f t="shared" si="83"/>
        <v>0.17853983806218957</v>
      </c>
      <c r="H38" s="53">
        <f t="shared" si="83"/>
        <v>0.15330383418372748</v>
      </c>
      <c r="I38" s="53">
        <f t="shared" si="83"/>
        <v>0.12351005484460695</v>
      </c>
      <c r="J38" s="53">
        <f t="shared" si="83"/>
        <v>0.15</v>
      </c>
      <c r="K38" s="53">
        <f t="shared" si="83"/>
        <v>0.15</v>
      </c>
      <c r="L38" s="53">
        <f t="shared" si="83"/>
        <v>0.15</v>
      </c>
      <c r="M38" s="53">
        <f t="shared" si="83"/>
        <v>0.15</v>
      </c>
      <c r="N38" s="53">
        <f t="shared" si="83"/>
        <v>0.15</v>
      </c>
      <c r="O38" s="53">
        <f t="shared" si="83"/>
        <v>0.15</v>
      </c>
      <c r="P38" s="53">
        <f t="shared" si="83"/>
        <v>0.15</v>
      </c>
      <c r="Q38" s="53">
        <f t="shared" si="83"/>
        <v>0.15</v>
      </c>
      <c r="R38" s="53">
        <f t="shared" si="83"/>
        <v>0.15</v>
      </c>
      <c r="S38" s="53">
        <f t="shared" si="83"/>
        <v>0.15</v>
      </c>
      <c r="T38" s="53">
        <f t="shared" si="83"/>
        <v>0.15</v>
      </c>
      <c r="U38" s="53">
        <f t="shared" si="83"/>
        <v>0.15</v>
      </c>
      <c r="V38" s="53">
        <f t="shared" si="83"/>
        <v>0.15</v>
      </c>
      <c r="W38" s="53">
        <f t="shared" si="83"/>
        <v>0.15</v>
      </c>
      <c r="X38" s="53">
        <f t="shared" si="83"/>
        <v>0.15</v>
      </c>
    </row>
    <row r="39" spans="1:24" x14ac:dyDescent="0.15">
      <c r="B39" s="25"/>
      <c r="C39" s="21"/>
      <c r="D39" s="21"/>
      <c r="E39" s="21"/>
      <c r="F39" s="21"/>
      <c r="G39" s="21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s="2" customFormat="1" x14ac:dyDescent="0.15">
      <c r="A40" s="2" t="s">
        <v>3</v>
      </c>
      <c r="B40" s="25"/>
      <c r="C40" s="21"/>
      <c r="D40" s="21"/>
      <c r="E40" s="21"/>
      <c r="F40" s="28">
        <f>F41-F42</f>
        <v>18890</v>
      </c>
      <c r="G40" s="28">
        <f>G41-G42</f>
        <v>17487</v>
      </c>
      <c r="H40" s="28">
        <f>H41-H42</f>
        <v>-9792</v>
      </c>
      <c r="I40" s="28">
        <f>I41-I42</f>
        <v>-12617</v>
      </c>
      <c r="J40" s="49">
        <f t="shared" ref="J40:X40" si="84">I40+J27</f>
        <v>83153.077113523075</v>
      </c>
      <c r="K40" s="49">
        <f t="shared" si="84"/>
        <v>201100.06675517227</v>
      </c>
      <c r="L40" s="49">
        <f t="shared" si="84"/>
        <v>345581.4886104638</v>
      </c>
      <c r="M40" s="49">
        <f t="shared" si="84"/>
        <v>521775.12820842152</v>
      </c>
      <c r="N40" s="49">
        <f t="shared" si="84"/>
        <v>735832.34852033434</v>
      </c>
      <c r="O40" s="49">
        <f t="shared" si="84"/>
        <v>968909.37512303819</v>
      </c>
      <c r="P40" s="49">
        <f t="shared" si="84"/>
        <v>1221996.1567729735</v>
      </c>
      <c r="Q40" s="49">
        <f t="shared" si="84"/>
        <v>1496134.8505504706</v>
      </c>
      <c r="R40" s="49">
        <f t="shared" si="84"/>
        <v>1792422.4373891563</v>
      </c>
      <c r="S40" s="49">
        <f t="shared" si="84"/>
        <v>2112013.4692881927</v>
      </c>
      <c r="T40" s="49">
        <f t="shared" si="84"/>
        <v>2456122.9547905074</v>
      </c>
      <c r="U40" s="49">
        <f t="shared" si="84"/>
        <v>2826029.3896396495</v>
      </c>
      <c r="V40" s="49">
        <f t="shared" si="84"/>
        <v>3223077.9398738379</v>
      </c>
      <c r="W40" s="49">
        <f t="shared" si="84"/>
        <v>3648683.7849790147</v>
      </c>
      <c r="X40" s="49">
        <f t="shared" si="84"/>
        <v>4104335.6291041076</v>
      </c>
    </row>
    <row r="41" spans="1:24" x14ac:dyDescent="0.15">
      <c r="A41" s="3" t="s">
        <v>32</v>
      </c>
      <c r="B41" s="25"/>
      <c r="C41" s="21"/>
      <c r="D41" s="21"/>
      <c r="E41" s="21"/>
      <c r="F41" s="25">
        <f>'Reports RMB'!I31</f>
        <v>128387</v>
      </c>
      <c r="G41" s="25">
        <f>'Reports RMB'!M31</f>
        <v>149392</v>
      </c>
      <c r="H41" s="47">
        <f>'Reports RMB'!Q31</f>
        <v>169497</v>
      </c>
      <c r="I41" s="47">
        <f>'Reports RMB'!U31</f>
        <v>208196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spans="1:24" x14ac:dyDescent="0.15">
      <c r="A42" s="3" t="s">
        <v>33</v>
      </c>
      <c r="B42" s="25"/>
      <c r="C42" s="21"/>
      <c r="D42" s="21"/>
      <c r="E42" s="21"/>
      <c r="F42" s="25">
        <f>'Reports RMB'!I32</f>
        <v>109497</v>
      </c>
      <c r="G42" s="25">
        <f>'Reports RMB'!M32</f>
        <v>131905</v>
      </c>
      <c r="H42" s="47">
        <f>'Reports RMB'!Q32</f>
        <v>179289</v>
      </c>
      <c r="I42" s="47">
        <f>'Reports RMB'!U32</f>
        <v>220813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spans="1:24" s="6" customFormat="1" x14ac:dyDescent="0.15">
      <c r="A43" s="6" t="s">
        <v>25</v>
      </c>
      <c r="B43" s="25"/>
      <c r="C43" s="21"/>
      <c r="D43" s="21"/>
      <c r="E43" s="54"/>
      <c r="F43" s="56">
        <f>F24/F41</f>
        <v>1.3521618232375552E-2</v>
      </c>
      <c r="G43" s="56">
        <f>G24/G41</f>
        <v>0.1469958230695084</v>
      </c>
      <c r="H43" s="56">
        <f>H24/H41</f>
        <v>0.1067924506038455</v>
      </c>
      <c r="I43" s="56">
        <f>I24/I41</f>
        <v>8.0256104824300178E-2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</row>
    <row r="44" spans="1:24" s="6" customFormat="1" x14ac:dyDescent="0.15">
      <c r="B44" s="25"/>
      <c r="C44" s="21"/>
      <c r="D44" s="21"/>
      <c r="E44" s="54"/>
      <c r="F44" s="56"/>
      <c r="G44" s="56"/>
      <c r="H44" s="56"/>
      <c r="I44" s="56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</row>
    <row r="45" spans="1:24" x14ac:dyDescent="0.15">
      <c r="A45" s="3" t="s">
        <v>26</v>
      </c>
      <c r="B45" s="25"/>
      <c r="C45" s="21"/>
      <c r="D45" s="21"/>
      <c r="E45" s="21"/>
      <c r="F45" s="25">
        <f>'Reports RMB'!I34</f>
        <v>36467</v>
      </c>
      <c r="G45" s="25">
        <f>'Reports RMB'!M34</f>
        <v>40266</v>
      </c>
      <c r="H45" s="47">
        <f>'Reports RMB'!Q34</f>
        <v>56650</v>
      </c>
      <c r="I45" s="47">
        <f>'Reports RMB'!U34</f>
        <v>128860</v>
      </c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spans="1:24" x14ac:dyDescent="0.15">
      <c r="A46" s="3" t="s">
        <v>27</v>
      </c>
      <c r="B46" s="25"/>
      <c r="C46" s="21"/>
      <c r="D46" s="21"/>
      <c r="E46" s="21"/>
      <c r="F46" s="25">
        <f>'Reports RMB'!I35</f>
        <v>395899</v>
      </c>
      <c r="G46" s="25">
        <f>'Reports RMB'!M35</f>
        <v>554672</v>
      </c>
      <c r="H46" s="47">
        <f>'Reports RMB'!Q35</f>
        <v>723521</v>
      </c>
      <c r="I46" s="47">
        <f>'Reports RMB'!U35</f>
        <v>953986</v>
      </c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pans="1:24" x14ac:dyDescent="0.15">
      <c r="A47" s="3" t="s">
        <v>55</v>
      </c>
      <c r="B47" s="25"/>
      <c r="C47" s="21"/>
      <c r="D47" s="21"/>
      <c r="E47" s="21"/>
      <c r="F47" s="25">
        <f>'Reports RMB'!I36</f>
        <v>209652</v>
      </c>
      <c r="G47" s="25">
        <f>'Reports RMB'!M36</f>
        <v>277579</v>
      </c>
      <c r="H47" s="47">
        <f>'Reports RMB'!Q36</f>
        <v>367314</v>
      </c>
      <c r="I47" s="47">
        <f>'Reports RMB'!U36</f>
        <v>465162</v>
      </c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4" x14ac:dyDescent="0.15">
      <c r="B48" s="25"/>
      <c r="C48" s="21"/>
      <c r="D48" s="21"/>
      <c r="E48" s="21"/>
      <c r="F48" s="21"/>
      <c r="G48" s="21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</row>
    <row r="49" spans="1:24" x14ac:dyDescent="0.15">
      <c r="A49" s="3" t="s">
        <v>34</v>
      </c>
      <c r="B49" s="25"/>
      <c r="C49" s="21"/>
      <c r="D49" s="21"/>
      <c r="E49" s="21"/>
      <c r="F49" s="29">
        <f>F46-F45-F41</f>
        <v>231045</v>
      </c>
      <c r="G49" s="29">
        <f>G46-G45-G41</f>
        <v>365014</v>
      </c>
      <c r="H49" s="29">
        <f>H46-H45-H41</f>
        <v>497374</v>
      </c>
      <c r="I49" s="29">
        <f>I46-I45-I41</f>
        <v>616930</v>
      </c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1:24" x14ac:dyDescent="0.15">
      <c r="A50" s="3" t="s">
        <v>35</v>
      </c>
      <c r="B50" s="25"/>
      <c r="C50" s="21"/>
      <c r="D50" s="21"/>
      <c r="E50" s="21"/>
      <c r="F50" s="29">
        <f>F46-F47</f>
        <v>186247</v>
      </c>
      <c r="G50" s="29">
        <f>G46-G47</f>
        <v>277093</v>
      </c>
      <c r="H50" s="29">
        <f>H46-H47</f>
        <v>356207</v>
      </c>
      <c r="I50" s="29">
        <f>I46-I47</f>
        <v>488824</v>
      </c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1:24" x14ac:dyDescent="0.15">
      <c r="B51" s="25"/>
      <c r="C51" s="21"/>
      <c r="D51" s="21"/>
      <c r="E51" s="21"/>
      <c r="F51" s="21"/>
      <c r="G51" s="21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</row>
    <row r="52" spans="1:24" x14ac:dyDescent="0.15">
      <c r="A52" s="3" t="s">
        <v>28</v>
      </c>
      <c r="B52" s="25"/>
      <c r="C52" s="21"/>
      <c r="D52" s="21"/>
      <c r="E52" s="21"/>
      <c r="F52" s="30">
        <f>F27/F50</f>
        <v>0.22253781268960038</v>
      </c>
      <c r="G52" s="30">
        <f>G27/G50</f>
        <v>0.26142125567950109</v>
      </c>
      <c r="H52" s="30">
        <f>H27/H50</f>
        <v>0.22454359403380619</v>
      </c>
      <c r="I52" s="30">
        <f>I27/I50</f>
        <v>0.19616058131351979</v>
      </c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</row>
    <row r="53" spans="1:24" x14ac:dyDescent="0.15">
      <c r="A53" s="3" t="s">
        <v>29</v>
      </c>
      <c r="B53" s="25"/>
      <c r="C53" s="21"/>
      <c r="D53" s="21"/>
      <c r="E53" s="21"/>
      <c r="F53" s="30">
        <f>F27/F46</f>
        <v>0.10469084286648868</v>
      </c>
      <c r="G53" s="30">
        <f>G27/G46</f>
        <v>0.13059610003749964</v>
      </c>
      <c r="H53" s="30">
        <f>H27/H46</f>
        <v>0.11054827710598587</v>
      </c>
      <c r="I53" s="30">
        <f>I27/I46</f>
        <v>0.10051300543194554</v>
      </c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</row>
    <row r="54" spans="1:24" x14ac:dyDescent="0.15">
      <c r="A54" s="3" t="s">
        <v>30</v>
      </c>
      <c r="B54" s="25"/>
      <c r="C54" s="21"/>
      <c r="D54" s="21"/>
      <c r="E54" s="21"/>
      <c r="F54" s="30">
        <f>F27/(F50-F45)</f>
        <v>0.27671918814260915</v>
      </c>
      <c r="G54" s="30">
        <f>G27/(G50-G45)</f>
        <v>0.30586884096830175</v>
      </c>
      <c r="H54" s="30">
        <f>H27/(H50-H45)</f>
        <v>0.26700761457752614</v>
      </c>
      <c r="I54" s="30">
        <f>I27/(I50-I45)</f>
        <v>0.26638219377493305</v>
      </c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</row>
    <row r="55" spans="1:24" x14ac:dyDescent="0.15">
      <c r="A55" s="3" t="s">
        <v>31</v>
      </c>
      <c r="B55" s="25"/>
      <c r="C55" s="21"/>
      <c r="D55" s="21"/>
      <c r="E55" s="21"/>
      <c r="F55" s="30">
        <f>F27/F49</f>
        <v>0.17938929645740007</v>
      </c>
      <c r="G55" s="30">
        <f>G27/G49</f>
        <v>0.19845266208967327</v>
      </c>
      <c r="H55" s="30">
        <f>H27/H49</f>
        <v>0.16081258771065637</v>
      </c>
      <c r="I55" s="30">
        <f>I27/I49</f>
        <v>0.15542768223299239</v>
      </c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x14ac:dyDescent="0.15">
      <c r="B56" s="25"/>
      <c r="C56" s="21"/>
      <c r="D56" s="21"/>
      <c r="E56" s="21"/>
      <c r="F56" s="21"/>
      <c r="G56" s="21"/>
      <c r="H56" s="48"/>
      <c r="I56" s="48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x14ac:dyDescent="0.15">
      <c r="A57" s="5" t="s">
        <v>123</v>
      </c>
      <c r="B57" s="25"/>
      <c r="C57" s="30">
        <f t="shared" ref="C57:N57" si="85">C12/B12-1</f>
        <v>0.2594490173022006</v>
      </c>
      <c r="D57" s="30">
        <f t="shared" si="85"/>
        <v>0.40735800822496393</v>
      </c>
      <c r="E57" s="30">
        <f t="shared" si="85"/>
        <v>0.27419049123361239</v>
      </c>
      <c r="F57" s="30">
        <f t="shared" si="85"/>
        <v>0.33644894569165351</v>
      </c>
      <c r="G57" s="30">
        <f t="shared" si="85"/>
        <v>0.42828123550691033</v>
      </c>
      <c r="H57" s="30">
        <f t="shared" si="85"/>
        <v>0.14717858464895484</v>
      </c>
      <c r="I57" s="30">
        <f t="shared" si="85"/>
        <v>0.13215696930584331</v>
      </c>
      <c r="J57" s="30">
        <f t="shared" si="85"/>
        <v>0.14999999999999991</v>
      </c>
      <c r="K57" s="30">
        <f t="shared" si="85"/>
        <v>0.14999999999999991</v>
      </c>
      <c r="L57" s="30">
        <f t="shared" si="85"/>
        <v>0.14999999999999991</v>
      </c>
      <c r="M57" s="30">
        <f t="shared" si="85"/>
        <v>0.14999999999999991</v>
      </c>
      <c r="N57" s="30">
        <f t="shared" si="85"/>
        <v>0.14999999999999991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15">
      <c r="A58" s="5" t="s">
        <v>124</v>
      </c>
      <c r="B58" s="25"/>
      <c r="C58" s="30"/>
      <c r="D58" s="30"/>
      <c r="E58" s="30"/>
      <c r="F58" s="30"/>
      <c r="G58" s="30"/>
      <c r="H58" s="30"/>
      <c r="I58" s="30">
        <f t="shared" ref="I58:N60" si="86">I13/H13-1</f>
        <v>0.38580491673275175</v>
      </c>
      <c r="J58" s="30">
        <f t="shared" si="86"/>
        <v>0.19999999999999996</v>
      </c>
      <c r="K58" s="30">
        <f t="shared" si="86"/>
        <v>0.19999999999999996</v>
      </c>
      <c r="L58" s="30">
        <f t="shared" si="86"/>
        <v>0.19999999999999996</v>
      </c>
      <c r="M58" s="30">
        <f t="shared" si="86"/>
        <v>0.19999999999999996</v>
      </c>
      <c r="N58" s="30">
        <f t="shared" si="86"/>
        <v>0.19999999999999996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s="14" customFormat="1" x14ac:dyDescent="0.15">
      <c r="A59" s="5" t="s">
        <v>43</v>
      </c>
      <c r="B59" s="25"/>
      <c r="C59" s="30">
        <f t="shared" ref="C59:H60" si="87">C14/B14-1</f>
        <v>0.48846836191602594</v>
      </c>
      <c r="D59" s="30">
        <f t="shared" si="87"/>
        <v>0.65037743345252275</v>
      </c>
      <c r="E59" s="30">
        <f t="shared" si="87"/>
        <v>1.1025517573423205</v>
      </c>
      <c r="F59" s="30">
        <f t="shared" si="87"/>
        <v>0.5439661094572934</v>
      </c>
      <c r="G59" s="30">
        <f t="shared" si="87"/>
        <v>0.49940674823878384</v>
      </c>
      <c r="H59" s="30">
        <f t="shared" si="87"/>
        <v>0.43621256707633727</v>
      </c>
      <c r="I59" s="30">
        <f t="shared" si="86"/>
        <v>0.17731021539627068</v>
      </c>
      <c r="J59" s="30">
        <f t="shared" si="86"/>
        <v>0.14999999999999991</v>
      </c>
      <c r="K59" s="30">
        <f t="shared" si="86"/>
        <v>0.14999999999999991</v>
      </c>
      <c r="L59" s="30">
        <f t="shared" si="86"/>
        <v>0.14999999999999991</v>
      </c>
      <c r="M59" s="30">
        <f t="shared" si="86"/>
        <v>0.14999999999999991</v>
      </c>
      <c r="N59" s="30">
        <f t="shared" si="86"/>
        <v>0.14999999999999991</v>
      </c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s="14" customFormat="1" x14ac:dyDescent="0.15">
      <c r="A60" s="5" t="s">
        <v>44</v>
      </c>
      <c r="B60" s="25"/>
      <c r="C60" s="30">
        <f t="shared" si="87"/>
        <v>1.1735864802837472</v>
      </c>
      <c r="D60" s="30">
        <f t="shared" si="87"/>
        <v>-0.2989057400652716</v>
      </c>
      <c r="E60" s="30">
        <f t="shared" si="87"/>
        <v>-0.3529572836801752</v>
      </c>
      <c r="F60" s="30">
        <f t="shared" si="87"/>
        <v>2.6305543800253917</v>
      </c>
      <c r="G60" s="30">
        <f t="shared" si="87"/>
        <v>1.5258188600069937</v>
      </c>
      <c r="H60" s="30">
        <f t="shared" si="87"/>
        <v>-0.88852738935806919</v>
      </c>
      <c r="I60" s="30">
        <f t="shared" si="86"/>
        <v>0.56613537569861316</v>
      </c>
      <c r="J60" s="30">
        <f t="shared" si="86"/>
        <v>0.25</v>
      </c>
      <c r="K60" s="30">
        <f t="shared" si="86"/>
        <v>0.25</v>
      </c>
      <c r="L60" s="30">
        <f t="shared" si="86"/>
        <v>0.25</v>
      </c>
      <c r="M60" s="30">
        <f t="shared" si="86"/>
        <v>0.25</v>
      </c>
      <c r="N60" s="30">
        <f t="shared" si="86"/>
        <v>0.25</v>
      </c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 x14ac:dyDescent="0.15">
      <c r="A61" s="13"/>
      <c r="B61" s="25"/>
      <c r="H61" s="19"/>
    </row>
    <row r="62" spans="1:24" s="46" customFormat="1" x14ac:dyDescent="0.15">
      <c r="A62" s="4" t="s">
        <v>63</v>
      </c>
      <c r="B62" s="45">
        <v>6.2313000000000001</v>
      </c>
      <c r="C62" s="45">
        <v>6.0537000000000001</v>
      </c>
      <c r="D62" s="45">
        <v>6.2046000000000001</v>
      </c>
      <c r="E62" s="45">
        <v>6.4920999999999998</v>
      </c>
      <c r="F62" s="45">
        <v>6.95</v>
      </c>
      <c r="G62" s="45">
        <v>6.51</v>
      </c>
      <c r="H62" s="45">
        <v>6.88</v>
      </c>
      <c r="I62" s="45">
        <v>6.96</v>
      </c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</row>
    <row r="63" spans="1:24" s="2" customFormat="1" x14ac:dyDescent="0.15">
      <c r="A63" s="2" t="s">
        <v>64</v>
      </c>
      <c r="B63" s="28">
        <f t="shared" ref="B63:I63" si="88">B17/B62</f>
        <v>7043.9555149005828</v>
      </c>
      <c r="C63" s="28">
        <f t="shared" si="88"/>
        <v>9983.481176800964</v>
      </c>
      <c r="D63" s="28">
        <f t="shared" si="88"/>
        <v>12719.917480578924</v>
      </c>
      <c r="E63" s="28">
        <f t="shared" si="88"/>
        <v>15844.333882718998</v>
      </c>
      <c r="F63" s="28">
        <f t="shared" si="88"/>
        <v>21861.582733812949</v>
      </c>
      <c r="G63" s="28">
        <f t="shared" si="88"/>
        <v>36522.273425499232</v>
      </c>
      <c r="H63" s="28">
        <f t="shared" si="88"/>
        <v>45449.70930232558</v>
      </c>
      <c r="I63" s="28">
        <f t="shared" si="88"/>
        <v>54208.189655172413</v>
      </c>
      <c r="J63" s="49">
        <f t="shared" ref="J63:X63" si="89">J17/$C$9</f>
        <v>61930.52112676057</v>
      </c>
      <c r="K63" s="49">
        <f t="shared" si="89"/>
        <v>72209.824647887319</v>
      </c>
      <c r="L63" s="49">
        <f t="shared" si="89"/>
        <v>84235.628978873225</v>
      </c>
      <c r="M63" s="49">
        <f t="shared" si="89"/>
        <v>98312.495350352081</v>
      </c>
      <c r="N63" s="49">
        <f t="shared" si="89"/>
        <v>114799.60266258799</v>
      </c>
      <c r="O63" s="49">
        <f t="shared" si="89"/>
        <v>120539.58279571739</v>
      </c>
      <c r="P63" s="49">
        <f t="shared" si="89"/>
        <v>126566.56193550327</v>
      </c>
      <c r="Q63" s="49">
        <f t="shared" si="89"/>
        <v>132894.89003227843</v>
      </c>
      <c r="R63" s="49">
        <f t="shared" si="89"/>
        <v>139539.63453389236</v>
      </c>
      <c r="S63" s="49">
        <f t="shared" si="89"/>
        <v>146516.61626058698</v>
      </c>
      <c r="T63" s="49">
        <f t="shared" si="89"/>
        <v>153842.44707361635</v>
      </c>
      <c r="U63" s="49">
        <f t="shared" si="89"/>
        <v>161534.56942729719</v>
      </c>
      <c r="V63" s="49">
        <f t="shared" si="89"/>
        <v>169611.29789866207</v>
      </c>
      <c r="W63" s="49">
        <f t="shared" si="89"/>
        <v>178091.86279359518</v>
      </c>
      <c r="X63" s="49">
        <f t="shared" si="89"/>
        <v>186996.45593327493</v>
      </c>
    </row>
    <row r="64" spans="1:24" s="2" customFormat="1" x14ac:dyDescent="0.15">
      <c r="A64" s="2" t="s">
        <v>65</v>
      </c>
      <c r="B64" s="28">
        <f t="shared" ref="B64:I64" si="90">B27/B62</f>
        <v>2051.8992826536996</v>
      </c>
      <c r="C64" s="28">
        <f t="shared" si="90"/>
        <v>2570.8244544658637</v>
      </c>
      <c r="D64" s="28">
        <f t="shared" si="90"/>
        <v>3848.4350320729782</v>
      </c>
      <c r="E64" s="28">
        <f t="shared" si="90"/>
        <v>4483.6031484419527</v>
      </c>
      <c r="F64" s="28">
        <f t="shared" si="90"/>
        <v>5963.5971223021579</v>
      </c>
      <c r="G64" s="28">
        <f t="shared" si="90"/>
        <v>11127.188940092166</v>
      </c>
      <c r="H64" s="28">
        <f t="shared" si="90"/>
        <v>11625.581395348838</v>
      </c>
      <c r="I64" s="28">
        <f t="shared" si="90"/>
        <v>13777.011494252874</v>
      </c>
      <c r="J64" s="49">
        <f t="shared" ref="J64:X64" si="91">J27/$C$9</f>
        <v>13488.743255425787</v>
      </c>
      <c r="K64" s="49">
        <f t="shared" si="91"/>
        <v>16612.252062204116</v>
      </c>
      <c r="L64" s="49">
        <f t="shared" si="91"/>
        <v>20349.496035956556</v>
      </c>
      <c r="M64" s="49">
        <f t="shared" si="91"/>
        <v>24816.00557717714</v>
      </c>
      <c r="N64" s="49">
        <f t="shared" si="91"/>
        <v>30148.904269283496</v>
      </c>
      <c r="O64" s="49">
        <f t="shared" si="91"/>
        <v>32827.750225732932</v>
      </c>
      <c r="P64" s="49">
        <f t="shared" si="91"/>
        <v>35646.02558449794</v>
      </c>
      <c r="Q64" s="49">
        <f t="shared" si="91"/>
        <v>38611.083630633402</v>
      </c>
      <c r="R64" s="49">
        <f t="shared" si="91"/>
        <v>41730.646033617719</v>
      </c>
      <c r="S64" s="49">
        <f t="shared" si="91"/>
        <v>45012.821394230443</v>
      </c>
      <c r="T64" s="49">
        <f t="shared" si="91"/>
        <v>48466.12471863586</v>
      </c>
      <c r="U64" s="49">
        <f t="shared" si="91"/>
        <v>52099.497866076337</v>
      </c>
      <c r="V64" s="49">
        <f t="shared" si="91"/>
        <v>55922.3310188998</v>
      </c>
      <c r="W64" s="49">
        <f t="shared" si="91"/>
        <v>59944.485226081262</v>
      </c>
      <c r="X64" s="49">
        <f t="shared" si="91"/>
        <v>64176.316073956732</v>
      </c>
    </row>
    <row r="65" spans="1:24" x14ac:dyDescent="0.15">
      <c r="B65" s="25"/>
    </row>
    <row r="66" spans="1:24" s="2" customFormat="1" x14ac:dyDescent="0.15">
      <c r="A66" s="2" t="s">
        <v>97</v>
      </c>
      <c r="B66" s="25"/>
      <c r="C66" s="52">
        <f t="shared" ref="C66:I66" si="92">C63/B63-1</f>
        <v>0.41731178677693137</v>
      </c>
      <c r="D66" s="52">
        <f t="shared" si="92"/>
        <v>0.27409640538379865</v>
      </c>
      <c r="E66" s="52">
        <f t="shared" si="92"/>
        <v>0.24563181379993293</v>
      </c>
      <c r="F66" s="52">
        <f t="shared" si="92"/>
        <v>0.37977291413031922</v>
      </c>
      <c r="G66" s="52">
        <f t="shared" si="92"/>
        <v>0.67061433155115679</v>
      </c>
      <c r="H66" s="52">
        <f t="shared" si="92"/>
        <v>0.24443812061801617</v>
      </c>
      <c r="I66" s="52">
        <f t="shared" si="92"/>
        <v>0.19270707089866201</v>
      </c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</row>
    <row r="67" spans="1:24" x14ac:dyDescent="0.15">
      <c r="B67" s="25"/>
    </row>
    <row r="68" spans="1:24" s="2" customFormat="1" x14ac:dyDescent="0.15">
      <c r="A68" s="2" t="s">
        <v>96</v>
      </c>
      <c r="B68" s="25"/>
      <c r="C68" s="3"/>
      <c r="D68" s="3"/>
      <c r="E68" s="3"/>
      <c r="F68" s="28">
        <f>F40/F62</f>
        <v>2717.9856115107914</v>
      </c>
      <c r="G68" s="28">
        <f>G40/G62</f>
        <v>2686.1751152073734</v>
      </c>
      <c r="H68" s="28">
        <f>H40/H62</f>
        <v>-1423.2558139534883</v>
      </c>
      <c r="I68" s="28">
        <f>I40/I62</f>
        <v>-1812.7873563218391</v>
      </c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</row>
  </sheetData>
  <hyperlinks>
    <hyperlink ref="A1" r:id="rId1" xr:uid="{00000000-0004-0000-0000-000003000000}"/>
    <hyperlink ref="L4" r:id="rId2" xr:uid="{BA4807F2-D005-6C48-9ABD-4F99B4D4EFAA}"/>
    <hyperlink ref="A7" r:id="rId3" xr:uid="{ECA683AE-2AC3-884F-A6BC-B1A29895D1DA}"/>
    <hyperlink ref="A4" r:id="rId4" xr:uid="{68A013DA-6440-1D4E-B18C-3CCFD5ED61D0}"/>
    <hyperlink ref="A8" r:id="rId5" xr:uid="{FBD18323-A9D1-7742-AD90-B5DF69ADF62C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X16" sqref="X16"/>
    </sheetView>
  </sheetViews>
  <sheetFormatPr baseColWidth="10" defaultRowHeight="13" x14ac:dyDescent="0.15"/>
  <cols>
    <col min="1" max="1" width="18.6640625" style="3" bestFit="1" customWidth="1"/>
    <col min="2" max="2" width="9.1640625" style="21" bestFit="1" customWidth="1"/>
    <col min="3" max="5" width="10.83203125" style="21"/>
    <col min="6" max="6" width="10.83203125" style="22"/>
    <col min="7" max="9" width="10.83203125" style="21"/>
    <col min="10" max="10" width="10.83203125" style="22"/>
    <col min="11" max="13" width="10.83203125" style="21"/>
    <col min="14" max="14" width="10.83203125" style="22"/>
    <col min="15" max="17" width="10.83203125" style="21"/>
    <col min="18" max="18" width="10.83203125" style="22"/>
    <col min="19" max="21" width="10.83203125" style="21"/>
    <col min="22" max="22" width="10.83203125" style="22"/>
    <col min="23" max="24" width="10.83203125" style="21"/>
    <col min="25" max="16384" width="10.83203125" style="3"/>
  </cols>
  <sheetData>
    <row r="1" spans="1:24" x14ac:dyDescent="0.15">
      <c r="A1" s="58" t="s">
        <v>127</v>
      </c>
      <c r="B1" s="21" t="s">
        <v>81</v>
      </c>
      <c r="C1" s="21" t="s">
        <v>74</v>
      </c>
      <c r="D1" s="21" t="s">
        <v>75</v>
      </c>
      <c r="E1" s="21" t="s">
        <v>76</v>
      </c>
      <c r="F1" s="22" t="s">
        <v>69</v>
      </c>
      <c r="G1" s="21" t="s">
        <v>68</v>
      </c>
      <c r="H1" s="21" t="s">
        <v>67</v>
      </c>
      <c r="I1" s="21" t="s">
        <v>66</v>
      </c>
      <c r="J1" s="22" t="s">
        <v>62</v>
      </c>
      <c r="K1" s="21" t="s">
        <v>60</v>
      </c>
      <c r="L1" s="21" t="s">
        <v>58</v>
      </c>
      <c r="M1" s="21" t="s">
        <v>53</v>
      </c>
      <c r="N1" s="22" t="s">
        <v>61</v>
      </c>
      <c r="O1" s="21" t="s">
        <v>59</v>
      </c>
      <c r="P1" s="21" t="s">
        <v>54</v>
      </c>
      <c r="Q1" s="21" t="s">
        <v>52</v>
      </c>
      <c r="R1" s="22" t="s">
        <v>82</v>
      </c>
      <c r="S1" s="21" t="s">
        <v>84</v>
      </c>
      <c r="T1" s="21" t="s">
        <v>87</v>
      </c>
      <c r="U1" s="21" t="s">
        <v>86</v>
      </c>
      <c r="V1" s="60">
        <v>43921</v>
      </c>
    </row>
    <row r="2" spans="1:24" x14ac:dyDescent="0.15">
      <c r="B2" s="21" t="s">
        <v>80</v>
      </c>
      <c r="C2" s="21" t="s">
        <v>79</v>
      </c>
      <c r="D2" s="21" t="s">
        <v>78</v>
      </c>
      <c r="E2" s="21" t="s">
        <v>77</v>
      </c>
      <c r="F2" s="22" t="s">
        <v>70</v>
      </c>
      <c r="G2" s="21" t="s">
        <v>71</v>
      </c>
      <c r="H2" s="21" t="s">
        <v>72</v>
      </c>
      <c r="I2" s="21" t="s">
        <v>73</v>
      </c>
      <c r="J2" s="22" t="s">
        <v>51</v>
      </c>
      <c r="K2" s="21" t="s">
        <v>50</v>
      </c>
      <c r="L2" s="21" t="s">
        <v>49</v>
      </c>
      <c r="M2" s="21" t="s">
        <v>48</v>
      </c>
      <c r="N2" s="22" t="s">
        <v>47</v>
      </c>
      <c r="O2" s="21" t="s">
        <v>46</v>
      </c>
      <c r="P2" s="21" t="s">
        <v>45</v>
      </c>
      <c r="Q2" s="21" t="s">
        <v>42</v>
      </c>
      <c r="R2" s="22" t="s">
        <v>83</v>
      </c>
      <c r="S2" s="21" t="s">
        <v>85</v>
      </c>
      <c r="T2" s="21" t="s">
        <v>88</v>
      </c>
      <c r="U2" s="21" t="s">
        <v>89</v>
      </c>
      <c r="V2" s="22" t="s">
        <v>138</v>
      </c>
    </row>
    <row r="3" spans="1:24" s="5" customFormat="1" x14ac:dyDescent="0.15">
      <c r="A3" s="5" t="s">
        <v>105</v>
      </c>
      <c r="B3" s="25">
        <v>18626</v>
      </c>
      <c r="C3" s="25">
        <v>18428</v>
      </c>
      <c r="D3" s="25">
        <v>20547</v>
      </c>
      <c r="E3" s="25">
        <v>23068</v>
      </c>
      <c r="F3" s="26">
        <v>24964</v>
      </c>
      <c r="G3" s="25">
        <v>25680</v>
      </c>
      <c r="H3" s="25">
        <v>27975</v>
      </c>
      <c r="I3" s="25">
        <v>29191</v>
      </c>
      <c r="J3" s="26">
        <v>35108</v>
      </c>
      <c r="K3" s="25">
        <v>36804</v>
      </c>
      <c r="L3" s="25">
        <v>42124</v>
      </c>
      <c r="M3" s="25">
        <v>39947</v>
      </c>
      <c r="N3" s="26">
        <v>46877</v>
      </c>
      <c r="O3" s="25">
        <v>42069</v>
      </c>
      <c r="P3" s="25">
        <v>44049</v>
      </c>
      <c r="Q3" s="25">
        <v>43651</v>
      </c>
      <c r="R3" s="26">
        <v>48974</v>
      </c>
      <c r="S3" s="25">
        <v>48080</v>
      </c>
      <c r="T3" s="25">
        <v>50629</v>
      </c>
      <c r="U3" s="25">
        <v>52308</v>
      </c>
      <c r="V3" s="26">
        <v>62429</v>
      </c>
      <c r="W3" s="25"/>
      <c r="X3" s="25"/>
    </row>
    <row r="4" spans="1:24" s="5" customFormat="1" x14ac:dyDescent="0.15">
      <c r="A4" s="5" t="s">
        <v>122</v>
      </c>
      <c r="B4" s="25"/>
      <c r="C4" s="25"/>
      <c r="D4" s="25"/>
      <c r="E4" s="25"/>
      <c r="F4" s="26"/>
      <c r="G4" s="25"/>
      <c r="I4" s="25"/>
      <c r="J4" s="26"/>
      <c r="K4" s="25"/>
      <c r="L4" s="25"/>
      <c r="M4" s="25"/>
      <c r="N4" s="26">
        <v>15182</v>
      </c>
      <c r="O4" s="25">
        <v>16666</v>
      </c>
      <c r="P4" s="25">
        <v>19693</v>
      </c>
      <c r="Q4" s="25">
        <v>21597</v>
      </c>
      <c r="R4" s="26">
        <v>21789</v>
      </c>
      <c r="S4" s="25">
        <v>22888</v>
      </c>
      <c r="T4" s="25">
        <v>26758</v>
      </c>
      <c r="U4" s="25">
        <v>29920</v>
      </c>
      <c r="V4" s="26">
        <v>26475</v>
      </c>
      <c r="W4" s="25"/>
      <c r="X4" s="25"/>
    </row>
    <row r="5" spans="1:24" s="5" customFormat="1" x14ac:dyDescent="0.15">
      <c r="A5" s="5" t="s">
        <v>11</v>
      </c>
      <c r="B5" s="25">
        <v>2724</v>
      </c>
      <c r="C5" s="25">
        <v>4073</v>
      </c>
      <c r="D5" s="25">
        <v>4938</v>
      </c>
      <c r="E5" s="25">
        <v>5733</v>
      </c>
      <c r="F5" s="26">
        <v>4701</v>
      </c>
      <c r="G5" s="25">
        <v>6532</v>
      </c>
      <c r="H5" s="25">
        <v>7449</v>
      </c>
      <c r="I5" s="25">
        <v>8288</v>
      </c>
      <c r="J5" s="26">
        <v>6888</v>
      </c>
      <c r="K5" s="25">
        <v>10148</v>
      </c>
      <c r="L5" s="25">
        <v>11042</v>
      </c>
      <c r="M5" s="25">
        <v>12361</v>
      </c>
      <c r="N5" s="26">
        <v>10689</v>
      </c>
      <c r="O5" s="25">
        <v>14110</v>
      </c>
      <c r="P5" s="25">
        <v>16247</v>
      </c>
      <c r="Q5" s="25">
        <v>17033</v>
      </c>
      <c r="R5" s="26">
        <v>13377</v>
      </c>
      <c r="S5" s="25">
        <v>16409</v>
      </c>
      <c r="T5" s="25">
        <v>18366</v>
      </c>
      <c r="U5" s="25">
        <v>20225</v>
      </c>
      <c r="V5" s="26">
        <v>17713</v>
      </c>
      <c r="W5" s="25"/>
      <c r="X5" s="25"/>
    </row>
    <row r="6" spans="1:24" s="5" customFormat="1" x14ac:dyDescent="0.15">
      <c r="A6" s="5" t="s">
        <v>12</v>
      </c>
      <c r="B6" s="25">
        <v>1049</v>
      </c>
      <c r="C6" s="25">
        <v>928</v>
      </c>
      <c r="D6" s="25">
        <v>1109</v>
      </c>
      <c r="E6" s="25">
        <v>1640</v>
      </c>
      <c r="F6" s="26">
        <v>2330</v>
      </c>
      <c r="G6" s="25">
        <v>3479</v>
      </c>
      <c r="H6" s="25">
        <v>4964</v>
      </c>
      <c r="I6" s="25">
        <v>6385</v>
      </c>
      <c r="J6" s="26">
        <v>7556</v>
      </c>
      <c r="K6" s="25">
        <v>9654</v>
      </c>
      <c r="L6" s="25">
        <v>12044</v>
      </c>
      <c r="M6" s="25">
        <v>14084</v>
      </c>
      <c r="N6" s="26">
        <v>780</v>
      </c>
      <c r="O6" s="25">
        <v>830</v>
      </c>
      <c r="P6" s="25">
        <v>606</v>
      </c>
      <c r="Q6" s="25">
        <v>2615</v>
      </c>
      <c r="R6" s="26">
        <v>1325</v>
      </c>
      <c r="S6" s="25">
        <v>1444</v>
      </c>
      <c r="T6" s="25">
        <v>1483</v>
      </c>
      <c r="U6" s="25">
        <v>3314</v>
      </c>
      <c r="V6" s="26">
        <v>1448</v>
      </c>
      <c r="W6" s="25"/>
      <c r="X6" s="25"/>
    </row>
    <row r="7" spans="1:24" s="43" customFormat="1" x14ac:dyDescent="0.15">
      <c r="F7" s="41"/>
      <c r="J7" s="41"/>
      <c r="N7" s="41"/>
      <c r="R7" s="41"/>
      <c r="V7" s="41"/>
    </row>
    <row r="8" spans="1:24" s="27" customFormat="1" x14ac:dyDescent="0.15">
      <c r="A8" s="27" t="s">
        <v>8</v>
      </c>
      <c r="B8" s="28">
        <f t="shared" ref="B8:V8" si="0">SUM(B3:B6)</f>
        <v>22399</v>
      </c>
      <c r="C8" s="28">
        <f t="shared" si="0"/>
        <v>23429</v>
      </c>
      <c r="D8" s="28">
        <f t="shared" si="0"/>
        <v>26594</v>
      </c>
      <c r="E8" s="28">
        <f t="shared" si="0"/>
        <v>30441</v>
      </c>
      <c r="F8" s="37">
        <f t="shared" si="0"/>
        <v>31995</v>
      </c>
      <c r="G8" s="28">
        <f t="shared" si="0"/>
        <v>35691</v>
      </c>
      <c r="H8" s="28">
        <f t="shared" si="0"/>
        <v>40388</v>
      </c>
      <c r="I8" s="28">
        <f t="shared" si="0"/>
        <v>43864</v>
      </c>
      <c r="J8" s="37">
        <f t="shared" si="0"/>
        <v>49552</v>
      </c>
      <c r="K8" s="28">
        <f t="shared" si="0"/>
        <v>56606</v>
      </c>
      <c r="L8" s="28">
        <f t="shared" si="0"/>
        <v>65210</v>
      </c>
      <c r="M8" s="28">
        <f t="shared" si="0"/>
        <v>66392</v>
      </c>
      <c r="N8" s="37">
        <f t="shared" si="0"/>
        <v>73528</v>
      </c>
      <c r="O8" s="28">
        <f t="shared" si="0"/>
        <v>73675</v>
      </c>
      <c r="P8" s="28">
        <f t="shared" si="0"/>
        <v>80595</v>
      </c>
      <c r="Q8" s="28">
        <f t="shared" si="0"/>
        <v>84896</v>
      </c>
      <c r="R8" s="37">
        <f t="shared" si="0"/>
        <v>85465</v>
      </c>
      <c r="S8" s="28">
        <f t="shared" si="0"/>
        <v>88821</v>
      </c>
      <c r="T8" s="28">
        <f t="shared" si="0"/>
        <v>97236</v>
      </c>
      <c r="U8" s="28">
        <f t="shared" si="0"/>
        <v>105767</v>
      </c>
      <c r="V8" s="37">
        <f t="shared" si="0"/>
        <v>108065</v>
      </c>
      <c r="W8" s="44"/>
      <c r="X8" s="44"/>
    </row>
    <row r="9" spans="1:24" s="5" customFormat="1" x14ac:dyDescent="0.15">
      <c r="A9" s="5" t="s">
        <v>13</v>
      </c>
      <c r="B9" s="25">
        <v>8965</v>
      </c>
      <c r="C9" s="25">
        <v>8991</v>
      </c>
      <c r="D9" s="25">
        <v>11014</v>
      </c>
      <c r="E9" s="25">
        <v>12661</v>
      </c>
      <c r="F9" s="26">
        <v>13406</v>
      </c>
      <c r="G9" s="25">
        <v>15235</v>
      </c>
      <c r="H9" s="25">
        <v>18560</v>
      </c>
      <c r="I9" s="25">
        <v>20238</v>
      </c>
      <c r="J9" s="26">
        <v>24109</v>
      </c>
      <c r="K9" s="25">
        <v>28300</v>
      </c>
      <c r="L9" s="25">
        <v>33529</v>
      </c>
      <c r="M9" s="25">
        <v>34897</v>
      </c>
      <c r="N9" s="26">
        <v>36486</v>
      </c>
      <c r="O9" s="25">
        <v>39229</v>
      </c>
      <c r="P9" s="25">
        <v>45115</v>
      </c>
      <c r="Q9" s="25">
        <v>49744</v>
      </c>
      <c r="R9" s="26">
        <v>45645</v>
      </c>
      <c r="S9" s="25">
        <v>49695</v>
      </c>
      <c r="T9" s="25">
        <v>54757</v>
      </c>
      <c r="U9" s="25">
        <v>59659</v>
      </c>
      <c r="V9" s="26">
        <v>55271</v>
      </c>
      <c r="W9" s="25"/>
      <c r="X9" s="25"/>
    </row>
    <row r="10" spans="1:24" s="5" customFormat="1" x14ac:dyDescent="0.15">
      <c r="A10" s="5" t="s">
        <v>14</v>
      </c>
      <c r="B10" s="29">
        <f t="shared" ref="B10:R10" si="1">B8-B9</f>
        <v>13434</v>
      </c>
      <c r="C10" s="29">
        <f t="shared" si="1"/>
        <v>14438</v>
      </c>
      <c r="D10" s="29">
        <f t="shared" si="1"/>
        <v>15580</v>
      </c>
      <c r="E10" s="29">
        <f t="shared" si="1"/>
        <v>17780</v>
      </c>
      <c r="F10" s="38">
        <f t="shared" si="1"/>
        <v>18589</v>
      </c>
      <c r="G10" s="29">
        <f t="shared" si="1"/>
        <v>20456</v>
      </c>
      <c r="H10" s="29">
        <f t="shared" si="1"/>
        <v>21828</v>
      </c>
      <c r="I10" s="29">
        <f t="shared" si="1"/>
        <v>23626</v>
      </c>
      <c r="J10" s="38">
        <f t="shared" si="1"/>
        <v>25443</v>
      </c>
      <c r="K10" s="29">
        <f t="shared" si="1"/>
        <v>28306</v>
      </c>
      <c r="L10" s="29">
        <f t="shared" si="1"/>
        <v>31681</v>
      </c>
      <c r="M10" s="29">
        <f t="shared" si="1"/>
        <v>31495</v>
      </c>
      <c r="N10" s="38">
        <f t="shared" si="1"/>
        <v>37042</v>
      </c>
      <c r="O10" s="29">
        <f t="shared" si="1"/>
        <v>34446</v>
      </c>
      <c r="P10" s="29">
        <f t="shared" si="1"/>
        <v>35480</v>
      </c>
      <c r="Q10" s="29">
        <f t="shared" si="1"/>
        <v>35152</v>
      </c>
      <c r="R10" s="38">
        <f t="shared" si="1"/>
        <v>39820</v>
      </c>
      <c r="S10" s="29">
        <f t="shared" ref="S10:T10" si="2">S8-S9</f>
        <v>39126</v>
      </c>
      <c r="T10" s="29">
        <f t="shared" si="2"/>
        <v>42479</v>
      </c>
      <c r="U10" s="29">
        <f t="shared" ref="U10:V10" si="3">U8-U9</f>
        <v>46108</v>
      </c>
      <c r="V10" s="38">
        <f t="shared" si="3"/>
        <v>52794</v>
      </c>
      <c r="W10" s="25"/>
      <c r="X10" s="25"/>
    </row>
    <row r="11" spans="1:24" s="5" customFormat="1" x14ac:dyDescent="0.15">
      <c r="A11" s="5" t="s">
        <v>125</v>
      </c>
      <c r="B11" s="25">
        <v>1326</v>
      </c>
      <c r="C11" s="25">
        <v>1601</v>
      </c>
      <c r="D11" s="25">
        <v>2042</v>
      </c>
      <c r="E11" s="25">
        <v>3024</v>
      </c>
      <c r="F11" s="26">
        <v>2032</v>
      </c>
      <c r="G11" s="25">
        <v>2365</v>
      </c>
      <c r="H11" s="25">
        <v>3277</v>
      </c>
      <c r="I11" s="25">
        <v>4462</v>
      </c>
      <c r="J11" s="26">
        <v>3158</v>
      </c>
      <c r="K11" s="25">
        <v>3660</v>
      </c>
      <c r="L11" s="25">
        <v>4812</v>
      </c>
      <c r="M11" s="25">
        <v>6022</v>
      </c>
      <c r="N11" s="26">
        <v>5570</v>
      </c>
      <c r="O11" s="25">
        <v>6360</v>
      </c>
      <c r="P11" s="25">
        <v>6573</v>
      </c>
      <c r="Q11" s="25">
        <v>5730</v>
      </c>
      <c r="R11" s="26">
        <v>4244</v>
      </c>
      <c r="S11" s="25">
        <v>4718</v>
      </c>
      <c r="T11" s="25">
        <v>5722</v>
      </c>
      <c r="U11" s="25">
        <v>6712</v>
      </c>
      <c r="V11" s="26">
        <v>7049</v>
      </c>
      <c r="W11" s="25"/>
      <c r="X11" s="25"/>
    </row>
    <row r="12" spans="1:24" s="5" customFormat="1" x14ac:dyDescent="0.15">
      <c r="A12" s="5" t="s">
        <v>126</v>
      </c>
      <c r="B12" s="25">
        <v>3668</v>
      </c>
      <c r="C12" s="25">
        <v>4011</v>
      </c>
      <c r="D12" s="25">
        <v>4380</v>
      </c>
      <c r="E12" s="25">
        <v>4766</v>
      </c>
      <c r="F12" s="26">
        <v>4368</v>
      </c>
      <c r="G12" s="25">
        <v>5299</v>
      </c>
      <c r="H12" s="25">
        <v>5883</v>
      </c>
      <c r="I12" s="25">
        <v>6909</v>
      </c>
      <c r="J12" s="26">
        <v>7012</v>
      </c>
      <c r="K12" s="25">
        <v>8170</v>
      </c>
      <c r="L12" s="25">
        <v>9058</v>
      </c>
      <c r="M12" s="25">
        <v>8811</v>
      </c>
      <c r="N12" s="26">
        <v>9430</v>
      </c>
      <c r="O12" s="25">
        <v>9857</v>
      </c>
      <c r="P12" s="25">
        <v>10890</v>
      </c>
      <c r="Q12" s="25">
        <v>11345</v>
      </c>
      <c r="R12" s="26">
        <v>11331</v>
      </c>
      <c r="S12" s="25">
        <v>12577</v>
      </c>
      <c r="T12" s="25">
        <v>13536</v>
      </c>
      <c r="U12" s="25">
        <v>16002</v>
      </c>
      <c r="V12" s="26">
        <v>14158</v>
      </c>
      <c r="W12" s="25"/>
      <c r="X12" s="25"/>
    </row>
    <row r="13" spans="1:24" s="5" customFormat="1" x14ac:dyDescent="0.15">
      <c r="A13" s="5" t="s">
        <v>15</v>
      </c>
      <c r="B13" s="29">
        <f t="shared" ref="B13:Q13" si="4">SUM(B11:B12)</f>
        <v>4994</v>
      </c>
      <c r="C13" s="29">
        <f t="shared" si="4"/>
        <v>5612</v>
      </c>
      <c r="D13" s="29">
        <f t="shared" si="4"/>
        <v>6422</v>
      </c>
      <c r="E13" s="29">
        <f t="shared" si="4"/>
        <v>7790</v>
      </c>
      <c r="F13" s="38">
        <f t="shared" si="4"/>
        <v>6400</v>
      </c>
      <c r="G13" s="29">
        <f t="shared" si="4"/>
        <v>7664</v>
      </c>
      <c r="H13" s="29">
        <f t="shared" si="4"/>
        <v>9160</v>
      </c>
      <c r="I13" s="29">
        <f t="shared" si="4"/>
        <v>11371</v>
      </c>
      <c r="J13" s="38">
        <f t="shared" si="4"/>
        <v>10170</v>
      </c>
      <c r="K13" s="29">
        <f t="shared" si="4"/>
        <v>11830</v>
      </c>
      <c r="L13" s="29">
        <f t="shared" si="4"/>
        <v>13870</v>
      </c>
      <c r="M13" s="29">
        <f t="shared" si="4"/>
        <v>14833</v>
      </c>
      <c r="N13" s="38">
        <f t="shared" si="4"/>
        <v>15000</v>
      </c>
      <c r="O13" s="29">
        <f t="shared" si="4"/>
        <v>16217</v>
      </c>
      <c r="P13" s="29">
        <f t="shared" si="4"/>
        <v>17463</v>
      </c>
      <c r="Q13" s="29">
        <f t="shared" si="4"/>
        <v>17075</v>
      </c>
      <c r="R13" s="38">
        <f t="shared" ref="R13:S13" si="5">SUM(R11:R12)</f>
        <v>15575</v>
      </c>
      <c r="S13" s="29">
        <f t="shared" si="5"/>
        <v>17295</v>
      </c>
      <c r="T13" s="29">
        <f t="shared" ref="T13:V13" si="6">SUM(T11:T12)</f>
        <v>19258</v>
      </c>
      <c r="U13" s="29">
        <f t="shared" si="6"/>
        <v>22714</v>
      </c>
      <c r="V13" s="38">
        <f t="shared" si="6"/>
        <v>21207</v>
      </c>
      <c r="W13" s="25"/>
      <c r="X13" s="25"/>
    </row>
    <row r="14" spans="1:24" s="5" customFormat="1" x14ac:dyDescent="0.15">
      <c r="A14" s="5" t="s">
        <v>16</v>
      </c>
      <c r="B14" s="29">
        <f t="shared" ref="B14:Q14" si="7">B10-B13</f>
        <v>8440</v>
      </c>
      <c r="C14" s="29">
        <f t="shared" si="7"/>
        <v>8826</v>
      </c>
      <c r="D14" s="29">
        <f t="shared" si="7"/>
        <v>9158</v>
      </c>
      <c r="E14" s="29">
        <f t="shared" si="7"/>
        <v>9990</v>
      </c>
      <c r="F14" s="38">
        <f t="shared" si="7"/>
        <v>12189</v>
      </c>
      <c r="G14" s="29">
        <f t="shared" si="7"/>
        <v>12792</v>
      </c>
      <c r="H14" s="29">
        <f t="shared" si="7"/>
        <v>12668</v>
      </c>
      <c r="I14" s="29">
        <f t="shared" si="7"/>
        <v>12255</v>
      </c>
      <c r="J14" s="38">
        <f t="shared" si="7"/>
        <v>15273</v>
      </c>
      <c r="K14" s="29">
        <f t="shared" si="7"/>
        <v>16476</v>
      </c>
      <c r="L14" s="29">
        <f t="shared" si="7"/>
        <v>17811</v>
      </c>
      <c r="M14" s="29">
        <f t="shared" si="7"/>
        <v>16662</v>
      </c>
      <c r="N14" s="38">
        <f t="shared" si="7"/>
        <v>22042</v>
      </c>
      <c r="O14" s="29">
        <f t="shared" si="7"/>
        <v>18229</v>
      </c>
      <c r="P14" s="29">
        <f t="shared" si="7"/>
        <v>18017</v>
      </c>
      <c r="Q14" s="29">
        <f t="shared" si="7"/>
        <v>18077</v>
      </c>
      <c r="R14" s="38">
        <f t="shared" ref="R14:S14" si="8">R10-R13</f>
        <v>24245</v>
      </c>
      <c r="S14" s="29">
        <f t="shared" si="8"/>
        <v>21831</v>
      </c>
      <c r="T14" s="29">
        <f t="shared" ref="T14:V14" si="9">T10-T13</f>
        <v>23221</v>
      </c>
      <c r="U14" s="29">
        <f t="shared" si="9"/>
        <v>23394</v>
      </c>
      <c r="V14" s="38">
        <f t="shared" si="9"/>
        <v>31587</v>
      </c>
      <c r="W14" s="25"/>
      <c r="X14" s="25"/>
    </row>
    <row r="15" spans="1:24" s="5" customFormat="1" x14ac:dyDescent="0.15">
      <c r="A15" s="5" t="s">
        <v>17</v>
      </c>
      <c r="B15" s="25">
        <f>521+411-433-310</f>
        <v>189</v>
      </c>
      <c r="C15" s="25">
        <f>598+612-341-452</f>
        <v>417</v>
      </c>
      <c r="D15" s="25">
        <f>559+614-481-702</f>
        <v>-10</v>
      </c>
      <c r="E15" s="25">
        <f>649+249-363-1329</f>
        <v>-794</v>
      </c>
      <c r="F15" s="26">
        <f>703+506-491-1089</f>
        <v>-371</v>
      </c>
      <c r="G15" s="25">
        <f>626+911-377-292</f>
        <v>868</v>
      </c>
      <c r="H15" s="25">
        <f>637+1155-604-619</f>
        <v>569</v>
      </c>
      <c r="I15" s="25">
        <f>653+1022-483-522</f>
        <v>670</v>
      </c>
      <c r="J15" s="26">
        <f>808+3158-691-375</f>
        <v>2900</v>
      </c>
      <c r="K15" s="25">
        <f>959+5125-834+498</f>
        <v>5748</v>
      </c>
      <c r="L15" s="25">
        <f>1017+3918-524+818</f>
        <v>5229</v>
      </c>
      <c r="M15" s="25">
        <f>1156+7906-859-120</f>
        <v>8083</v>
      </c>
      <c r="N15" s="26">
        <f>1065+7585-654-319</f>
        <v>7677</v>
      </c>
      <c r="O15" s="25">
        <f>1072+2506-1151+1526</f>
        <v>3953</v>
      </c>
      <c r="P15" s="25">
        <f>1082+8762-1492+264</f>
        <v>8616</v>
      </c>
      <c r="Q15" s="25">
        <f>1350-2139-1372+16</f>
        <v>-2145</v>
      </c>
      <c r="R15" s="26">
        <f>1408+11089-1117-2957</f>
        <v>8423</v>
      </c>
      <c r="S15" s="25">
        <f>1652+4038-1982+2370</f>
        <v>6078</v>
      </c>
      <c r="T15" s="25">
        <f>1674+932-1747+234</f>
        <v>1093</v>
      </c>
      <c r="U15" s="25">
        <f>1580+3630-2767-1328</f>
        <v>1115</v>
      </c>
      <c r="V15" s="26">
        <f>1636+4037-1684-281</f>
        <v>3708</v>
      </c>
      <c r="W15" s="25"/>
      <c r="X15" s="25"/>
    </row>
    <row r="16" spans="1:24" s="5" customFormat="1" x14ac:dyDescent="0.15">
      <c r="A16" s="5" t="s">
        <v>18</v>
      </c>
      <c r="B16" s="29">
        <f t="shared" ref="B16:R16" si="10">B14+B15</f>
        <v>8629</v>
      </c>
      <c r="C16" s="29">
        <f t="shared" si="10"/>
        <v>9243</v>
      </c>
      <c r="D16" s="29">
        <f t="shared" si="10"/>
        <v>9148</v>
      </c>
      <c r="E16" s="29">
        <f t="shared" si="10"/>
        <v>9196</v>
      </c>
      <c r="F16" s="38">
        <f t="shared" si="10"/>
        <v>11818</v>
      </c>
      <c r="G16" s="29">
        <f t="shared" si="10"/>
        <v>13660</v>
      </c>
      <c r="H16" s="29">
        <f t="shared" si="10"/>
        <v>13237</v>
      </c>
      <c r="I16" s="29">
        <f t="shared" si="10"/>
        <v>12925</v>
      </c>
      <c r="J16" s="38">
        <f t="shared" si="10"/>
        <v>18173</v>
      </c>
      <c r="K16" s="29">
        <f t="shared" si="10"/>
        <v>22224</v>
      </c>
      <c r="L16" s="29">
        <f t="shared" si="10"/>
        <v>23040</v>
      </c>
      <c r="M16" s="29">
        <f t="shared" si="10"/>
        <v>24745</v>
      </c>
      <c r="N16" s="38">
        <f t="shared" si="10"/>
        <v>29719</v>
      </c>
      <c r="O16" s="29">
        <f t="shared" si="10"/>
        <v>22182</v>
      </c>
      <c r="P16" s="29">
        <f t="shared" si="10"/>
        <v>26633</v>
      </c>
      <c r="Q16" s="29">
        <f t="shared" si="10"/>
        <v>15932</v>
      </c>
      <c r="R16" s="38">
        <f t="shared" si="10"/>
        <v>32668</v>
      </c>
      <c r="S16" s="29">
        <f t="shared" ref="S16:T16" si="11">S14+S15</f>
        <v>27909</v>
      </c>
      <c r="T16" s="29">
        <f t="shared" si="11"/>
        <v>24314</v>
      </c>
      <c r="U16" s="29">
        <f t="shared" ref="U16:V16" si="12">U14+U15</f>
        <v>24509</v>
      </c>
      <c r="V16" s="38">
        <f t="shared" si="12"/>
        <v>35295</v>
      </c>
      <c r="W16" s="25"/>
      <c r="X16" s="25"/>
    </row>
    <row r="17" spans="1:24" s="5" customFormat="1" x14ac:dyDescent="0.15">
      <c r="A17" s="5" t="s">
        <v>19</v>
      </c>
      <c r="B17" s="25">
        <v>1699</v>
      </c>
      <c r="C17" s="25">
        <v>1847</v>
      </c>
      <c r="D17" s="25">
        <v>1564</v>
      </c>
      <c r="E17" s="25">
        <v>1998</v>
      </c>
      <c r="F17" s="26">
        <v>2550</v>
      </c>
      <c r="G17" s="25">
        <v>2780</v>
      </c>
      <c r="H17" s="25">
        <v>2461</v>
      </c>
      <c r="I17" s="25">
        <v>2402</v>
      </c>
      <c r="J17" s="26">
        <v>3658</v>
      </c>
      <c r="K17" s="25">
        <v>3970</v>
      </c>
      <c r="L17" s="25">
        <v>4993</v>
      </c>
      <c r="M17" s="25">
        <v>3123</v>
      </c>
      <c r="N17" s="26">
        <v>5746</v>
      </c>
      <c r="O17" s="25">
        <v>3602</v>
      </c>
      <c r="P17" s="25">
        <v>3228</v>
      </c>
      <c r="Q17" s="25">
        <v>1906</v>
      </c>
      <c r="R17" s="26">
        <v>4812</v>
      </c>
      <c r="S17" s="25">
        <v>3225</v>
      </c>
      <c r="T17" s="25">
        <v>3338</v>
      </c>
      <c r="U17" s="25">
        <v>2137</v>
      </c>
      <c r="V17" s="26">
        <v>5892</v>
      </c>
      <c r="W17" s="25"/>
      <c r="X17" s="25"/>
    </row>
    <row r="18" spans="1:24" s="27" customFormat="1" x14ac:dyDescent="0.15">
      <c r="A18" s="27" t="s">
        <v>9</v>
      </c>
      <c r="B18" s="28">
        <f t="shared" ref="B18:Q18" si="13">B16-B17</f>
        <v>6930</v>
      </c>
      <c r="C18" s="28">
        <f t="shared" si="13"/>
        <v>7396</v>
      </c>
      <c r="D18" s="28">
        <f t="shared" si="13"/>
        <v>7584</v>
      </c>
      <c r="E18" s="28">
        <f t="shared" si="13"/>
        <v>7198</v>
      </c>
      <c r="F18" s="37">
        <f t="shared" si="13"/>
        <v>9268</v>
      </c>
      <c r="G18" s="28">
        <f t="shared" si="13"/>
        <v>10880</v>
      </c>
      <c r="H18" s="28">
        <f t="shared" si="13"/>
        <v>10776</v>
      </c>
      <c r="I18" s="28">
        <f t="shared" si="13"/>
        <v>10523</v>
      </c>
      <c r="J18" s="37">
        <f t="shared" si="13"/>
        <v>14515</v>
      </c>
      <c r="K18" s="28">
        <f t="shared" si="13"/>
        <v>18254</v>
      </c>
      <c r="L18" s="28">
        <f t="shared" si="13"/>
        <v>18047</v>
      </c>
      <c r="M18" s="28">
        <f t="shared" si="13"/>
        <v>21622</v>
      </c>
      <c r="N18" s="37">
        <f t="shared" si="13"/>
        <v>23973</v>
      </c>
      <c r="O18" s="28">
        <f t="shared" si="13"/>
        <v>18580</v>
      </c>
      <c r="P18" s="28">
        <f t="shared" si="13"/>
        <v>23405</v>
      </c>
      <c r="Q18" s="28">
        <f t="shared" si="13"/>
        <v>14026</v>
      </c>
      <c r="R18" s="37">
        <f t="shared" ref="R18:S18" si="14">R16-R17</f>
        <v>27856</v>
      </c>
      <c r="S18" s="28">
        <f t="shared" si="14"/>
        <v>24684</v>
      </c>
      <c r="T18" s="28">
        <f t="shared" ref="T18:V18" si="15">T16-T17</f>
        <v>20976</v>
      </c>
      <c r="U18" s="28">
        <f t="shared" si="15"/>
        <v>22372</v>
      </c>
      <c r="V18" s="37">
        <f t="shared" si="15"/>
        <v>29403</v>
      </c>
      <c r="W18" s="44"/>
      <c r="X18" s="44"/>
    </row>
    <row r="19" spans="1:24" s="4" customFormat="1" x14ac:dyDescent="0.15">
      <c r="A19" s="4" t="s">
        <v>20</v>
      </c>
      <c r="B19" s="35">
        <f t="shared" ref="B19:Q19" si="16">B18/B20</f>
        <v>0.73801916932907352</v>
      </c>
      <c r="C19" s="35">
        <f t="shared" si="16"/>
        <v>0.79578222509145691</v>
      </c>
      <c r="D19" s="35">
        <f t="shared" si="16"/>
        <v>0.80680851063829784</v>
      </c>
      <c r="E19" s="35">
        <f t="shared" si="16"/>
        <v>0.77264920566766848</v>
      </c>
      <c r="F19" s="39">
        <f t="shared" si="16"/>
        <v>0.99048840440312069</v>
      </c>
      <c r="G19" s="35">
        <f t="shared" si="16"/>
        <v>1.1612765503255418</v>
      </c>
      <c r="H19" s="35">
        <f t="shared" si="16"/>
        <v>1.1350326522013903</v>
      </c>
      <c r="I19" s="35">
        <f t="shared" si="16"/>
        <v>1.1083842426795871</v>
      </c>
      <c r="J19" s="39">
        <f t="shared" si="16"/>
        <v>1.5261276416780569</v>
      </c>
      <c r="K19" s="35">
        <f t="shared" si="16"/>
        <v>1.9166316673666526</v>
      </c>
      <c r="L19" s="35">
        <f t="shared" si="16"/>
        <v>1.8923141449093006</v>
      </c>
      <c r="M19" s="35">
        <f t="shared" si="16"/>
        <v>2.2975241738391246</v>
      </c>
      <c r="N19" s="39">
        <f t="shared" si="16"/>
        <v>2.5065872020075282</v>
      </c>
      <c r="O19" s="35">
        <f t="shared" si="16"/>
        <v>1.9686374231828778</v>
      </c>
      <c r="P19" s="35">
        <f t="shared" si="16"/>
        <v>2.4497592631358591</v>
      </c>
      <c r="Q19" s="35">
        <f t="shared" si="16"/>
        <v>1.465928093645485</v>
      </c>
      <c r="R19" s="39">
        <f t="shared" ref="R19:S19" si="17">R18/R20</f>
        <v>2.9116755513745165</v>
      </c>
      <c r="S19" s="35">
        <f t="shared" si="17"/>
        <v>2.5771559824598036</v>
      </c>
      <c r="T19" s="35">
        <f t="shared" ref="T19:V19" si="18">T18/T20</f>
        <v>2.1888761348220807</v>
      </c>
      <c r="U19" s="35">
        <f t="shared" si="18"/>
        <v>2.3296886389669895</v>
      </c>
      <c r="V19" s="39">
        <f t="shared" si="18"/>
        <v>3.0788481675392672</v>
      </c>
      <c r="W19" s="45"/>
      <c r="X19" s="45"/>
    </row>
    <row r="20" spans="1:24" s="5" customFormat="1" x14ac:dyDescent="0.15">
      <c r="A20" s="5" t="s">
        <v>1</v>
      </c>
      <c r="B20" s="25">
        <v>9390</v>
      </c>
      <c r="C20" s="25">
        <v>9294</v>
      </c>
      <c r="D20" s="25">
        <v>9400</v>
      </c>
      <c r="E20" s="25">
        <v>9316</v>
      </c>
      <c r="F20" s="26">
        <v>9357</v>
      </c>
      <c r="G20" s="25">
        <v>9369</v>
      </c>
      <c r="H20" s="25">
        <v>9494</v>
      </c>
      <c r="I20" s="25">
        <v>9494</v>
      </c>
      <c r="J20" s="26">
        <v>9511</v>
      </c>
      <c r="K20" s="25">
        <v>9524</v>
      </c>
      <c r="L20" s="25">
        <v>9537</v>
      </c>
      <c r="M20" s="25">
        <v>9411</v>
      </c>
      <c r="N20" s="26">
        <v>9564</v>
      </c>
      <c r="O20" s="25">
        <v>9438</v>
      </c>
      <c r="P20" s="25">
        <v>9554</v>
      </c>
      <c r="Q20" s="25">
        <v>9568</v>
      </c>
      <c r="R20" s="26">
        <v>9567</v>
      </c>
      <c r="S20" s="25">
        <v>9578</v>
      </c>
      <c r="T20" s="25">
        <v>9583</v>
      </c>
      <c r="U20" s="25">
        <v>9603</v>
      </c>
      <c r="V20" s="26">
        <v>9550</v>
      </c>
      <c r="W20" s="25"/>
      <c r="X20" s="25"/>
    </row>
    <row r="22" spans="1:24" s="2" customFormat="1" x14ac:dyDescent="0.15">
      <c r="A22" s="2" t="s">
        <v>10</v>
      </c>
      <c r="B22" s="33"/>
      <c r="C22" s="33"/>
      <c r="D22" s="33"/>
      <c r="E22" s="31"/>
      <c r="F22" s="40">
        <f t="shared" ref="F22:T22" si="19">F8/B8-1</f>
        <v>0.42841198267779812</v>
      </c>
      <c r="G22" s="33">
        <f t="shared" si="19"/>
        <v>0.5233684749669214</v>
      </c>
      <c r="H22" s="33">
        <f t="shared" si="19"/>
        <v>0.51868842596074294</v>
      </c>
      <c r="I22" s="33">
        <f t="shared" si="19"/>
        <v>0.44095134851023299</v>
      </c>
      <c r="J22" s="40">
        <f t="shared" si="19"/>
        <v>0.54874199093608378</v>
      </c>
      <c r="K22" s="33">
        <f t="shared" si="19"/>
        <v>0.58600207335182541</v>
      </c>
      <c r="L22" s="33">
        <f t="shared" si="19"/>
        <v>0.61458849163117768</v>
      </c>
      <c r="M22" s="33">
        <f t="shared" si="19"/>
        <v>0.51358745212474921</v>
      </c>
      <c r="N22" s="40">
        <f t="shared" si="19"/>
        <v>0.48385534388117524</v>
      </c>
      <c r="O22" s="33">
        <f t="shared" si="19"/>
        <v>0.3015404727414055</v>
      </c>
      <c r="P22" s="33">
        <f t="shared" si="19"/>
        <v>0.23593007207483518</v>
      </c>
      <c r="Q22" s="33">
        <f t="shared" si="19"/>
        <v>0.2787082781057959</v>
      </c>
      <c r="R22" s="40">
        <f t="shared" si="19"/>
        <v>0.16234631704928737</v>
      </c>
      <c r="S22" s="33">
        <f t="shared" si="19"/>
        <v>0.20557855446216489</v>
      </c>
      <c r="T22" s="33">
        <f t="shared" si="19"/>
        <v>0.20647682858738126</v>
      </c>
      <c r="U22" s="33">
        <f>U8/Q8-1</f>
        <v>0.24584197135318497</v>
      </c>
      <c r="V22" s="40">
        <f>V8/R8-1</f>
        <v>0.2644357339261687</v>
      </c>
      <c r="W22" s="31"/>
      <c r="X22" s="31"/>
    </row>
    <row r="23" spans="1:24" x14ac:dyDescent="0.15">
      <c r="A23" s="3" t="s">
        <v>21</v>
      </c>
      <c r="B23" s="30"/>
      <c r="C23" s="30"/>
      <c r="D23" s="30"/>
      <c r="F23" s="34">
        <f t="shared" ref="F23:R24" si="20">F11/B11-1</f>
        <v>0.53242835595776783</v>
      </c>
      <c r="G23" s="30">
        <f t="shared" si="20"/>
        <v>0.47720174890693312</v>
      </c>
      <c r="H23" s="30">
        <f t="shared" si="20"/>
        <v>0.60479921645445645</v>
      </c>
      <c r="I23" s="30">
        <f t="shared" si="20"/>
        <v>0.47552910052910047</v>
      </c>
      <c r="J23" s="34">
        <f t="shared" si="20"/>
        <v>0.55413385826771644</v>
      </c>
      <c r="K23" s="30">
        <f t="shared" si="20"/>
        <v>0.54756871035940802</v>
      </c>
      <c r="L23" s="30">
        <f t="shared" si="20"/>
        <v>0.46841623436069568</v>
      </c>
      <c r="M23" s="30">
        <f t="shared" si="20"/>
        <v>0.34961900493052434</v>
      </c>
      <c r="N23" s="34">
        <f t="shared" si="20"/>
        <v>0.76377454084863827</v>
      </c>
      <c r="O23" s="30">
        <f t="shared" si="20"/>
        <v>0.73770491803278682</v>
      </c>
      <c r="P23" s="30">
        <f t="shared" si="20"/>
        <v>0.36596009975062338</v>
      </c>
      <c r="Q23" s="30">
        <f t="shared" si="20"/>
        <v>-4.848887412819658E-2</v>
      </c>
      <c r="R23" s="34">
        <f t="shared" si="20"/>
        <v>-0.23806104129263916</v>
      </c>
      <c r="S23" s="30">
        <f t="shared" ref="S23:V24" si="21">S11/O11-1</f>
        <v>-0.25817610062893082</v>
      </c>
      <c r="T23" s="30">
        <f t="shared" si="21"/>
        <v>-0.12946904001217097</v>
      </c>
      <c r="U23" s="30">
        <f t="shared" si="21"/>
        <v>0.17137870855148352</v>
      </c>
      <c r="V23" s="34">
        <f t="shared" si="21"/>
        <v>0.66093308199811496</v>
      </c>
    </row>
    <row r="24" spans="1:24" x14ac:dyDescent="0.15">
      <c r="A24" s="3" t="s">
        <v>36</v>
      </c>
      <c r="B24" s="30"/>
      <c r="C24" s="30"/>
      <c r="D24" s="30"/>
      <c r="F24" s="34">
        <f t="shared" si="20"/>
        <v>0.19083969465648853</v>
      </c>
      <c r="G24" s="30">
        <f t="shared" si="20"/>
        <v>0.32111692844677142</v>
      </c>
      <c r="H24" s="30">
        <f t="shared" si="20"/>
        <v>0.34315068493150691</v>
      </c>
      <c r="I24" s="30">
        <f t="shared" si="20"/>
        <v>0.44964330675618958</v>
      </c>
      <c r="J24" s="34">
        <f t="shared" si="20"/>
        <v>0.60531135531135538</v>
      </c>
      <c r="K24" s="30">
        <f t="shared" si="20"/>
        <v>0.54180033968673325</v>
      </c>
      <c r="L24" s="30">
        <f t="shared" si="20"/>
        <v>0.53969063403025674</v>
      </c>
      <c r="M24" s="30">
        <f t="shared" si="20"/>
        <v>0.27529309596178897</v>
      </c>
      <c r="N24" s="34">
        <f t="shared" si="20"/>
        <v>0.34483742156303476</v>
      </c>
      <c r="O24" s="30">
        <f t="shared" si="20"/>
        <v>0.20648714810281521</v>
      </c>
      <c r="P24" s="30">
        <f t="shared" si="20"/>
        <v>0.20225215279311115</v>
      </c>
      <c r="Q24" s="30">
        <f t="shared" si="20"/>
        <v>0.28759505163999544</v>
      </c>
      <c r="R24" s="34">
        <f t="shared" si="20"/>
        <v>0.20159066808059389</v>
      </c>
      <c r="S24" s="30">
        <f t="shared" si="21"/>
        <v>0.27594602820330727</v>
      </c>
      <c r="T24" s="30">
        <f t="shared" si="21"/>
        <v>0.24297520661157024</v>
      </c>
      <c r="U24" s="30">
        <f t="shared" si="21"/>
        <v>0.41048920229175856</v>
      </c>
      <c r="V24" s="34">
        <f t="shared" si="21"/>
        <v>0.24949254258229625</v>
      </c>
    </row>
    <row r="26" spans="1:24" x14ac:dyDescent="0.15">
      <c r="A26" s="3" t="s">
        <v>22</v>
      </c>
      <c r="B26" s="30">
        <f t="shared" ref="B26:Q26" si="22">B10/B8</f>
        <v>0.59975891780883073</v>
      </c>
      <c r="C26" s="30">
        <f t="shared" si="22"/>
        <v>0.61624482478979048</v>
      </c>
      <c r="D26" s="30">
        <f t="shared" si="22"/>
        <v>0.5858464315259081</v>
      </c>
      <c r="E26" s="30">
        <f t="shared" si="22"/>
        <v>0.58408068066095065</v>
      </c>
      <c r="F26" s="34">
        <f t="shared" si="22"/>
        <v>0.58099703078606035</v>
      </c>
      <c r="G26" s="30">
        <f t="shared" si="22"/>
        <v>0.57314168838082424</v>
      </c>
      <c r="H26" s="30">
        <f t="shared" si="22"/>
        <v>0.54045756165197578</v>
      </c>
      <c r="I26" s="30">
        <f t="shared" si="22"/>
        <v>0.5386193689585993</v>
      </c>
      <c r="J26" s="34">
        <f t="shared" si="22"/>
        <v>0.51346060703907004</v>
      </c>
      <c r="K26" s="30">
        <f t="shared" si="22"/>
        <v>0.50005299791541535</v>
      </c>
      <c r="L26" s="30">
        <f t="shared" si="22"/>
        <v>0.48583039411133261</v>
      </c>
      <c r="M26" s="30">
        <f t="shared" si="22"/>
        <v>0.47437944330642245</v>
      </c>
      <c r="N26" s="34">
        <f t="shared" si="22"/>
        <v>0.50378087259275373</v>
      </c>
      <c r="O26" s="30">
        <f t="shared" si="22"/>
        <v>0.46753987105531047</v>
      </c>
      <c r="P26" s="30">
        <f t="shared" si="22"/>
        <v>0.44022582046032632</v>
      </c>
      <c r="Q26" s="30">
        <f t="shared" si="22"/>
        <v>0.41405955522050508</v>
      </c>
      <c r="R26" s="34">
        <f t="shared" ref="R26:S26" si="23">R10/R8</f>
        <v>0.46592172234247936</v>
      </c>
      <c r="S26" s="30">
        <f t="shared" si="23"/>
        <v>0.44050393488026479</v>
      </c>
      <c r="T26" s="30">
        <f t="shared" ref="T26:V26" si="24">T10/T8</f>
        <v>0.43686494713891977</v>
      </c>
      <c r="U26" s="30">
        <f t="shared" si="24"/>
        <v>0.43593937617593387</v>
      </c>
      <c r="V26" s="34">
        <f t="shared" si="24"/>
        <v>0.48853930504788784</v>
      </c>
    </row>
    <row r="27" spans="1:24" x14ac:dyDescent="0.15">
      <c r="A27" s="3" t="s">
        <v>23</v>
      </c>
      <c r="B27" s="30">
        <f t="shared" ref="B27:Q27" si="25">B14/B8</f>
        <v>0.37680253582749229</v>
      </c>
      <c r="C27" s="30">
        <f t="shared" si="25"/>
        <v>0.37671262111058945</v>
      </c>
      <c r="D27" s="30">
        <f t="shared" si="25"/>
        <v>0.34436339023839962</v>
      </c>
      <c r="E27" s="30">
        <f t="shared" si="25"/>
        <v>0.328175815511974</v>
      </c>
      <c r="F27" s="34">
        <f t="shared" si="25"/>
        <v>0.38096577590248476</v>
      </c>
      <c r="G27" s="30">
        <f t="shared" si="25"/>
        <v>0.35840968311338994</v>
      </c>
      <c r="H27" s="30">
        <f t="shared" si="25"/>
        <v>0.31365752203624842</v>
      </c>
      <c r="I27" s="30">
        <f t="shared" si="25"/>
        <v>0.27938628488053985</v>
      </c>
      <c r="J27" s="34">
        <f t="shared" si="25"/>
        <v>0.30822166612851148</v>
      </c>
      <c r="K27" s="30">
        <f t="shared" si="25"/>
        <v>0.29106455146097587</v>
      </c>
      <c r="L27" s="30">
        <f t="shared" si="25"/>
        <v>0.27313295506824109</v>
      </c>
      <c r="M27" s="30">
        <f t="shared" si="25"/>
        <v>0.25096397156283889</v>
      </c>
      <c r="N27" s="34">
        <f t="shared" si="25"/>
        <v>0.29977695571754975</v>
      </c>
      <c r="O27" s="30">
        <f t="shared" si="25"/>
        <v>0.24742449949100781</v>
      </c>
      <c r="P27" s="30">
        <f t="shared" si="25"/>
        <v>0.22354984800545941</v>
      </c>
      <c r="Q27" s="30">
        <f t="shared" si="25"/>
        <v>0.21293111571805504</v>
      </c>
      <c r="R27" s="34">
        <f t="shared" ref="R27:S27" si="26">R14/R8</f>
        <v>0.28368337916106007</v>
      </c>
      <c r="S27" s="30">
        <f t="shared" si="26"/>
        <v>0.24578646941601648</v>
      </c>
      <c r="T27" s="30">
        <f t="shared" ref="T27:V27" si="27">T14/T8</f>
        <v>0.23881072853675595</v>
      </c>
      <c r="U27" s="30">
        <f t="shared" si="27"/>
        <v>0.22118430134162831</v>
      </c>
      <c r="V27" s="34">
        <f t="shared" si="27"/>
        <v>0.2922963031508814</v>
      </c>
    </row>
    <row r="28" spans="1:24" x14ac:dyDescent="0.15">
      <c r="A28" s="3" t="s">
        <v>24</v>
      </c>
      <c r="B28" s="30">
        <f t="shared" ref="B28:Q28" si="28">B17/B16</f>
        <v>0.1968941939969869</v>
      </c>
      <c r="C28" s="30">
        <f t="shared" si="28"/>
        <v>0.19982689602942769</v>
      </c>
      <c r="D28" s="30">
        <f t="shared" si="28"/>
        <v>0.17096633143856579</v>
      </c>
      <c r="E28" s="30">
        <f t="shared" si="28"/>
        <v>0.21726837755545889</v>
      </c>
      <c r="F28" s="34">
        <f t="shared" si="28"/>
        <v>0.21577255034692841</v>
      </c>
      <c r="G28" s="30">
        <f t="shared" si="28"/>
        <v>0.20351390922401172</v>
      </c>
      <c r="H28" s="30">
        <f t="shared" si="28"/>
        <v>0.18591825942434087</v>
      </c>
      <c r="I28" s="30">
        <f t="shared" si="28"/>
        <v>0.18584139264990329</v>
      </c>
      <c r="J28" s="34">
        <f t="shared" si="28"/>
        <v>0.20128762449788148</v>
      </c>
      <c r="K28" s="30">
        <f t="shared" si="28"/>
        <v>0.17863570914326854</v>
      </c>
      <c r="L28" s="30">
        <f t="shared" si="28"/>
        <v>0.21671006944444443</v>
      </c>
      <c r="M28" s="30">
        <f t="shared" si="28"/>
        <v>0.12620731460901191</v>
      </c>
      <c r="N28" s="34">
        <f t="shared" si="28"/>
        <v>0.19334432517917829</v>
      </c>
      <c r="O28" s="30">
        <f t="shared" si="28"/>
        <v>0.16238391488594356</v>
      </c>
      <c r="P28" s="30">
        <f t="shared" si="28"/>
        <v>0.1212030188112492</v>
      </c>
      <c r="Q28" s="30">
        <f t="shared" si="28"/>
        <v>0.11963344212904846</v>
      </c>
      <c r="R28" s="34">
        <f t="shared" ref="R28:S28" si="29">R17/R16</f>
        <v>0.14730011019958369</v>
      </c>
      <c r="S28" s="30">
        <f t="shared" si="29"/>
        <v>0.11555412232613135</v>
      </c>
      <c r="T28" s="30">
        <f t="shared" ref="T28:V28" si="30">T17/T16</f>
        <v>0.13728715966110061</v>
      </c>
      <c r="U28" s="30">
        <f t="shared" si="30"/>
        <v>8.7192459912685136E-2</v>
      </c>
      <c r="V28" s="34">
        <f t="shared" si="30"/>
        <v>0.1669358266043349</v>
      </c>
    </row>
    <row r="30" spans="1:24" s="2" customFormat="1" x14ac:dyDescent="0.15">
      <c r="A30" s="2" t="s">
        <v>3</v>
      </c>
      <c r="B30" s="31"/>
      <c r="C30" s="31"/>
      <c r="D30" s="21"/>
      <c r="E30" s="21"/>
      <c r="F30" s="32"/>
      <c r="G30" s="31"/>
      <c r="H30" s="21"/>
      <c r="I30" s="28">
        <f t="shared" ref="I30" si="31">I31-I32</f>
        <v>18890</v>
      </c>
      <c r="J30" s="32"/>
      <c r="K30" s="31"/>
      <c r="L30" s="21"/>
      <c r="M30" s="28">
        <f t="shared" ref="M30:Q30" si="32">M31-M32</f>
        <v>17487</v>
      </c>
      <c r="N30" s="22"/>
      <c r="O30" s="21"/>
      <c r="P30" s="21"/>
      <c r="Q30" s="28">
        <f t="shared" si="32"/>
        <v>-9792</v>
      </c>
      <c r="R30" s="22"/>
      <c r="S30" s="21"/>
      <c r="T30" s="21"/>
      <c r="U30" s="28">
        <f>U31-U32</f>
        <v>-12617</v>
      </c>
      <c r="V30" s="37">
        <f>V31-V32</f>
        <v>-3107</v>
      </c>
      <c r="W30" s="31"/>
      <c r="X30" s="31"/>
    </row>
    <row r="31" spans="1:24" s="5" customFormat="1" x14ac:dyDescent="0.15">
      <c r="A31" s="5" t="s">
        <v>32</v>
      </c>
      <c r="B31" s="25"/>
      <c r="C31" s="25"/>
      <c r="D31" s="21"/>
      <c r="E31" s="21"/>
      <c r="F31" s="26"/>
      <c r="G31" s="25"/>
      <c r="H31" s="21"/>
      <c r="I31" s="25">
        <f>71902+750+50320+5415</f>
        <v>128387</v>
      </c>
      <c r="J31" s="26"/>
      <c r="K31" s="25"/>
      <c r="L31" s="21"/>
      <c r="M31" s="25">
        <f>105697+1606+36724+5365</f>
        <v>149392</v>
      </c>
      <c r="N31" s="22"/>
      <c r="O31" s="21"/>
      <c r="P31" s="21"/>
      <c r="Q31" s="25">
        <f>97814+2590+62918+6175</f>
        <v>169497</v>
      </c>
      <c r="R31" s="22"/>
      <c r="S31" s="21"/>
      <c r="T31" s="21"/>
      <c r="U31" s="25">
        <f>132991+2180+46911+7114+19000</f>
        <v>208196</v>
      </c>
      <c r="V31" s="26">
        <f>135270+2174+57968+6571+21210</f>
        <v>223193</v>
      </c>
      <c r="W31" s="25"/>
      <c r="X31" s="25"/>
    </row>
    <row r="32" spans="1:24" s="5" customFormat="1" x14ac:dyDescent="0.15">
      <c r="A32" s="5" t="s">
        <v>33</v>
      </c>
      <c r="B32" s="25"/>
      <c r="C32" s="25"/>
      <c r="D32" s="21"/>
      <c r="E32" s="21"/>
      <c r="F32" s="26"/>
      <c r="G32" s="25"/>
      <c r="H32" s="21"/>
      <c r="I32" s="25">
        <f>12278+3466+57549+36204</f>
        <v>109497</v>
      </c>
      <c r="J32" s="26"/>
      <c r="K32" s="25"/>
      <c r="L32" s="21"/>
      <c r="M32" s="25">
        <f>15696+4752+82094+29363</f>
        <v>131905</v>
      </c>
      <c r="N32" s="22"/>
      <c r="O32" s="21"/>
      <c r="P32" s="21"/>
      <c r="Q32" s="25">
        <f>87437+51298+26834+13720</f>
        <v>179289</v>
      </c>
      <c r="R32" s="22"/>
      <c r="S32" s="21"/>
      <c r="T32" s="21"/>
      <c r="U32" s="25">
        <f>104257+83327+22695+10534</f>
        <v>220813</v>
      </c>
      <c r="V32" s="26">
        <f>16441+1094+124125+84640</f>
        <v>226300</v>
      </c>
      <c r="W32" s="25"/>
      <c r="X32" s="25"/>
    </row>
    <row r="34" spans="1:24" s="5" customFormat="1" x14ac:dyDescent="0.15">
      <c r="A34" s="5" t="s">
        <v>26</v>
      </c>
      <c r="B34" s="25"/>
      <c r="C34" s="25"/>
      <c r="D34" s="21"/>
      <c r="E34" s="21"/>
      <c r="F34" s="26"/>
      <c r="G34" s="25"/>
      <c r="H34" s="21"/>
      <c r="I34" s="25">
        <v>36467</v>
      </c>
      <c r="J34" s="26"/>
      <c r="K34" s="25"/>
      <c r="L34" s="21"/>
      <c r="M34" s="25">
        <v>40266</v>
      </c>
      <c r="N34" s="22"/>
      <c r="O34" s="21"/>
      <c r="P34" s="21"/>
      <c r="Q34" s="25">
        <v>56650</v>
      </c>
      <c r="R34" s="22"/>
      <c r="S34" s="21"/>
      <c r="T34" s="21"/>
      <c r="U34" s="25">
        <v>128860</v>
      </c>
      <c r="V34" s="26">
        <v>127718</v>
      </c>
      <c r="W34" s="25"/>
      <c r="X34" s="25"/>
    </row>
    <row r="35" spans="1:24" s="5" customFormat="1" x14ac:dyDescent="0.15">
      <c r="A35" s="5" t="s">
        <v>27</v>
      </c>
      <c r="B35" s="25"/>
      <c r="C35" s="25"/>
      <c r="D35" s="21"/>
      <c r="E35" s="21"/>
      <c r="F35" s="26"/>
      <c r="G35" s="25"/>
      <c r="H35" s="21"/>
      <c r="I35" s="25">
        <v>395899</v>
      </c>
      <c r="J35" s="26"/>
      <c r="K35" s="25"/>
      <c r="L35" s="21"/>
      <c r="M35" s="25">
        <v>554672</v>
      </c>
      <c r="N35" s="22"/>
      <c r="O35" s="21"/>
      <c r="P35" s="21"/>
      <c r="Q35" s="25">
        <v>723521</v>
      </c>
      <c r="R35" s="22"/>
      <c r="S35" s="21"/>
      <c r="T35" s="21"/>
      <c r="U35" s="25">
        <v>953986</v>
      </c>
      <c r="V35" s="26">
        <v>1014945</v>
      </c>
      <c r="W35" s="25"/>
      <c r="X35" s="25"/>
    </row>
    <row r="36" spans="1:24" s="5" customFormat="1" x14ac:dyDescent="0.15">
      <c r="A36" s="5" t="s">
        <v>55</v>
      </c>
      <c r="B36" s="25"/>
      <c r="C36" s="25"/>
      <c r="D36" s="21"/>
      <c r="E36" s="21"/>
      <c r="F36" s="26"/>
      <c r="G36" s="25"/>
      <c r="H36" s="21"/>
      <c r="I36" s="25">
        <v>209652</v>
      </c>
      <c r="J36" s="26"/>
      <c r="K36" s="25"/>
      <c r="L36" s="21"/>
      <c r="M36" s="25">
        <v>277579</v>
      </c>
      <c r="N36" s="22"/>
      <c r="O36" s="21"/>
      <c r="P36" s="21"/>
      <c r="Q36" s="25">
        <v>367314</v>
      </c>
      <c r="R36" s="22"/>
      <c r="S36" s="21"/>
      <c r="T36" s="21"/>
      <c r="U36" s="25">
        <v>465162</v>
      </c>
      <c r="V36" s="26">
        <v>501402</v>
      </c>
      <c r="W36" s="25"/>
      <c r="X36" s="25"/>
    </row>
    <row r="38" spans="1:24" x14ac:dyDescent="0.15">
      <c r="A38" s="3" t="s">
        <v>34</v>
      </c>
      <c r="I38" s="29">
        <f t="shared" ref="I38" si="33">I35-I34-I31</f>
        <v>231045</v>
      </c>
      <c r="M38" s="29">
        <f t="shared" ref="M38:Q38" si="34">M35-M34-M31</f>
        <v>365014</v>
      </c>
      <c r="Q38" s="29">
        <f t="shared" si="34"/>
        <v>497374</v>
      </c>
      <c r="U38" s="29">
        <f t="shared" ref="U38:V38" si="35">U35-U34-U31</f>
        <v>616930</v>
      </c>
      <c r="V38" s="38">
        <f t="shared" si="35"/>
        <v>664034</v>
      </c>
    </row>
    <row r="39" spans="1:24" x14ac:dyDescent="0.15">
      <c r="A39" s="3" t="s">
        <v>35</v>
      </c>
      <c r="I39" s="29">
        <f t="shared" ref="I39" si="36">I35-I36</f>
        <v>186247</v>
      </c>
      <c r="M39" s="29">
        <f t="shared" ref="M39:Q39" si="37">M35-M36</f>
        <v>277093</v>
      </c>
      <c r="Q39" s="29">
        <f t="shared" si="37"/>
        <v>356207</v>
      </c>
      <c r="U39" s="29">
        <f t="shared" ref="U39:V39" si="38">U35-U36</f>
        <v>488824</v>
      </c>
      <c r="V39" s="38">
        <f t="shared" si="38"/>
        <v>513543</v>
      </c>
    </row>
    <row r="41" spans="1:24" s="2" customFormat="1" x14ac:dyDescent="0.15">
      <c r="A41" s="2" t="s">
        <v>56</v>
      </c>
      <c r="B41" s="31"/>
      <c r="C41" s="31"/>
      <c r="D41" s="21"/>
      <c r="E41" s="21"/>
      <c r="F41" s="32"/>
      <c r="G41" s="31"/>
      <c r="H41" s="21"/>
      <c r="I41" s="28">
        <f t="shared" ref="I41" si="39">SUM(F18:I18)</f>
        <v>41447</v>
      </c>
      <c r="J41" s="32"/>
      <c r="K41" s="31"/>
      <c r="L41" s="21"/>
      <c r="M41" s="28">
        <f t="shared" ref="M41:V41" si="40">SUM(J18:M18)</f>
        <v>72438</v>
      </c>
      <c r="N41" s="22"/>
      <c r="O41" s="21"/>
      <c r="P41" s="21"/>
      <c r="Q41" s="28">
        <f>SUM(N18:Q18)</f>
        <v>79984</v>
      </c>
      <c r="R41" s="22"/>
      <c r="S41" s="21"/>
      <c r="T41" s="21"/>
      <c r="U41" s="28">
        <f t="shared" si="40"/>
        <v>95888</v>
      </c>
      <c r="V41" s="37">
        <f t="shared" si="40"/>
        <v>97435</v>
      </c>
      <c r="W41" s="31"/>
      <c r="X41" s="31"/>
    </row>
    <row r="42" spans="1:24" x14ac:dyDescent="0.15">
      <c r="A42" s="3" t="s">
        <v>28</v>
      </c>
      <c r="I42" s="36">
        <f t="shared" ref="I42" si="41">I41/I39</f>
        <v>0.22253781268960038</v>
      </c>
      <c r="M42" s="36">
        <f t="shared" ref="M42" si="42">M41/M39</f>
        <v>0.26142125567950109</v>
      </c>
      <c r="Q42" s="36">
        <f>Q41/Q39</f>
        <v>0.22454359403380619</v>
      </c>
      <c r="U42" s="36">
        <f t="shared" ref="U42:V42" si="43">U41/U39</f>
        <v>0.19616058131351979</v>
      </c>
      <c r="V42" s="34">
        <f t="shared" si="43"/>
        <v>0.18973094755453779</v>
      </c>
    </row>
    <row r="43" spans="1:24" x14ac:dyDescent="0.15">
      <c r="A43" s="3" t="s">
        <v>29</v>
      </c>
      <c r="I43" s="36">
        <f t="shared" ref="I43" si="44">I41/I35</f>
        <v>0.10469084286648868</v>
      </c>
      <c r="M43" s="36">
        <f t="shared" ref="M43:Q43" si="45">M41/M35</f>
        <v>0.13059610003749964</v>
      </c>
      <c r="Q43" s="36">
        <f t="shared" si="45"/>
        <v>0.11054827710598587</v>
      </c>
      <c r="U43" s="36">
        <f t="shared" ref="U43:V43" si="46">U41/U35</f>
        <v>0.10051300543194554</v>
      </c>
      <c r="V43" s="34">
        <f t="shared" si="46"/>
        <v>9.6000275877017968E-2</v>
      </c>
    </row>
    <row r="44" spans="1:24" x14ac:dyDescent="0.15">
      <c r="A44" s="3" t="s">
        <v>30</v>
      </c>
      <c r="I44" s="36">
        <f t="shared" ref="I44" si="47">I41/(I39-I34)</f>
        <v>0.27671918814260915</v>
      </c>
      <c r="M44" s="36">
        <f t="shared" ref="M44:Q44" si="48">M41/(M39-M34)</f>
        <v>0.30586884096830175</v>
      </c>
      <c r="Q44" s="36">
        <f t="shared" si="48"/>
        <v>0.26700761457752614</v>
      </c>
      <c r="U44" s="36">
        <f t="shared" ref="U44:V44" si="49">U41/(U39-U34)</f>
        <v>0.26638219377493305</v>
      </c>
      <c r="V44" s="34">
        <f t="shared" si="49"/>
        <v>0.25253677185252382</v>
      </c>
    </row>
    <row r="45" spans="1:24" x14ac:dyDescent="0.15">
      <c r="A45" s="3" t="s">
        <v>31</v>
      </c>
      <c r="I45" s="36">
        <f t="shared" ref="I45" si="50">I41/I38</f>
        <v>0.17938929645740007</v>
      </c>
      <c r="M45" s="36">
        <f t="shared" ref="M45:Q45" si="51">M41/M38</f>
        <v>0.19845266208967327</v>
      </c>
      <c r="Q45" s="36">
        <f t="shared" si="51"/>
        <v>0.16081258771065637</v>
      </c>
      <c r="U45" s="36">
        <f t="shared" ref="U45:V45" si="52">U41/U38</f>
        <v>0.15542768223299239</v>
      </c>
      <c r="V45" s="34">
        <f t="shared" si="52"/>
        <v>0.14673194444862764</v>
      </c>
    </row>
    <row r="47" spans="1:24" x14ac:dyDescent="0.15">
      <c r="A47" s="5" t="s">
        <v>123</v>
      </c>
      <c r="F47" s="34">
        <f>F3/B3-1</f>
        <v>0.34027703210565874</v>
      </c>
      <c r="G47" s="36">
        <f>G3/C3-1</f>
        <v>0.39353158237464725</v>
      </c>
      <c r="H47" s="36">
        <f t="shared" ref="H47:U50" si="53">H3/D3-1</f>
        <v>0.36151262958096075</v>
      </c>
      <c r="I47" s="36">
        <f t="shared" si="53"/>
        <v>0.26543263395179473</v>
      </c>
      <c r="J47" s="34">
        <f t="shared" si="53"/>
        <v>0.40634513699727615</v>
      </c>
      <c r="K47" s="36">
        <f t="shared" si="53"/>
        <v>0.43317757009345792</v>
      </c>
      <c r="L47" s="36">
        <f t="shared" si="53"/>
        <v>0.50577301161751564</v>
      </c>
      <c r="M47" s="36">
        <f t="shared" si="53"/>
        <v>0.36846973382206838</v>
      </c>
      <c r="N47" s="34">
        <f>N3/J3-1</f>
        <v>0.33522274125555418</v>
      </c>
      <c r="O47" s="36">
        <f t="shared" si="53"/>
        <v>0.14305510270622768</v>
      </c>
      <c r="P47" s="36">
        <f t="shared" si="53"/>
        <v>4.5698414205678439E-2</v>
      </c>
      <c r="Q47" s="36">
        <f t="shared" si="53"/>
        <v>9.2722857786567303E-2</v>
      </c>
      <c r="R47" s="34">
        <f>R3/N3-1</f>
        <v>4.4734091345435933E-2</v>
      </c>
      <c r="S47" s="36">
        <f t="shared" si="53"/>
        <v>0.14288430911122196</v>
      </c>
      <c r="T47" s="36">
        <f t="shared" si="53"/>
        <v>0.14937910054711789</v>
      </c>
      <c r="U47" s="36">
        <f t="shared" si="53"/>
        <v>0.19832306247279563</v>
      </c>
      <c r="V47" s="34">
        <f>V3/R3-1</f>
        <v>0.27473761587781276</v>
      </c>
    </row>
    <row r="48" spans="1:24" x14ac:dyDescent="0.15">
      <c r="A48" s="5" t="s">
        <v>124</v>
      </c>
      <c r="F48" s="34"/>
      <c r="G48" s="36"/>
      <c r="H48" s="36"/>
      <c r="I48" s="36"/>
      <c r="J48" s="34"/>
      <c r="K48" s="36"/>
      <c r="L48" s="36"/>
      <c r="M48" s="36"/>
      <c r="N48" s="34"/>
      <c r="O48" s="36"/>
      <c r="P48" s="36"/>
      <c r="Q48" s="36"/>
      <c r="R48" s="34">
        <f>R4/N4-1</f>
        <v>0.43518640495323413</v>
      </c>
      <c r="S48" s="36">
        <f t="shared" si="53"/>
        <v>0.37333493339733592</v>
      </c>
      <c r="T48" s="36">
        <f t="shared" si="53"/>
        <v>0.35875691870207693</v>
      </c>
      <c r="U48" s="36">
        <f t="shared" si="53"/>
        <v>0.38537759874056587</v>
      </c>
      <c r="V48" s="34">
        <f>V4/R4-1</f>
        <v>0.21506264628941207</v>
      </c>
    </row>
    <row r="49" spans="1:24" s="14" customFormat="1" x14ac:dyDescent="0.15">
      <c r="A49" s="5" t="s">
        <v>43</v>
      </c>
      <c r="B49" s="30"/>
      <c r="C49" s="30"/>
      <c r="D49" s="21"/>
      <c r="E49" s="21"/>
      <c r="F49" s="34">
        <f>F5/B5-1</f>
        <v>0.72577092511013208</v>
      </c>
      <c r="G49" s="36">
        <f>G5/C5-1</f>
        <v>0.60373189295359686</v>
      </c>
      <c r="H49" s="36">
        <f t="shared" ref="H49:Q49" si="54">H5/D5-1</f>
        <v>0.50850546780072903</v>
      </c>
      <c r="I49" s="36">
        <f t="shared" si="54"/>
        <v>0.44566544566544564</v>
      </c>
      <c r="J49" s="34">
        <f t="shared" si="54"/>
        <v>0.46522016592214421</v>
      </c>
      <c r="K49" s="36">
        <f t="shared" si="54"/>
        <v>0.55358236374770353</v>
      </c>
      <c r="L49" s="36">
        <f t="shared" si="54"/>
        <v>0.48234662370788017</v>
      </c>
      <c r="M49" s="36">
        <f t="shared" si="54"/>
        <v>0.49143339768339778</v>
      </c>
      <c r="N49" s="34">
        <f>N3/J3-1</f>
        <v>0.33522274125555418</v>
      </c>
      <c r="O49" s="36">
        <f t="shared" si="54"/>
        <v>0.39042175798186829</v>
      </c>
      <c r="P49" s="36">
        <f t="shared" si="54"/>
        <v>0.47138199601521458</v>
      </c>
      <c r="Q49" s="36">
        <f t="shared" si="54"/>
        <v>0.37796294798155494</v>
      </c>
      <c r="R49" s="34">
        <f>R5/N5-1</f>
        <v>0.2514734774066798</v>
      </c>
      <c r="S49" s="36">
        <f t="shared" si="53"/>
        <v>0.16293408929836994</v>
      </c>
      <c r="T49" s="36">
        <f t="shared" si="53"/>
        <v>0.13042407829137681</v>
      </c>
      <c r="U49" s="36">
        <f t="shared" si="53"/>
        <v>0.18740092761110794</v>
      </c>
      <c r="V49" s="34">
        <f>V5/R5-1</f>
        <v>0.32413844658742619</v>
      </c>
      <c r="W49" s="30"/>
      <c r="X49" s="30"/>
    </row>
    <row r="50" spans="1:24" s="14" customFormat="1" x14ac:dyDescent="0.15">
      <c r="A50" s="5" t="s">
        <v>44</v>
      </c>
      <c r="B50" s="30"/>
      <c r="C50" s="30"/>
      <c r="D50" s="21"/>
      <c r="E50" s="21"/>
      <c r="F50" s="34">
        <f>F6/B6-1</f>
        <v>1.221163012392755</v>
      </c>
      <c r="G50" s="36">
        <f>G6/C6-1</f>
        <v>2.7489224137931036</v>
      </c>
      <c r="H50" s="36">
        <f t="shared" ref="H50:Q50" si="55">H6/D6-1</f>
        <v>3.4761045987376011</v>
      </c>
      <c r="I50" s="36">
        <f t="shared" si="55"/>
        <v>2.8932926829268291</v>
      </c>
      <c r="J50" s="34">
        <f t="shared" si="55"/>
        <v>2.2429184549356225</v>
      </c>
      <c r="K50" s="36">
        <f t="shared" si="55"/>
        <v>1.7749353262431735</v>
      </c>
      <c r="L50" s="36">
        <f t="shared" si="55"/>
        <v>1.4262691377921031</v>
      </c>
      <c r="M50" s="36">
        <f t="shared" si="55"/>
        <v>1.2057948316366485</v>
      </c>
      <c r="N50" s="34">
        <f t="shared" ref="N50" si="56">N5/J5-1</f>
        <v>0.55182926829268286</v>
      </c>
      <c r="O50" s="36">
        <f>O6/K6-1</f>
        <v>-0.91402527449761761</v>
      </c>
      <c r="P50" s="36">
        <f t="shared" si="55"/>
        <v>-0.94968449020259049</v>
      </c>
      <c r="Q50" s="36">
        <f t="shared" si="55"/>
        <v>-0.81432831581936949</v>
      </c>
      <c r="R50" s="34">
        <f>R6/N6-1</f>
        <v>0.69871794871794868</v>
      </c>
      <c r="S50" s="36">
        <f t="shared" si="53"/>
        <v>0.73975903614457827</v>
      </c>
      <c r="T50" s="36">
        <f t="shared" si="53"/>
        <v>1.447194719471947</v>
      </c>
      <c r="U50" s="36">
        <f t="shared" si="53"/>
        <v>0.26730401529636705</v>
      </c>
      <c r="V50" s="34">
        <f>V6/R6-1</f>
        <v>9.2830188679245307E-2</v>
      </c>
      <c r="W50" s="30"/>
      <c r="X50" s="30"/>
    </row>
    <row r="52" spans="1:24" s="5" customFormat="1" x14ac:dyDescent="0.15">
      <c r="A52" s="5" t="s">
        <v>101</v>
      </c>
      <c r="B52" s="25"/>
      <c r="C52" s="25"/>
      <c r="D52" s="25"/>
      <c r="E52" s="25"/>
      <c r="F52" s="26">
        <v>762</v>
      </c>
      <c r="G52" s="25">
        <v>806</v>
      </c>
      <c r="H52" s="25">
        <v>846</v>
      </c>
      <c r="I52" s="25">
        <v>889</v>
      </c>
      <c r="J52" s="26">
        <v>938</v>
      </c>
      <c r="K52" s="25">
        <v>963</v>
      </c>
      <c r="L52" s="25">
        <v>980</v>
      </c>
      <c r="M52" s="25">
        <v>989</v>
      </c>
      <c r="N52" s="26">
        <v>1040</v>
      </c>
      <c r="O52" s="5">
        <v>1057.7</v>
      </c>
      <c r="P52" s="25">
        <v>1082.5</v>
      </c>
      <c r="Q52" s="25">
        <v>1097.5999999999999</v>
      </c>
      <c r="R52" s="26">
        <v>1111.7</v>
      </c>
      <c r="S52" s="25">
        <v>1132.7</v>
      </c>
      <c r="T52" s="25">
        <v>1151</v>
      </c>
      <c r="U52" s="25">
        <v>1164.8</v>
      </c>
      <c r="V52" s="26">
        <v>1202.5</v>
      </c>
      <c r="W52" s="25"/>
      <c r="X52" s="25"/>
    </row>
    <row r="53" spans="1:24" s="5" customFormat="1" x14ac:dyDescent="0.15">
      <c r="A53" s="5" t="s">
        <v>102</v>
      </c>
      <c r="B53" s="25"/>
      <c r="C53" s="25"/>
      <c r="D53" s="25"/>
      <c r="E53" s="25"/>
      <c r="F53" s="26">
        <v>877</v>
      </c>
      <c r="G53" s="25">
        <v>899</v>
      </c>
      <c r="H53" s="25">
        <v>877</v>
      </c>
      <c r="I53" s="25">
        <v>868</v>
      </c>
      <c r="J53" s="26">
        <v>861</v>
      </c>
      <c r="K53" s="25">
        <v>850</v>
      </c>
      <c r="L53" s="25">
        <v>843</v>
      </c>
      <c r="M53" s="25">
        <v>783</v>
      </c>
      <c r="N53" s="26">
        <v>805.5</v>
      </c>
      <c r="O53" s="25">
        <v>803.2</v>
      </c>
      <c r="P53" s="25">
        <v>802.6</v>
      </c>
      <c r="Q53" s="25">
        <v>699.8</v>
      </c>
      <c r="R53" s="26">
        <v>823</v>
      </c>
      <c r="S53" s="25">
        <v>807.9</v>
      </c>
      <c r="T53" s="25">
        <v>731</v>
      </c>
      <c r="U53" s="25">
        <v>647</v>
      </c>
      <c r="V53" s="26"/>
      <c r="W53" s="25"/>
      <c r="X53" s="25"/>
    </row>
    <row r="54" spans="1:24" s="5" customFormat="1" x14ac:dyDescent="0.15">
      <c r="A54" s="5" t="s">
        <v>103</v>
      </c>
      <c r="B54" s="25"/>
      <c r="C54" s="25"/>
      <c r="D54" s="25"/>
      <c r="E54" s="25"/>
      <c r="F54" s="26">
        <v>108</v>
      </c>
      <c r="G54" s="25">
        <v>105</v>
      </c>
      <c r="H54" s="25">
        <v>105</v>
      </c>
      <c r="I54" s="25">
        <v>110</v>
      </c>
      <c r="J54" s="26">
        <v>119</v>
      </c>
      <c r="K54" s="25">
        <v>118</v>
      </c>
      <c r="L54" s="25">
        <v>125</v>
      </c>
      <c r="M54" s="25">
        <v>135</v>
      </c>
      <c r="N54" s="26">
        <v>147.1</v>
      </c>
      <c r="O54" s="25">
        <v>153.9</v>
      </c>
      <c r="P54" s="25">
        <v>154.1</v>
      </c>
      <c r="Q54" s="25">
        <v>160.30000000000001</v>
      </c>
      <c r="R54" s="26">
        <v>165.5</v>
      </c>
      <c r="S54" s="25">
        <v>168.9</v>
      </c>
      <c r="T54" s="25">
        <v>170.6</v>
      </c>
      <c r="U54" s="25">
        <v>180.1</v>
      </c>
      <c r="V54" s="26">
        <v>197.4</v>
      </c>
      <c r="W54" s="25"/>
      <c r="X54" s="25"/>
    </row>
    <row r="55" spans="1:24" s="20" customFormat="1" x14ac:dyDescent="0.15">
      <c r="B55" s="23"/>
      <c r="C55" s="23"/>
      <c r="D55" s="23"/>
      <c r="E55" s="23"/>
      <c r="F55" s="24"/>
      <c r="G55" s="23"/>
      <c r="H55" s="23"/>
      <c r="I55" s="23"/>
      <c r="J55" s="24"/>
      <c r="K55" s="23"/>
      <c r="L55" s="23"/>
      <c r="M55" s="23"/>
      <c r="N55" s="24"/>
      <c r="O55" s="23"/>
      <c r="P55" s="23"/>
      <c r="Q55" s="23"/>
      <c r="R55" s="24"/>
      <c r="S55" s="23"/>
      <c r="T55" s="23"/>
      <c r="U55" s="23"/>
      <c r="V55" s="24"/>
      <c r="W55" s="23"/>
      <c r="X55" s="23"/>
    </row>
    <row r="56" spans="1:24" s="20" customFormat="1" x14ac:dyDescent="0.15">
      <c r="B56" s="23"/>
      <c r="C56" s="23"/>
      <c r="D56" s="23"/>
      <c r="E56" s="23"/>
      <c r="F56" s="24"/>
      <c r="G56" s="23"/>
      <c r="H56" s="23"/>
      <c r="I56" s="23"/>
      <c r="J56" s="24"/>
      <c r="K56" s="23"/>
      <c r="L56" s="23"/>
      <c r="M56" s="23"/>
      <c r="N56" s="24"/>
      <c r="O56" s="23"/>
      <c r="P56" s="23"/>
      <c r="Q56" s="23"/>
      <c r="R56" s="24"/>
      <c r="S56" s="23"/>
      <c r="T56" s="23"/>
      <c r="U56" s="23"/>
      <c r="V56" s="24"/>
      <c r="W56" s="23"/>
      <c r="X56" s="23"/>
    </row>
    <row r="57" spans="1:24" s="20" customFormat="1" x14ac:dyDescent="0.15">
      <c r="B57" s="23"/>
      <c r="C57" s="23"/>
      <c r="D57" s="23"/>
      <c r="E57" s="23"/>
      <c r="F57" s="24"/>
      <c r="G57" s="23"/>
      <c r="H57" s="23"/>
      <c r="I57" s="23"/>
      <c r="J57" s="24"/>
      <c r="K57" s="23"/>
      <c r="L57" s="23"/>
      <c r="M57" s="23"/>
      <c r="N57" s="24"/>
      <c r="O57" s="23"/>
      <c r="P57" s="23"/>
      <c r="Q57" s="23"/>
      <c r="R57" s="24"/>
      <c r="S57" s="23"/>
      <c r="T57" s="23"/>
      <c r="U57" s="23"/>
      <c r="V57" s="24"/>
      <c r="W57" s="23"/>
      <c r="X57" s="23"/>
    </row>
    <row r="58" spans="1:24" s="20" customFormat="1" x14ac:dyDescent="0.15">
      <c r="B58" s="23"/>
      <c r="C58" s="23"/>
      <c r="D58" s="23"/>
      <c r="E58" s="23"/>
      <c r="F58" s="24"/>
      <c r="G58" s="23"/>
      <c r="H58" s="23"/>
      <c r="I58" s="23"/>
      <c r="J58" s="24"/>
      <c r="K58" s="23"/>
      <c r="L58" s="23"/>
      <c r="M58" s="23"/>
      <c r="N58" s="24"/>
      <c r="O58" s="23"/>
      <c r="P58" s="23"/>
      <c r="Q58" s="23"/>
      <c r="R58" s="24"/>
      <c r="S58" s="23"/>
      <c r="T58" s="23"/>
      <c r="U58" s="23"/>
      <c r="V58" s="24"/>
      <c r="W58" s="23"/>
      <c r="X58" s="23"/>
    </row>
    <row r="59" spans="1:24" x14ac:dyDescent="0.15">
      <c r="A59" s="20"/>
    </row>
  </sheetData>
  <hyperlinks>
    <hyperlink ref="A1" r:id="rId1" display="EDGAR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23"/>
  <sheetViews>
    <sheetView workbookViewId="0">
      <selection activeCell="B29" sqref="B29"/>
    </sheetView>
  </sheetViews>
  <sheetFormatPr baseColWidth="10" defaultRowHeight="13" x14ac:dyDescent="0.15"/>
  <cols>
    <col min="1" max="1" width="10.83203125" style="3"/>
    <col min="2" max="2" width="16.6640625" style="3" bestFit="1" customWidth="1"/>
    <col min="3" max="3" width="38.5" style="3" bestFit="1" customWidth="1"/>
    <col min="4" max="16384" width="10.83203125" style="3"/>
  </cols>
  <sheetData>
    <row r="4" spans="2:3" x14ac:dyDescent="0.15">
      <c r="B4" s="2" t="s">
        <v>95</v>
      </c>
    </row>
    <row r="6" spans="2:3" x14ac:dyDescent="0.15">
      <c r="B6" s="3" t="s">
        <v>108</v>
      </c>
      <c r="C6" s="3" t="s">
        <v>120</v>
      </c>
    </row>
    <row r="7" spans="2:3" x14ac:dyDescent="0.15">
      <c r="B7" s="3" t="s">
        <v>104</v>
      </c>
      <c r="C7" s="3" t="s">
        <v>121</v>
      </c>
    </row>
    <row r="8" spans="2:3" x14ac:dyDescent="0.15">
      <c r="B8" s="3" t="s">
        <v>106</v>
      </c>
      <c r="C8" s="3" t="s">
        <v>107</v>
      </c>
    </row>
    <row r="9" spans="2:3" x14ac:dyDescent="0.15">
      <c r="B9" s="3" t="s">
        <v>112</v>
      </c>
      <c r="C9" s="3" t="s">
        <v>113</v>
      </c>
    </row>
    <row r="10" spans="2:3" x14ac:dyDescent="0.15">
      <c r="B10" s="3" t="s">
        <v>119</v>
      </c>
      <c r="C10" s="3" t="s">
        <v>129</v>
      </c>
    </row>
    <row r="11" spans="2:3" x14ac:dyDescent="0.15">
      <c r="B11" s="3" t="s">
        <v>130</v>
      </c>
      <c r="C11" s="3" t="s">
        <v>131</v>
      </c>
    </row>
    <row r="13" spans="2:3" s="2" customFormat="1" x14ac:dyDescent="0.15">
      <c r="B13" s="2" t="s">
        <v>110</v>
      </c>
    </row>
    <row r="15" spans="2:3" x14ac:dyDescent="0.15">
      <c r="B15" s="3" t="s">
        <v>109</v>
      </c>
      <c r="C15" s="3" t="s">
        <v>132</v>
      </c>
    </row>
    <row r="16" spans="2:3" x14ac:dyDescent="0.15">
      <c r="B16" s="3" t="s">
        <v>111</v>
      </c>
      <c r="C16" s="3" t="s">
        <v>133</v>
      </c>
    </row>
    <row r="17" spans="2:3" x14ac:dyDescent="0.15">
      <c r="B17" s="3" t="s">
        <v>134</v>
      </c>
      <c r="C17" s="3" t="s">
        <v>135</v>
      </c>
    </row>
    <row r="18" spans="2:3" x14ac:dyDescent="0.15">
      <c r="B18" s="3" t="s">
        <v>136</v>
      </c>
      <c r="C18" s="3" t="s">
        <v>137</v>
      </c>
    </row>
    <row r="20" spans="2:3" s="2" customFormat="1" x14ac:dyDescent="0.15">
      <c r="B20" s="2" t="s">
        <v>116</v>
      </c>
    </row>
    <row r="22" spans="2:3" x14ac:dyDescent="0.15">
      <c r="B22" s="3" t="s">
        <v>114</v>
      </c>
      <c r="C22" s="3" t="s">
        <v>115</v>
      </c>
    </row>
    <row r="23" spans="2:3" x14ac:dyDescent="0.15">
      <c r="B23" s="3" t="s">
        <v>117</v>
      </c>
      <c r="C23" s="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RMB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2019-01-08T19:28:27Z</dcterms:created>
  <dcterms:modified xsi:type="dcterms:W3CDTF">2020-05-15T08:22:33Z</dcterms:modified>
</cp:coreProperties>
</file>