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E283D066-40C7-1F40-9D82-91DEA5FB3067}" xr6:coauthVersionLast="45" xr6:coauthVersionMax="45" xr10:uidLastSave="{00000000-0000-0000-0000-000000000000}"/>
  <bookViews>
    <workbookView xWindow="0" yWindow="460" windowWidth="20520" windowHeight="2032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9" i="2" l="1"/>
  <c r="F19" i="2"/>
  <c r="F4" i="2"/>
  <c r="C5" i="2"/>
  <c r="C3" i="2"/>
  <c r="F16" i="2"/>
  <c r="U30" i="2"/>
  <c r="S39" i="1"/>
  <c r="S36" i="1"/>
  <c r="S19" i="1"/>
  <c r="S8" i="1"/>
  <c r="E64" i="2" l="1"/>
  <c r="E16" i="2" s="1"/>
  <c r="E45" i="2"/>
  <c r="E49" i="2"/>
  <c r="E48" i="2"/>
  <c r="E52" i="2" s="1"/>
  <c r="E32" i="2"/>
  <c r="E29" i="2"/>
  <c r="E24" i="2"/>
  <c r="E23" i="2"/>
  <c r="F23" i="2" s="1"/>
  <c r="G23" i="2" s="1"/>
  <c r="H23" i="2" s="1"/>
  <c r="I23" i="2" s="1"/>
  <c r="J23" i="2" s="1"/>
  <c r="E22" i="2"/>
  <c r="E25" i="2" s="1"/>
  <c r="E20" i="2"/>
  <c r="E14" i="2"/>
  <c r="F14" i="2" s="1"/>
  <c r="G14" i="2" s="1"/>
  <c r="H14" i="2" s="1"/>
  <c r="I14" i="2" s="1"/>
  <c r="J14" i="2" s="1"/>
  <c r="E13" i="2"/>
  <c r="E12" i="2"/>
  <c r="E11" i="2"/>
  <c r="E19" i="2" s="1"/>
  <c r="E21" i="2" s="1"/>
  <c r="S55" i="1"/>
  <c r="S54" i="1"/>
  <c r="S53" i="1"/>
  <c r="S52" i="1"/>
  <c r="S44" i="1"/>
  <c r="S35" i="1"/>
  <c r="S33" i="1"/>
  <c r="S32" i="1"/>
  <c r="S31" i="1"/>
  <c r="S17" i="1"/>
  <c r="R39" i="1"/>
  <c r="R36" i="1"/>
  <c r="R35" i="1" s="1"/>
  <c r="R19" i="1"/>
  <c r="R55" i="1"/>
  <c r="R54" i="1"/>
  <c r="R53" i="1"/>
  <c r="R52" i="1"/>
  <c r="R44" i="1"/>
  <c r="R33" i="1"/>
  <c r="R32" i="1"/>
  <c r="R31" i="1"/>
  <c r="R17" i="1"/>
  <c r="R8" i="1"/>
  <c r="Q39" i="1"/>
  <c r="Q43" i="1" s="1"/>
  <c r="Q36" i="1"/>
  <c r="Q35" i="1" s="1"/>
  <c r="Q55" i="1"/>
  <c r="Q54" i="1"/>
  <c r="Q53" i="1"/>
  <c r="Q52" i="1"/>
  <c r="Q44" i="1"/>
  <c r="Q19" i="1"/>
  <c r="Q17" i="1"/>
  <c r="Q8" i="1"/>
  <c r="Q9" i="1" s="1"/>
  <c r="E26" i="2" l="1"/>
  <c r="E17" i="2"/>
  <c r="E47" i="2"/>
  <c r="S58" i="1"/>
  <c r="Q11" i="1"/>
  <c r="R58" i="1"/>
  <c r="E44" i="2"/>
  <c r="E43" i="2" s="1"/>
  <c r="S9" i="1"/>
  <c r="S11" i="1" s="1"/>
  <c r="S30" i="1" s="1"/>
  <c r="S43" i="1"/>
  <c r="R43" i="1"/>
  <c r="R9" i="1"/>
  <c r="F11" i="2"/>
  <c r="P8" i="1"/>
  <c r="P58" i="1" s="1"/>
  <c r="M8" i="1"/>
  <c r="Q58" i="1" s="1"/>
  <c r="P36" i="1"/>
  <c r="P43" i="1" s="1"/>
  <c r="C4" i="2"/>
  <c r="D64" i="2"/>
  <c r="D16" i="2" s="1"/>
  <c r="D11" i="2"/>
  <c r="D12" i="2"/>
  <c r="E60" i="2" s="1"/>
  <c r="D13" i="2"/>
  <c r="D61" i="2" s="1"/>
  <c r="D14" i="2"/>
  <c r="F17" i="2"/>
  <c r="F67" i="2" s="1"/>
  <c r="P9" i="1"/>
  <c r="P11" i="1" s="1"/>
  <c r="P19" i="1"/>
  <c r="P17" i="1"/>
  <c r="F22" i="2"/>
  <c r="N19" i="1"/>
  <c r="E27" i="2" s="1"/>
  <c r="O19" i="1"/>
  <c r="L8" i="1"/>
  <c r="C11" i="2"/>
  <c r="C12" i="2"/>
  <c r="C60" i="2" s="1"/>
  <c r="C13" i="2"/>
  <c r="C14" i="2"/>
  <c r="C64" i="2"/>
  <c r="C16" i="2"/>
  <c r="F65" i="2"/>
  <c r="E65" i="2"/>
  <c r="O8" i="1"/>
  <c r="O58" i="1" s="1"/>
  <c r="K8" i="1"/>
  <c r="N8" i="1"/>
  <c r="J8" i="1"/>
  <c r="J9" i="1" s="1"/>
  <c r="J11" i="1" s="1"/>
  <c r="N58" i="1"/>
  <c r="I8" i="1"/>
  <c r="I9" i="1" s="1"/>
  <c r="I11" i="1" s="1"/>
  <c r="M58" i="1"/>
  <c r="H8" i="1"/>
  <c r="H9" i="1" s="1"/>
  <c r="L60" i="1" s="1"/>
  <c r="L58" i="1"/>
  <c r="M9" i="1"/>
  <c r="M60" i="1" s="1"/>
  <c r="Q60" i="1"/>
  <c r="L9" i="1"/>
  <c r="O9" i="1"/>
  <c r="O11" i="1" s="1"/>
  <c r="N9" i="1"/>
  <c r="M11" i="1"/>
  <c r="M13" i="1" s="1"/>
  <c r="L11" i="1"/>
  <c r="M17" i="1"/>
  <c r="M19" i="1"/>
  <c r="N17" i="1"/>
  <c r="O17" i="1"/>
  <c r="P39" i="1"/>
  <c r="P44" i="1"/>
  <c r="D20" i="2"/>
  <c r="D22" i="2"/>
  <c r="D23" i="2"/>
  <c r="E40" i="2" s="1"/>
  <c r="D24" i="2"/>
  <c r="D41" i="2" s="1"/>
  <c r="J19" i="1"/>
  <c r="K19" i="1"/>
  <c r="D27" i="2" s="1"/>
  <c r="L19" i="1"/>
  <c r="D29" i="2"/>
  <c r="F12" i="2"/>
  <c r="G12" i="2" s="1"/>
  <c r="F13" i="2"/>
  <c r="G13" i="2" s="1"/>
  <c r="F24" i="2"/>
  <c r="E62" i="2"/>
  <c r="O36" i="1"/>
  <c r="O35" i="1" s="1"/>
  <c r="B12" i="2"/>
  <c r="B14" i="2"/>
  <c r="C62" i="2" s="1"/>
  <c r="B13" i="2"/>
  <c r="C61" i="2" s="1"/>
  <c r="B11" i="2"/>
  <c r="B19" i="2" s="1"/>
  <c r="B21" i="2" s="1"/>
  <c r="D62" i="2"/>
  <c r="D48" i="2"/>
  <c r="D49" i="2"/>
  <c r="D52" i="2"/>
  <c r="M39" i="1"/>
  <c r="M43" i="1" s="1"/>
  <c r="M36" i="1"/>
  <c r="D44" i="2" s="1"/>
  <c r="C48" i="2"/>
  <c r="C49" i="2"/>
  <c r="C52" i="2"/>
  <c r="I39" i="1"/>
  <c r="C47" i="2"/>
  <c r="I36" i="1"/>
  <c r="C44" i="2"/>
  <c r="C43" i="2" s="1"/>
  <c r="D45" i="2"/>
  <c r="C45" i="2"/>
  <c r="B32" i="2"/>
  <c r="C32" i="2"/>
  <c r="D32" i="2"/>
  <c r="D10" i="2"/>
  <c r="Q33" i="1"/>
  <c r="Q32" i="1"/>
  <c r="Q31" i="1"/>
  <c r="P33" i="1"/>
  <c r="P32" i="1"/>
  <c r="P31" i="1"/>
  <c r="P52" i="1"/>
  <c r="P55" i="1"/>
  <c r="P54" i="1"/>
  <c r="P53" i="1"/>
  <c r="I55" i="1"/>
  <c r="L39" i="1"/>
  <c r="L43" i="1" s="1"/>
  <c r="L36" i="1"/>
  <c r="L55" i="1"/>
  <c r="L54" i="1"/>
  <c r="L53" i="1"/>
  <c r="L52" i="1"/>
  <c r="I17" i="1"/>
  <c r="I19" i="1"/>
  <c r="J17" i="1"/>
  <c r="K17" i="1"/>
  <c r="L13" i="1"/>
  <c r="L26" i="1" s="1"/>
  <c r="L17" i="1"/>
  <c r="L44" i="1"/>
  <c r="L35" i="1"/>
  <c r="L33" i="1"/>
  <c r="L32" i="1"/>
  <c r="L31" i="1"/>
  <c r="I54" i="1"/>
  <c r="I53" i="1"/>
  <c r="I52" i="1"/>
  <c r="F11" i="1"/>
  <c r="F13" i="1" s="1"/>
  <c r="F17" i="1"/>
  <c r="F19" i="1"/>
  <c r="G11" i="1"/>
  <c r="G13" i="1"/>
  <c r="G17" i="1"/>
  <c r="G18" i="1"/>
  <c r="G27" i="1" s="1"/>
  <c r="G19" i="1"/>
  <c r="G20" i="1"/>
  <c r="G28" i="1" s="1"/>
  <c r="H17" i="1"/>
  <c r="H19" i="1"/>
  <c r="I43" i="1"/>
  <c r="I44" i="1"/>
  <c r="I35" i="1"/>
  <c r="M44" i="1"/>
  <c r="N39" i="1"/>
  <c r="N43" i="1" s="1"/>
  <c r="N36" i="1"/>
  <c r="N35" i="1" s="1"/>
  <c r="N55" i="1"/>
  <c r="N54" i="1"/>
  <c r="N53" i="1"/>
  <c r="N52" i="1"/>
  <c r="N44" i="1"/>
  <c r="N33" i="1"/>
  <c r="N32" i="1"/>
  <c r="N31" i="1"/>
  <c r="M55" i="1"/>
  <c r="M54" i="1"/>
  <c r="M53" i="1"/>
  <c r="M52" i="1"/>
  <c r="M35" i="1"/>
  <c r="O55" i="1"/>
  <c r="O54" i="1"/>
  <c r="O53" i="1"/>
  <c r="O52" i="1"/>
  <c r="O39" i="1"/>
  <c r="O43" i="1" s="1"/>
  <c r="O44" i="1"/>
  <c r="K36" i="1"/>
  <c r="K35" i="1"/>
  <c r="O33" i="1"/>
  <c r="O32" i="1"/>
  <c r="O31" i="1"/>
  <c r="F32" i="2"/>
  <c r="G32" i="2" s="1"/>
  <c r="H32" i="2" s="1"/>
  <c r="I32" i="2" s="1"/>
  <c r="J32" i="2" s="1"/>
  <c r="K32" i="2" s="1"/>
  <c r="L32" i="2" s="1"/>
  <c r="M32" i="2" s="1"/>
  <c r="N32" i="2" s="1"/>
  <c r="O32" i="2" s="1"/>
  <c r="P32" i="2" s="1"/>
  <c r="Q32" i="2" s="1"/>
  <c r="R32" i="2" s="1"/>
  <c r="S32" i="2" s="1"/>
  <c r="T32" i="2" s="1"/>
  <c r="E36" i="1"/>
  <c r="E35" i="1"/>
  <c r="B11" i="1"/>
  <c r="B20" i="2"/>
  <c r="E11" i="1"/>
  <c r="D11" i="1"/>
  <c r="D13" i="1" s="1"/>
  <c r="C11" i="1"/>
  <c r="C13" i="1" s="1"/>
  <c r="F30" i="1"/>
  <c r="F36" i="1"/>
  <c r="F35" i="1" s="1"/>
  <c r="B19" i="1"/>
  <c r="G36" i="1"/>
  <c r="C19" i="1"/>
  <c r="H36" i="1"/>
  <c r="D19" i="1"/>
  <c r="E19" i="1"/>
  <c r="J36" i="1"/>
  <c r="J35" i="1" s="1"/>
  <c r="E13" i="1"/>
  <c r="E17" i="1"/>
  <c r="E18" i="1" s="1"/>
  <c r="B13" i="1"/>
  <c r="B18" i="1" s="1"/>
  <c r="B17" i="1"/>
  <c r="C17" i="1"/>
  <c r="D17" i="1"/>
  <c r="C22" i="2"/>
  <c r="C23" i="2"/>
  <c r="C24" i="2"/>
  <c r="B23" i="2"/>
  <c r="B24" i="2"/>
  <c r="C41" i="2"/>
  <c r="B22" i="2"/>
  <c r="B25" i="2" s="1"/>
  <c r="J33" i="1"/>
  <c r="I31" i="1"/>
  <c r="J31" i="1"/>
  <c r="G33" i="1"/>
  <c r="H33" i="1"/>
  <c r="I33" i="1"/>
  <c r="K33" i="1"/>
  <c r="M33" i="1"/>
  <c r="G32" i="1"/>
  <c r="H32" i="1"/>
  <c r="I32" i="1"/>
  <c r="J32" i="1"/>
  <c r="K32" i="1"/>
  <c r="M32" i="1"/>
  <c r="F33" i="1"/>
  <c r="F32" i="1"/>
  <c r="K31" i="1"/>
  <c r="M31" i="1"/>
  <c r="G31" i="1"/>
  <c r="H31" i="1"/>
  <c r="F31" i="1"/>
  <c r="C20" i="2"/>
  <c r="C27" i="2"/>
  <c r="B26" i="1"/>
  <c r="C29" i="2"/>
  <c r="B29" i="2"/>
  <c r="B27" i="2"/>
  <c r="E26" i="1"/>
  <c r="E10" i="2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G35" i="1"/>
  <c r="H35" i="1"/>
  <c r="G26" i="1"/>
  <c r="D25" i="2" l="1"/>
  <c r="C40" i="2"/>
  <c r="C19" i="2"/>
  <c r="C38" i="2" s="1"/>
  <c r="D43" i="2"/>
  <c r="D59" i="2"/>
  <c r="D60" i="2"/>
  <c r="D17" i="2"/>
  <c r="E67" i="2" s="1"/>
  <c r="E61" i="2"/>
  <c r="D40" i="2"/>
  <c r="C51" i="2"/>
  <c r="C39" i="2"/>
  <c r="E41" i="2"/>
  <c r="C17" i="2"/>
  <c r="E20" i="1"/>
  <c r="E27" i="1"/>
  <c r="C21" i="2"/>
  <c r="L30" i="1"/>
  <c r="D18" i="1"/>
  <c r="D26" i="1"/>
  <c r="B34" i="2"/>
  <c r="B26" i="2"/>
  <c r="B35" i="2" s="1"/>
  <c r="I30" i="1"/>
  <c r="M30" i="1"/>
  <c r="I13" i="1"/>
  <c r="J13" i="1"/>
  <c r="J30" i="1"/>
  <c r="P30" i="1"/>
  <c r="P13" i="1"/>
  <c r="C26" i="1"/>
  <c r="C18" i="1"/>
  <c r="N60" i="1"/>
  <c r="O13" i="1"/>
  <c r="F26" i="1"/>
  <c r="F18" i="1"/>
  <c r="M18" i="1"/>
  <c r="M26" i="1"/>
  <c r="B27" i="1"/>
  <c r="B20" i="1"/>
  <c r="C6" i="2"/>
  <c r="C7" i="2" s="1"/>
  <c r="C25" i="2"/>
  <c r="D39" i="2"/>
  <c r="H11" i="1"/>
  <c r="K9" i="1"/>
  <c r="O60" i="1" s="1"/>
  <c r="D65" i="2"/>
  <c r="C59" i="2"/>
  <c r="P60" i="1"/>
  <c r="G30" i="1"/>
  <c r="P35" i="1"/>
  <c r="S60" i="1"/>
  <c r="D19" i="2"/>
  <c r="N11" i="1"/>
  <c r="Q30" i="1"/>
  <c r="Q13" i="1"/>
  <c r="Q18" i="1" s="1"/>
  <c r="Q20" i="1" s="1"/>
  <c r="Q22" i="1" s="1"/>
  <c r="Q23" i="1" s="1"/>
  <c r="G22" i="1"/>
  <c r="G23" i="1" s="1"/>
  <c r="D47" i="2"/>
  <c r="D51" i="2" s="1"/>
  <c r="E51" i="2"/>
  <c r="G17" i="2"/>
  <c r="G67" i="2" s="1"/>
  <c r="G16" i="2"/>
  <c r="H16" i="2" s="1"/>
  <c r="I16" i="2" s="1"/>
  <c r="J16" i="2" s="1"/>
  <c r="F38" i="2"/>
  <c r="E59" i="2"/>
  <c r="L18" i="1"/>
  <c r="R60" i="1"/>
  <c r="E28" i="2"/>
  <c r="S13" i="1"/>
  <c r="S26" i="1" s="1"/>
  <c r="R11" i="1"/>
  <c r="R13" i="1"/>
  <c r="F41" i="2"/>
  <c r="G24" i="2"/>
  <c r="F40" i="2"/>
  <c r="F39" i="2"/>
  <c r="F25" i="2"/>
  <c r="G22" i="2"/>
  <c r="E39" i="2"/>
  <c r="G62" i="2"/>
  <c r="F62" i="2"/>
  <c r="G61" i="2"/>
  <c r="H13" i="2"/>
  <c r="F61" i="2"/>
  <c r="H12" i="2"/>
  <c r="G60" i="2"/>
  <c r="F60" i="2"/>
  <c r="G11" i="2"/>
  <c r="F59" i="2"/>
  <c r="H17" i="2" l="1"/>
  <c r="H19" i="2" s="1"/>
  <c r="H65" i="2"/>
  <c r="G19" i="2"/>
  <c r="G38" i="2" s="1"/>
  <c r="D67" i="2"/>
  <c r="G65" i="2"/>
  <c r="S18" i="1"/>
  <c r="S20" i="1" s="1"/>
  <c r="I18" i="1"/>
  <c r="I26" i="1"/>
  <c r="D38" i="2"/>
  <c r="D21" i="2"/>
  <c r="F27" i="1"/>
  <c r="F20" i="1"/>
  <c r="B28" i="1"/>
  <c r="B22" i="1"/>
  <c r="B23" i="1" s="1"/>
  <c r="M27" i="1"/>
  <c r="M20" i="1"/>
  <c r="L20" i="1"/>
  <c r="L27" i="1"/>
  <c r="O18" i="1"/>
  <c r="O26" i="1"/>
  <c r="H13" i="1"/>
  <c r="H30" i="1"/>
  <c r="Q26" i="1"/>
  <c r="J26" i="1"/>
  <c r="J18" i="1"/>
  <c r="N13" i="1"/>
  <c r="N30" i="1"/>
  <c r="D27" i="1"/>
  <c r="D20" i="1"/>
  <c r="R30" i="1"/>
  <c r="K11" i="1"/>
  <c r="C20" i="1"/>
  <c r="C27" i="1"/>
  <c r="C34" i="2"/>
  <c r="C26" i="2"/>
  <c r="E38" i="2"/>
  <c r="P26" i="1"/>
  <c r="P18" i="1"/>
  <c r="E28" i="1"/>
  <c r="E22" i="1"/>
  <c r="E23" i="1" s="1"/>
  <c r="I17" i="2"/>
  <c r="H67" i="2"/>
  <c r="I65" i="2"/>
  <c r="R26" i="1"/>
  <c r="R18" i="1"/>
  <c r="G41" i="2"/>
  <c r="H24" i="2"/>
  <c r="G40" i="2"/>
  <c r="G39" i="2"/>
  <c r="G25" i="2"/>
  <c r="H22" i="2"/>
  <c r="E34" i="2"/>
  <c r="F21" i="2" s="1"/>
  <c r="Q27" i="1"/>
  <c r="H62" i="2"/>
  <c r="H61" i="2"/>
  <c r="I13" i="2"/>
  <c r="H60" i="2"/>
  <c r="I12" i="2"/>
  <c r="H11" i="2"/>
  <c r="G59" i="2"/>
  <c r="H38" i="2" l="1"/>
  <c r="S27" i="1"/>
  <c r="C28" i="2"/>
  <c r="C35" i="2"/>
  <c r="O27" i="1"/>
  <c r="O20" i="1"/>
  <c r="L22" i="1"/>
  <c r="L28" i="1"/>
  <c r="M22" i="1"/>
  <c r="M28" i="1"/>
  <c r="D28" i="1"/>
  <c r="D22" i="1"/>
  <c r="D23" i="1" s="1"/>
  <c r="I61" i="2"/>
  <c r="J13" i="2"/>
  <c r="J61" i="2" s="1"/>
  <c r="N18" i="1"/>
  <c r="N26" i="1"/>
  <c r="C22" i="1"/>
  <c r="C23" i="1" s="1"/>
  <c r="C28" i="1"/>
  <c r="K30" i="1"/>
  <c r="K13" i="1"/>
  <c r="O30" i="1"/>
  <c r="I60" i="2"/>
  <c r="J12" i="2"/>
  <c r="J60" i="2" s="1"/>
  <c r="I67" i="2"/>
  <c r="J17" i="2"/>
  <c r="J67" i="2" s="1"/>
  <c r="F28" i="1"/>
  <c r="F22" i="1"/>
  <c r="J27" i="1"/>
  <c r="J20" i="1"/>
  <c r="P27" i="1"/>
  <c r="P20" i="1"/>
  <c r="B28" i="2"/>
  <c r="I19" i="2"/>
  <c r="I38" i="2" s="1"/>
  <c r="D34" i="2"/>
  <c r="D26" i="2"/>
  <c r="H26" i="1"/>
  <c r="H18" i="1"/>
  <c r="I20" i="1"/>
  <c r="I27" i="1"/>
  <c r="J65" i="2"/>
  <c r="I62" i="2"/>
  <c r="J62" i="2"/>
  <c r="S22" i="1"/>
  <c r="S28" i="1"/>
  <c r="R27" i="1"/>
  <c r="R20" i="1"/>
  <c r="H41" i="2"/>
  <c r="I24" i="2"/>
  <c r="J24" i="2" s="1"/>
  <c r="H40" i="2"/>
  <c r="H39" i="2"/>
  <c r="H25" i="2"/>
  <c r="I22" i="2"/>
  <c r="J22" i="2" s="1"/>
  <c r="E35" i="2"/>
  <c r="F20" i="2"/>
  <c r="F26" i="2"/>
  <c r="F34" i="2"/>
  <c r="G21" i="2" s="1"/>
  <c r="I11" i="2"/>
  <c r="H59" i="2"/>
  <c r="P28" i="1" l="1"/>
  <c r="P22" i="1"/>
  <c r="P23" i="1" s="1"/>
  <c r="I59" i="2"/>
  <c r="J11" i="2"/>
  <c r="J59" i="2" s="1"/>
  <c r="B36" i="2"/>
  <c r="B30" i="2"/>
  <c r="B31" i="2" s="1"/>
  <c r="J28" i="1"/>
  <c r="J22" i="1"/>
  <c r="F23" i="1"/>
  <c r="M23" i="1"/>
  <c r="K19" i="2"/>
  <c r="L23" i="1"/>
  <c r="O28" i="1"/>
  <c r="O22" i="1"/>
  <c r="O23" i="1" s="1"/>
  <c r="H27" i="1"/>
  <c r="H20" i="1"/>
  <c r="K18" i="1"/>
  <c r="K26" i="1"/>
  <c r="N20" i="1"/>
  <c r="N27" i="1"/>
  <c r="I28" i="1"/>
  <c r="I22" i="1"/>
  <c r="D35" i="2"/>
  <c r="D28" i="2"/>
  <c r="C30" i="2"/>
  <c r="C31" i="2" s="1"/>
  <c r="C36" i="2"/>
  <c r="S23" i="1"/>
  <c r="S46" i="1"/>
  <c r="R28" i="1"/>
  <c r="R22" i="1"/>
  <c r="I41" i="2"/>
  <c r="I40" i="2"/>
  <c r="I25" i="2"/>
  <c r="I39" i="2"/>
  <c r="G20" i="2"/>
  <c r="G26" i="2"/>
  <c r="G34" i="2"/>
  <c r="H21" i="2" s="1"/>
  <c r="F35" i="2"/>
  <c r="E36" i="2"/>
  <c r="Q28" i="1"/>
  <c r="J38" i="2" l="1"/>
  <c r="J23" i="1"/>
  <c r="N22" i="1"/>
  <c r="N28" i="1"/>
  <c r="D30" i="2"/>
  <c r="D36" i="2"/>
  <c r="I23" i="1"/>
  <c r="K20" i="1"/>
  <c r="K27" i="1"/>
  <c r="H28" i="1"/>
  <c r="H22" i="1"/>
  <c r="L19" i="2"/>
  <c r="K38" i="2"/>
  <c r="S50" i="1"/>
  <c r="S49" i="1"/>
  <c r="S47" i="1"/>
  <c r="S48" i="1"/>
  <c r="R23" i="1"/>
  <c r="R46" i="1"/>
  <c r="J41" i="2"/>
  <c r="K24" i="2"/>
  <c r="J40" i="2"/>
  <c r="K23" i="2"/>
  <c r="J39" i="2"/>
  <c r="K22" i="2"/>
  <c r="J25" i="2"/>
  <c r="H20" i="2"/>
  <c r="H34" i="2"/>
  <c r="I21" i="2" s="1"/>
  <c r="H26" i="2"/>
  <c r="E30" i="2"/>
  <c r="G35" i="2"/>
  <c r="K28" i="1" l="1"/>
  <c r="K22" i="1"/>
  <c r="H23" i="1"/>
  <c r="I46" i="1"/>
  <c r="Q46" i="1"/>
  <c r="N23" i="1"/>
  <c r="P46" i="1"/>
  <c r="O46" i="1"/>
  <c r="E31" i="2"/>
  <c r="E55" i="2"/>
  <c r="E56" i="2"/>
  <c r="E54" i="2"/>
  <c r="E57" i="2"/>
  <c r="D54" i="2"/>
  <c r="D57" i="2"/>
  <c r="D56" i="2"/>
  <c r="D55" i="2"/>
  <c r="D31" i="2"/>
  <c r="L38" i="2"/>
  <c r="M19" i="2"/>
  <c r="R50" i="1"/>
  <c r="R49" i="1"/>
  <c r="R48" i="1"/>
  <c r="R47" i="1"/>
  <c r="K41" i="2"/>
  <c r="L24" i="2"/>
  <c r="L23" i="2"/>
  <c r="K40" i="2"/>
  <c r="K39" i="2"/>
  <c r="L22" i="2"/>
  <c r="K25" i="2"/>
  <c r="F27" i="2"/>
  <c r="F28" i="2" s="1"/>
  <c r="H35" i="2"/>
  <c r="I20" i="2"/>
  <c r="I34" i="2"/>
  <c r="J21" i="2" s="1"/>
  <c r="I26" i="2"/>
  <c r="P50" i="1" l="1"/>
  <c r="P49" i="1"/>
  <c r="P48" i="1"/>
  <c r="P47" i="1"/>
  <c r="O49" i="1"/>
  <c r="O48" i="1"/>
  <c r="O47" i="1"/>
  <c r="O50" i="1"/>
  <c r="N46" i="1"/>
  <c r="K23" i="1"/>
  <c r="M46" i="1"/>
  <c r="L46" i="1"/>
  <c r="Q48" i="1"/>
  <c r="Q50" i="1"/>
  <c r="Q49" i="1"/>
  <c r="Q47" i="1"/>
  <c r="I49" i="1"/>
  <c r="I47" i="1"/>
  <c r="I48" i="1"/>
  <c r="I50" i="1"/>
  <c r="N19" i="2"/>
  <c r="M38" i="2"/>
  <c r="L41" i="2"/>
  <c r="M24" i="2"/>
  <c r="M23" i="2"/>
  <c r="L40" i="2"/>
  <c r="L39" i="2"/>
  <c r="L25" i="2"/>
  <c r="M22" i="2"/>
  <c r="I35" i="2"/>
  <c r="J34" i="2"/>
  <c r="K21" i="2" s="1"/>
  <c r="J20" i="2"/>
  <c r="J26" i="2"/>
  <c r="F29" i="2"/>
  <c r="F36" i="2" s="1"/>
  <c r="M49" i="1" l="1"/>
  <c r="M50" i="1"/>
  <c r="M47" i="1"/>
  <c r="M48" i="1"/>
  <c r="N49" i="1"/>
  <c r="N48" i="1"/>
  <c r="N47" i="1"/>
  <c r="N50" i="1"/>
  <c r="L50" i="1"/>
  <c r="L49" i="1"/>
  <c r="L48" i="1"/>
  <c r="L47" i="1"/>
  <c r="O19" i="2"/>
  <c r="N38" i="2"/>
  <c r="M41" i="2"/>
  <c r="N24" i="2"/>
  <c r="N23" i="2"/>
  <c r="M40" i="2"/>
  <c r="N22" i="2"/>
  <c r="M25" i="2"/>
  <c r="M39" i="2"/>
  <c r="J35" i="2"/>
  <c r="F30" i="2"/>
  <c r="K20" i="2"/>
  <c r="K26" i="2"/>
  <c r="K34" i="2"/>
  <c r="L21" i="2" s="1"/>
  <c r="F43" i="2" l="1"/>
  <c r="P19" i="2"/>
  <c r="O38" i="2"/>
  <c r="O24" i="2"/>
  <c r="N41" i="2"/>
  <c r="N40" i="2"/>
  <c r="O23" i="2"/>
  <c r="N25" i="2"/>
  <c r="O22" i="2"/>
  <c r="N39" i="2"/>
  <c r="K35" i="2"/>
  <c r="L26" i="2"/>
  <c r="L20" i="2"/>
  <c r="L34" i="2"/>
  <c r="M21" i="2" s="1"/>
  <c r="F31" i="2"/>
  <c r="Q19" i="2" l="1"/>
  <c r="P38" i="2"/>
  <c r="P24" i="2"/>
  <c r="O41" i="2"/>
  <c r="P23" i="2"/>
  <c r="O40" i="2"/>
  <c r="O25" i="2"/>
  <c r="P22" i="2"/>
  <c r="O39" i="2"/>
  <c r="G27" i="2"/>
  <c r="G28" i="2" s="1"/>
  <c r="M34" i="2"/>
  <c r="N21" i="2" s="1"/>
  <c r="M26" i="2"/>
  <c r="M20" i="2"/>
  <c r="L35" i="2"/>
  <c r="R19" i="2" l="1"/>
  <c r="Q38" i="2"/>
  <c r="P41" i="2"/>
  <c r="Q24" i="2"/>
  <c r="Q23" i="2"/>
  <c r="P40" i="2"/>
  <c r="P39" i="2"/>
  <c r="P25" i="2"/>
  <c r="Q22" i="2"/>
  <c r="N34" i="2"/>
  <c r="O21" i="2" s="1"/>
  <c r="N26" i="2"/>
  <c r="N20" i="2"/>
  <c r="M35" i="2"/>
  <c r="G29" i="2"/>
  <c r="G36" i="2" s="1"/>
  <c r="R38" i="2" l="1"/>
  <c r="S19" i="2"/>
  <c r="G30" i="2"/>
  <c r="Q41" i="2"/>
  <c r="R24" i="2"/>
  <c r="Q40" i="2"/>
  <c r="R23" i="2"/>
  <c r="Q39" i="2"/>
  <c r="Q25" i="2"/>
  <c r="R22" i="2"/>
  <c r="G31" i="2"/>
  <c r="G43" i="2"/>
  <c r="N35" i="2"/>
  <c r="O34" i="2"/>
  <c r="P21" i="2" s="1"/>
  <c r="O20" i="2"/>
  <c r="O26" i="2"/>
  <c r="S38" i="2" l="1"/>
  <c r="T19" i="2"/>
  <c r="R41" i="2"/>
  <c r="S24" i="2"/>
  <c r="S23" i="2"/>
  <c r="R40" i="2"/>
  <c r="S22" i="2"/>
  <c r="R39" i="2"/>
  <c r="R25" i="2"/>
  <c r="O35" i="2"/>
  <c r="P26" i="2"/>
  <c r="P20" i="2"/>
  <c r="P34" i="2"/>
  <c r="Q21" i="2" s="1"/>
  <c r="H27" i="2"/>
  <c r="H28" i="2" s="1"/>
  <c r="T38" i="2" l="1"/>
  <c r="T24" i="2"/>
  <c r="S41" i="2"/>
  <c r="S40" i="2"/>
  <c r="T23" i="2"/>
  <c r="S39" i="2"/>
  <c r="S25" i="2"/>
  <c r="T22" i="2"/>
  <c r="H29" i="2"/>
  <c r="H36" i="2" s="1"/>
  <c r="Q26" i="2"/>
  <c r="Q34" i="2"/>
  <c r="R21" i="2" s="1"/>
  <c r="Q20" i="2"/>
  <c r="P35" i="2"/>
  <c r="T41" i="2" l="1"/>
  <c r="T40" i="2"/>
  <c r="T39" i="2"/>
  <c r="T25" i="2"/>
  <c r="H30" i="2"/>
  <c r="R26" i="2"/>
  <c r="R34" i="2"/>
  <c r="S21" i="2" s="1"/>
  <c r="R20" i="2"/>
  <c r="Q35" i="2"/>
  <c r="H31" i="2" l="1"/>
  <c r="H43" i="2"/>
  <c r="I27" i="2" s="1"/>
  <c r="I28" i="2" s="1"/>
  <c r="S34" i="2"/>
  <c r="T21" i="2" s="1"/>
  <c r="S20" i="2"/>
  <c r="S26" i="2"/>
  <c r="R35" i="2"/>
  <c r="S35" i="2" l="1"/>
  <c r="T34" i="2"/>
  <c r="T20" i="2"/>
  <c r="T26" i="2"/>
  <c r="I29" i="2"/>
  <c r="I36" i="2" s="1"/>
  <c r="T35" i="2" l="1"/>
  <c r="I30" i="2"/>
  <c r="I31" i="2" l="1"/>
  <c r="I43" i="2"/>
  <c r="J27" i="2" l="1"/>
  <c r="J28" i="2" s="1"/>
  <c r="J29" i="2" l="1"/>
  <c r="J36" i="2" s="1"/>
  <c r="J30" i="2"/>
  <c r="J31" i="2" l="1"/>
  <c r="J43" i="2"/>
  <c r="K27" i="2" l="1"/>
  <c r="K28" i="2" s="1"/>
  <c r="K29" i="2" l="1"/>
  <c r="K36" i="2" s="1"/>
  <c r="K30" i="2" l="1"/>
  <c r="K31" i="2"/>
  <c r="K43" i="2"/>
  <c r="L27" i="2" l="1"/>
  <c r="L28" i="2" s="1"/>
  <c r="L29" i="2" l="1"/>
  <c r="L36" i="2" s="1"/>
  <c r="L30" i="2"/>
  <c r="L31" i="2" l="1"/>
  <c r="L43" i="2"/>
  <c r="M27" i="2" l="1"/>
  <c r="M28" i="2" s="1"/>
  <c r="M29" i="2" l="1"/>
  <c r="M36" i="2" s="1"/>
  <c r="M30" i="2" l="1"/>
  <c r="M31" i="2"/>
  <c r="M43" i="2"/>
  <c r="N27" i="2" l="1"/>
  <c r="N28" i="2" s="1"/>
  <c r="N29" i="2" l="1"/>
  <c r="N36" i="2" s="1"/>
  <c r="N30" i="2"/>
  <c r="N31" i="2" l="1"/>
  <c r="N43" i="2"/>
  <c r="O27" i="2" l="1"/>
  <c r="O28" i="2" s="1"/>
  <c r="O29" i="2" l="1"/>
  <c r="O36" i="2" s="1"/>
  <c r="O30" i="2"/>
  <c r="O31" i="2" l="1"/>
  <c r="O43" i="2"/>
  <c r="P27" i="2" l="1"/>
  <c r="P28" i="2" s="1"/>
  <c r="P29" i="2" l="1"/>
  <c r="P36" i="2" s="1"/>
  <c r="P30" i="2" l="1"/>
  <c r="P31" i="2"/>
  <c r="P43" i="2"/>
  <c r="Q27" i="2" l="1"/>
  <c r="Q28" i="2" s="1"/>
  <c r="Q29" i="2" l="1"/>
  <c r="Q36" i="2" s="1"/>
  <c r="Q30" i="2"/>
  <c r="Q31" i="2" l="1"/>
  <c r="Q43" i="2"/>
  <c r="R27" i="2" l="1"/>
  <c r="R28" i="2" s="1"/>
  <c r="R29" i="2" l="1"/>
  <c r="R36" i="2" s="1"/>
  <c r="R30" i="2" l="1"/>
  <c r="R31" i="2"/>
  <c r="R43" i="2"/>
  <c r="S27" i="2" l="1"/>
  <c r="S28" i="2" s="1"/>
  <c r="S29" i="2" l="1"/>
  <c r="S36" i="2" s="1"/>
  <c r="S30" i="2" l="1"/>
  <c r="S31" i="2" l="1"/>
  <c r="S43" i="2"/>
  <c r="T27" i="2" l="1"/>
  <c r="T28" i="2" s="1"/>
  <c r="T29" i="2" l="1"/>
  <c r="T36" i="2" s="1"/>
  <c r="T30" i="2"/>
  <c r="T31" i="2" l="1"/>
  <c r="T43" i="2"/>
  <c r="V30" i="2" l="1"/>
  <c r="W30" i="2" l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AH30" i="2" s="1"/>
  <c r="AI30" i="2" s="1"/>
  <c r="AJ30" i="2" s="1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BJ30" i="2" s="1"/>
  <c r="BK30" i="2" s="1"/>
  <c r="BL30" i="2" s="1"/>
  <c r="BM30" i="2" s="1"/>
  <c r="BN30" i="2" s="1"/>
  <c r="BO30" i="2" s="1"/>
  <c r="BP30" i="2" s="1"/>
  <c r="BQ30" i="2" s="1"/>
  <c r="BR30" i="2" s="1"/>
  <c r="BS30" i="2" s="1"/>
  <c r="BT30" i="2" s="1"/>
  <c r="BU30" i="2" s="1"/>
  <c r="BV30" i="2" s="1"/>
  <c r="BW30" i="2" s="1"/>
  <c r="BX30" i="2" s="1"/>
  <c r="BY30" i="2" s="1"/>
  <c r="BZ30" i="2" s="1"/>
  <c r="CA30" i="2" s="1"/>
  <c r="CB30" i="2" s="1"/>
  <c r="CC30" i="2" s="1"/>
  <c r="CD30" i="2" s="1"/>
  <c r="CE30" i="2" s="1"/>
  <c r="CF30" i="2" s="1"/>
  <c r="CG30" i="2" s="1"/>
  <c r="CH30" i="2" s="1"/>
  <c r="CI30" i="2" s="1"/>
  <c r="CJ30" i="2" s="1"/>
  <c r="CK30" i="2" s="1"/>
  <c r="CL30" i="2" s="1"/>
  <c r="CM30" i="2" s="1"/>
  <c r="CN30" i="2" s="1"/>
  <c r="CO30" i="2" s="1"/>
  <c r="CP30" i="2" s="1"/>
  <c r="CQ30" i="2" s="1"/>
  <c r="CR30" i="2" s="1"/>
  <c r="CS30" i="2" s="1"/>
  <c r="CT30" i="2" s="1"/>
  <c r="CU30" i="2" s="1"/>
  <c r="CV30" i="2" s="1"/>
  <c r="CW30" i="2" s="1"/>
  <c r="CX30" i="2" s="1"/>
  <c r="CY30" i="2" s="1"/>
  <c r="CZ30" i="2" s="1"/>
  <c r="DA30" i="2" s="1"/>
  <c r="DB30" i="2" s="1"/>
  <c r="DC30" i="2" s="1"/>
  <c r="DD30" i="2" s="1"/>
  <c r="DE30" i="2" s="1"/>
  <c r="DF30" i="2" s="1"/>
  <c r="DG30" i="2" s="1"/>
  <c r="DH30" i="2" s="1"/>
  <c r="DI30" i="2" s="1"/>
  <c r="DJ30" i="2" s="1"/>
  <c r="DK30" i="2" s="1"/>
  <c r="DL30" i="2" s="1"/>
  <c r="DM30" i="2" s="1"/>
  <c r="DN30" i="2" s="1"/>
  <c r="DO30" i="2" s="1"/>
  <c r="DP30" i="2" s="1"/>
  <c r="F5" i="2" l="1"/>
  <c r="F6" i="2" s="1"/>
  <c r="F7" i="2" s="1"/>
  <c r="G7" i="2" s="1"/>
</calcChain>
</file>

<file path=xl/sharedStrings.xml><?xml version="1.0" encoding="utf-8"?>
<sst xmlns="http://schemas.openxmlformats.org/spreadsheetml/2006/main" count="181" uniqueCount="127">
  <si>
    <t>Q117</t>
  </si>
  <si>
    <t>Q217</t>
  </si>
  <si>
    <t>Q317</t>
  </si>
  <si>
    <t>Q417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</si>
  <si>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</si>
  <si>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</si>
  <si>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</si>
  <si>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</si>
  <si>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</si>
  <si>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</si>
  <si>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</si>
  <si>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</si>
  <si>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</si>
  <si>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</si>
  <si>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</si>
  <si>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</si>
  <si>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</si>
  <si>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</si>
  <si>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</si>
  <si>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</si>
  <si>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</si>
  <si>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</si>
  <si>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Q116</t>
  </si>
  <si>
    <t>Q216</t>
  </si>
  <si>
    <t>Q316</t>
  </si>
  <si>
    <t>Q416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</si>
  <si>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</si>
  <si>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</si>
  <si>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</si>
  <si>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</si>
  <si>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</si>
  <si>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</si>
  <si>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</si>
  <si>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</si>
  <si>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</si>
  <si>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</si>
  <si>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</si>
  <si>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</si>
  <si>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R&amp;D y/y</t>
  </si>
  <si>
    <t>S&amp;M y/y</t>
  </si>
  <si>
    <t>G&amp;A y/y</t>
  </si>
  <si>
    <t>31/12/2017</t>
  </si>
  <si>
    <t>31/12/2016</t>
  </si>
  <si>
    <t>Subscription</t>
  </si>
  <si>
    <t>Maintenance</t>
  </si>
  <si>
    <t>Perpetual license</t>
  </si>
  <si>
    <t>Other</t>
  </si>
  <si>
    <t>30/6/2017</t>
  </si>
  <si>
    <t>30/9/2016</t>
  </si>
  <si>
    <t>30/9/2017</t>
  </si>
  <si>
    <t>31/3/2017</t>
  </si>
  <si>
    <t>31/3/2018</t>
  </si>
  <si>
    <t>30/6/2018</t>
  </si>
  <si>
    <t>30/6/2016</t>
  </si>
  <si>
    <t>31/3/2016</t>
  </si>
  <si>
    <t>31/12/2015</t>
  </si>
  <si>
    <t>30/9/2015</t>
  </si>
  <si>
    <t>Investor Relations</t>
  </si>
  <si>
    <t>CEO</t>
  </si>
  <si>
    <t>Founder</t>
  </si>
  <si>
    <t>EDGAR</t>
  </si>
  <si>
    <t>Mike Cannon-Brookes</t>
  </si>
  <si>
    <t>Scott Farquhar</t>
  </si>
  <si>
    <t>Atlassian Corp PLC (TEAM)</t>
  </si>
  <si>
    <t>Price</t>
  </si>
  <si>
    <t>Market Cap</t>
  </si>
  <si>
    <t>EV</t>
  </si>
  <si>
    <t>per share</t>
  </si>
  <si>
    <t>Intangilbles</t>
  </si>
  <si>
    <t>Total assets</t>
  </si>
  <si>
    <t>Total liabilities</t>
  </si>
  <si>
    <t>TWC</t>
  </si>
  <si>
    <t>Equity</t>
  </si>
  <si>
    <t>ROE</t>
  </si>
  <si>
    <t>ROA</t>
  </si>
  <si>
    <t>ROTB</t>
  </si>
  <si>
    <t>ROTWC</t>
  </si>
  <si>
    <t>Subscription y/y</t>
  </si>
  <si>
    <t>Maintenance y/y</t>
  </si>
  <si>
    <t>Perpetual license y/y</t>
  </si>
  <si>
    <t>Other y/y</t>
  </si>
  <si>
    <t>Active customers</t>
  </si>
  <si>
    <t>Q119</t>
  </si>
  <si>
    <t>Q219</t>
  </si>
  <si>
    <t>Q319</t>
  </si>
  <si>
    <t>Q419</t>
  </si>
  <si>
    <t>31/12/2018</t>
  </si>
  <si>
    <t>NI 12M</t>
  </si>
  <si>
    <t>Active customers y/y</t>
  </si>
  <si>
    <t>30/9/2018</t>
  </si>
  <si>
    <t>31/3/2019</t>
  </si>
  <si>
    <t>30/6/2019</t>
  </si>
  <si>
    <t>Jira Software</t>
  </si>
  <si>
    <t>Jira Service</t>
  </si>
  <si>
    <t>Project and issue tracking</t>
  </si>
  <si>
    <t>IT service desk and customer service</t>
  </si>
  <si>
    <t>Jira Ops</t>
  </si>
  <si>
    <t>Incident management</t>
  </si>
  <si>
    <t>Jira Core</t>
  </si>
  <si>
    <t>Business management</t>
  </si>
  <si>
    <t>Statuspage</t>
  </si>
  <si>
    <t>Incident communication</t>
  </si>
  <si>
    <t>Opsgenie</t>
  </si>
  <si>
    <t>Alerting and on-call management</t>
  </si>
  <si>
    <t>Confluence</t>
  </si>
  <si>
    <t>Trello</t>
  </si>
  <si>
    <t>Collaborative project management</t>
  </si>
  <si>
    <t>Bitbucket</t>
  </si>
  <si>
    <t>Git code management</t>
  </si>
  <si>
    <t>Sourcetree</t>
  </si>
  <si>
    <t>Git and Mercurial desktop client</t>
  </si>
  <si>
    <t>Bamboo</t>
  </si>
  <si>
    <t>Integration and release management</t>
  </si>
  <si>
    <t>Shared workspace</t>
  </si>
  <si>
    <t>ARPU</t>
  </si>
  <si>
    <t>ARPU y/y</t>
  </si>
  <si>
    <t>31/12/2019</t>
  </si>
  <si>
    <t>Q120</t>
  </si>
  <si>
    <t>Q220</t>
  </si>
  <si>
    <t>Q320</t>
  </si>
  <si>
    <t>Q420</t>
  </si>
  <si>
    <t>30/9/2019</t>
  </si>
  <si>
    <t>31/3/2020</t>
  </si>
  <si>
    <t>30/6/2020</t>
  </si>
  <si>
    <t>386-390</t>
  </si>
  <si>
    <t>395-399</t>
  </si>
  <si>
    <t>1590-1600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</si>
</sst>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5" fillId="0" borderId="0" xfId="4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/>
    <xf numFmtId="0" fontId="6" fillId="0" borderId="1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1" xfId="0" applyFont="1" applyBorder="1"/>
    <xf numFmtId="0" fontId="6" fillId="0" borderId="0" xfId="0" applyFont="1" applyBorder="1"/>
    <xf numFmtId="0" fontId="7" fillId="0" borderId="0" xfId="0" applyFont="1"/>
    <xf numFmtId="3" fontId="7" fillId="2" borderId="0" xfId="0" applyNumberFormat="1" applyFont="1" applyFill="1" applyBorder="1" applyAlignment="1">
      <alignment horizontal="right"/>
    </xf>
    <xf numFmtId="3" fontId="7" fillId="2" borderId="1" xfId="0" applyNumberFormat="1" applyFont="1" applyFill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2" fontId="6" fillId="2" borderId="1" xfId="0" applyNumberFormat="1" applyFont="1" applyFill="1" applyBorder="1" applyAlignment="1">
      <alignment horizontal="right"/>
    </xf>
    <xf numFmtId="2" fontId="6" fillId="2" borderId="0" xfId="0" applyNumberFormat="1" applyFont="1" applyFill="1" applyAlignment="1">
      <alignment horizontal="right"/>
    </xf>
    <xf numFmtId="9" fontId="7" fillId="0" borderId="0" xfId="1" applyNumberFormat="1" applyFont="1" applyBorder="1" applyAlignment="1">
      <alignment horizontal="right"/>
    </xf>
    <xf numFmtId="9" fontId="7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0" applyNumberFormat="1" applyFont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9" fontId="6" fillId="0" borderId="0" xfId="1" applyFont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4" fontId="6" fillId="0" borderId="0" xfId="0" applyNumberFormat="1" applyFont="1" applyBorder="1"/>
    <xf numFmtId="10" fontId="6" fillId="0" borderId="0" xfId="0" applyNumberFormat="1" applyFont="1"/>
    <xf numFmtId="0" fontId="8" fillId="0" borderId="0" xfId="0" applyFont="1"/>
    <xf numFmtId="3" fontId="6" fillId="2" borderId="0" xfId="0" applyNumberFormat="1" applyFont="1" applyFill="1" applyBorder="1"/>
    <xf numFmtId="164" fontId="6" fillId="2" borderId="0" xfId="0" applyNumberFormat="1" applyFont="1" applyFill="1"/>
    <xf numFmtId="0" fontId="7" fillId="0" borderId="0" xfId="0" applyFont="1" applyBorder="1"/>
    <xf numFmtId="164" fontId="7" fillId="2" borderId="0" xfId="0" applyNumberFormat="1" applyFont="1" applyFill="1"/>
    <xf numFmtId="4" fontId="6" fillId="2" borderId="0" xfId="0" applyNumberFormat="1" applyFont="1" applyFill="1" applyBorder="1"/>
    <xf numFmtId="0" fontId="8" fillId="0" borderId="0" xfId="0" applyFont="1" applyBorder="1"/>
    <xf numFmtId="4" fontId="6" fillId="2" borderId="0" xfId="0" applyNumberFormat="1" applyFont="1" applyFill="1"/>
    <xf numFmtId="9" fontId="6" fillId="0" borderId="0" xfId="0" applyNumberFormat="1" applyFont="1"/>
    <xf numFmtId="3" fontId="6" fillId="0" borderId="0" xfId="0" applyNumberFormat="1" applyFont="1"/>
    <xf numFmtId="2" fontId="6" fillId="0" borderId="0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9" fontId="7" fillId="0" borderId="0" xfId="1" applyFont="1" applyBorder="1" applyAlignment="1">
      <alignment horizontal="right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9" fontId="6" fillId="0" borderId="0" xfId="0" applyNumberFormat="1" applyFont="1" applyFill="1" applyBorder="1" applyAlignment="1">
      <alignment horizontal="right"/>
    </xf>
    <xf numFmtId="9" fontId="6" fillId="0" borderId="0" xfId="1" applyFont="1" applyFill="1" applyBorder="1" applyAlignment="1">
      <alignment horizontal="right"/>
    </xf>
    <xf numFmtId="9" fontId="7" fillId="0" borderId="0" xfId="1" applyNumberFormat="1" applyFont="1" applyFill="1" applyBorder="1" applyAlignment="1">
      <alignment horizontal="right"/>
    </xf>
    <xf numFmtId="9" fontId="6" fillId="0" borderId="0" xfId="1" applyNumberFormat="1" applyFont="1" applyFill="1" applyBorder="1" applyAlignment="1">
      <alignment horizontal="right"/>
    </xf>
    <xf numFmtId="165" fontId="6" fillId="0" borderId="0" xfId="0" applyNumberFormat="1" applyFont="1"/>
    <xf numFmtId="165" fontId="6" fillId="0" borderId="0" xfId="0" applyNumberFormat="1" applyFont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9" fontId="6" fillId="0" borderId="1" xfId="0" applyNumberFormat="1" applyFont="1" applyFill="1" applyBorder="1" applyAlignment="1">
      <alignment horizontal="right"/>
    </xf>
    <xf numFmtId="9" fontId="6" fillId="0" borderId="1" xfId="1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9" fontId="6" fillId="0" borderId="0" xfId="0" applyNumberFormat="1" applyFont="1" applyFill="1" applyAlignment="1">
      <alignment horizontal="right"/>
    </xf>
    <xf numFmtId="3" fontId="6" fillId="2" borderId="0" xfId="0" applyNumberFormat="1" applyFont="1" applyFill="1"/>
    <xf numFmtId="165" fontId="6" fillId="0" borderId="2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8" fillId="0" borderId="0" xfId="0" applyFont="1" applyBorder="1" applyAlignment="1">
      <alignment horizontal="righ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">
    <cellStyle name="Followed Hyperlink" xfId="3" builtinId="9" hidden="1"/>
    <cellStyle name="Hyperlink" xfId="2" builtinId="8" hidden="1"/>
    <cellStyle name="Hyperlink" xfId="4" builtinId="8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9</xdr:row>
      <xdr:rowOff>12700</xdr:rowOff>
    </xdr:from>
    <xdr:to>
      <xdr:col>5</xdr:col>
      <xdr:colOff>165100</xdr:colOff>
      <xdr:row>68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914900" y="1498600"/>
          <a:ext cx="0" cy="97409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259644</xdr:colOff>
      <xdr:row>1</xdr:row>
      <xdr:rowOff>14111</xdr:rowOff>
    </xdr:from>
    <xdr:to>
      <xdr:col>21</xdr:col>
      <xdr:colOff>259644</xdr:colOff>
      <xdr:row>60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8026944" y="179211"/>
          <a:ext cx="0" cy="987918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ike_Cannon-Brookes" TargetMode="External"/><Relationship Id="rId2" Type="http://schemas.openxmlformats.org/officeDocument/2006/relationships/hyperlink" Target="https://en.wikipedia.org/wiki/Scott_Farquhar" TargetMode="External"/><Relationship Id="rId1" Type="http://schemas.openxmlformats.org/officeDocument/2006/relationships/hyperlink" Target="https://en.wikipedia.org/wiki/Mike_Cannon-Brookes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investors.atlassian.com/investors-overview/default.aspx" TargetMode="External"/><Relationship Id="rId4" Type="http://schemas.openxmlformats.org/officeDocument/2006/relationships/hyperlink" Target="https://en.wikipedia.org/wiki/Scott_Farquh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ompany=atlassian&amp;owner=exclude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7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D7" sqref="D7"/>
    </sheetView>
  </sheetViews>
  <sheetFormatPr baseColWidth="10" defaultColWidth="10.83203125" defaultRowHeight="13" x14ac:dyDescent="0.15"/>
  <cols>
    <col min="1" max="1" width="19" style="4" bestFit="1" customWidth="1"/>
    <col min="2" max="16384" width="10.83203125" style="4"/>
  </cols>
  <sheetData>
    <row r="1" spans="1:120" x14ac:dyDescent="0.15">
      <c r="A1" s="1" t="s">
        <v>57</v>
      </c>
      <c r="B1" s="11" t="s">
        <v>63</v>
      </c>
    </row>
    <row r="2" spans="1:120" x14ac:dyDescent="0.15">
      <c r="B2" s="4" t="s">
        <v>64</v>
      </c>
      <c r="C2" s="33">
        <v>176.6</v>
      </c>
      <c r="D2" s="72">
        <v>43962</v>
      </c>
      <c r="E2" s="10" t="s">
        <v>29</v>
      </c>
      <c r="F2" s="34">
        <v>-5.0000000000000001E-3</v>
      </c>
      <c r="K2" s="44"/>
      <c r="L2" s="11"/>
    </row>
    <row r="3" spans="1:120" x14ac:dyDescent="0.15">
      <c r="A3" s="11" t="s">
        <v>58</v>
      </c>
      <c r="B3" s="4" t="s">
        <v>17</v>
      </c>
      <c r="C3" s="6">
        <f>Reports!S24</f>
        <v>250.96</v>
      </c>
      <c r="D3" s="73" t="s">
        <v>118</v>
      </c>
      <c r="E3" s="10" t="s">
        <v>30</v>
      </c>
      <c r="F3" s="34">
        <v>0.05</v>
      </c>
      <c r="G3" s="35"/>
      <c r="K3" s="44"/>
    </row>
    <row r="4" spans="1:120" x14ac:dyDescent="0.15">
      <c r="A4" s="1" t="s">
        <v>61</v>
      </c>
      <c r="B4" s="4" t="s">
        <v>65</v>
      </c>
      <c r="C4" s="36">
        <f>C2*C3</f>
        <v>44319.536</v>
      </c>
      <c r="D4" s="73"/>
      <c r="E4" s="10" t="s">
        <v>31</v>
      </c>
      <c r="F4" s="34">
        <f>6%</f>
        <v>0.06</v>
      </c>
      <c r="G4" s="35"/>
      <c r="K4" s="43"/>
    </row>
    <row r="5" spans="1:120" x14ac:dyDescent="0.15">
      <c r="A5" s="1" t="s">
        <v>62</v>
      </c>
      <c r="B5" s="4" t="s">
        <v>26</v>
      </c>
      <c r="C5" s="6">
        <f>Reports!S35</f>
        <v>1067</v>
      </c>
      <c r="D5" s="73" t="s">
        <v>118</v>
      </c>
      <c r="E5" s="10" t="s">
        <v>32</v>
      </c>
      <c r="F5" s="37">
        <f>NPV(F4,F30:DP30)</f>
        <v>70810.533707463546</v>
      </c>
      <c r="G5" s="35"/>
      <c r="K5" s="43"/>
    </row>
    <row r="6" spans="1:120" x14ac:dyDescent="0.15">
      <c r="B6" s="4" t="s">
        <v>66</v>
      </c>
      <c r="C6" s="36">
        <f>C4-C5</f>
        <v>43252.536</v>
      </c>
      <c r="D6" s="73"/>
      <c r="E6" s="38" t="s">
        <v>33</v>
      </c>
      <c r="F6" s="39">
        <f>F5+C5</f>
        <v>71877.533707463546</v>
      </c>
      <c r="K6" s="43"/>
    </row>
    <row r="7" spans="1:120" x14ac:dyDescent="0.15">
      <c r="A7" s="11" t="s">
        <v>59</v>
      </c>
      <c r="B7" s="35" t="s">
        <v>67</v>
      </c>
      <c r="C7" s="40">
        <f>C6/C3</f>
        <v>172.34832642652216</v>
      </c>
      <c r="D7" s="73"/>
      <c r="E7" s="41" t="s">
        <v>67</v>
      </c>
      <c r="F7" s="42">
        <f>F6/C3</f>
        <v>286.41031920411041</v>
      </c>
      <c r="G7" s="43">
        <f>F7/C2-1</f>
        <v>0.6218024869994927</v>
      </c>
    </row>
    <row r="8" spans="1:120" x14ac:dyDescent="0.15">
      <c r="A8" s="1" t="s">
        <v>61</v>
      </c>
    </row>
    <row r="9" spans="1:120" x14ac:dyDescent="0.15">
      <c r="A9" s="1" t="s">
        <v>62</v>
      </c>
    </row>
    <row r="10" spans="1:120" x14ac:dyDescent="0.15">
      <c r="B10" s="2">
        <v>2016</v>
      </c>
      <c r="C10" s="2">
        <v>2017</v>
      </c>
      <c r="D10" s="2">
        <f>C10+1</f>
        <v>2018</v>
      </c>
      <c r="E10" s="2">
        <f t="shared" ref="E10:T10" si="0">D10+1</f>
        <v>2019</v>
      </c>
      <c r="F10" s="2">
        <f t="shared" si="0"/>
        <v>2020</v>
      </c>
      <c r="G10" s="2">
        <f t="shared" si="0"/>
        <v>2021</v>
      </c>
      <c r="H10" s="2">
        <f t="shared" si="0"/>
        <v>2022</v>
      </c>
      <c r="I10" s="2">
        <f t="shared" si="0"/>
        <v>2023</v>
      </c>
      <c r="J10" s="2">
        <f t="shared" si="0"/>
        <v>2024</v>
      </c>
      <c r="K10" s="2">
        <f t="shared" si="0"/>
        <v>2025</v>
      </c>
      <c r="L10" s="2">
        <f t="shared" si="0"/>
        <v>2026</v>
      </c>
      <c r="M10" s="2">
        <f t="shared" si="0"/>
        <v>2027</v>
      </c>
      <c r="N10" s="2">
        <f t="shared" si="0"/>
        <v>2028</v>
      </c>
      <c r="O10" s="2">
        <f t="shared" si="0"/>
        <v>2029</v>
      </c>
      <c r="P10" s="2">
        <f t="shared" si="0"/>
        <v>2030</v>
      </c>
      <c r="Q10" s="2">
        <f t="shared" si="0"/>
        <v>2031</v>
      </c>
      <c r="R10" s="2">
        <f t="shared" si="0"/>
        <v>2032</v>
      </c>
      <c r="S10" s="2">
        <f t="shared" si="0"/>
        <v>2033</v>
      </c>
      <c r="T10" s="2">
        <f t="shared" si="0"/>
        <v>2034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</row>
    <row r="11" spans="1:120" s="44" customFormat="1" x14ac:dyDescent="0.15">
      <c r="A11" s="44" t="s">
        <v>43</v>
      </c>
      <c r="B11" s="14">
        <f>SUM(Reports!B3:E3)</f>
        <v>146.65899999999999</v>
      </c>
      <c r="C11" s="14">
        <f>SUM(Reports!F3:I3)</f>
        <v>242.12799999999999</v>
      </c>
      <c r="D11" s="3">
        <f>SUM(Reports!J3:M3)</f>
        <v>407.13800000000003</v>
      </c>
      <c r="E11" s="3">
        <f>SUM(Reports!N3:Q3)</f>
        <v>634.03300000000002</v>
      </c>
      <c r="F11" s="3">
        <f>E11*1.5</f>
        <v>951.04950000000008</v>
      </c>
      <c r="G11" s="3">
        <f t="shared" ref="G11:J11" si="1">F11*1.5</f>
        <v>1426.5742500000001</v>
      </c>
      <c r="H11" s="3">
        <f t="shared" si="1"/>
        <v>2139.8613750000004</v>
      </c>
      <c r="I11" s="3">
        <f t="shared" si="1"/>
        <v>3209.7920625000006</v>
      </c>
      <c r="J11" s="3">
        <f t="shared" si="1"/>
        <v>4814.6880937500009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</row>
    <row r="12" spans="1:120" s="44" customFormat="1" x14ac:dyDescent="0.15">
      <c r="A12" s="44" t="s">
        <v>44</v>
      </c>
      <c r="B12" s="14">
        <f>SUM(Reports!B4:E4)</f>
        <v>218.84799999999998</v>
      </c>
      <c r="C12" s="14">
        <f>SUM(Reports!F4:I4)</f>
        <v>265.52099999999996</v>
      </c>
      <c r="D12" s="3">
        <f>SUM(Reports!J4:M4)</f>
        <v>325.92899999999997</v>
      </c>
      <c r="E12" s="3">
        <f>SUM(Reports!N4:Q4)</f>
        <v>394.75900000000001</v>
      </c>
      <c r="F12" s="3">
        <f>E12*1.2</f>
        <v>473.71080000000001</v>
      </c>
      <c r="G12" s="3">
        <f t="shared" ref="G12:J12" si="2">F12*1.2</f>
        <v>568.45295999999996</v>
      </c>
      <c r="H12" s="3">
        <f t="shared" si="2"/>
        <v>682.14355199999989</v>
      </c>
      <c r="I12" s="3">
        <f t="shared" si="2"/>
        <v>818.57226239999989</v>
      </c>
      <c r="J12" s="3">
        <f t="shared" si="2"/>
        <v>982.28671487999986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</row>
    <row r="13" spans="1:120" s="44" customFormat="1" x14ac:dyDescent="0.15">
      <c r="A13" s="44" t="s">
        <v>45</v>
      </c>
      <c r="B13" s="14">
        <f>SUM(Reports!B5:E5)</f>
        <v>65.486999999999995</v>
      </c>
      <c r="C13" s="14">
        <f>SUM(Reports!F5:I5)</f>
        <v>74.564999999999998</v>
      </c>
      <c r="D13" s="3">
        <f>SUM(Reports!J5:M5)</f>
        <v>84.678999999999988</v>
      </c>
      <c r="E13" s="3">
        <f>SUM(Reports!N5:Q5)</f>
        <v>93.769000000000005</v>
      </c>
      <c r="F13" s="3">
        <f>E13*1.1</f>
        <v>103.14590000000001</v>
      </c>
      <c r="G13" s="3">
        <f t="shared" ref="G13:J13" si="3">F13*1.1</f>
        <v>113.46049000000002</v>
      </c>
      <c r="H13" s="3">
        <f t="shared" si="3"/>
        <v>124.80653900000003</v>
      </c>
      <c r="I13" s="3">
        <f t="shared" si="3"/>
        <v>137.28719290000004</v>
      </c>
      <c r="J13" s="3">
        <f t="shared" si="3"/>
        <v>151.01591219000005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</row>
    <row r="14" spans="1:120" s="44" customFormat="1" x14ac:dyDescent="0.15">
      <c r="A14" s="44" t="s">
        <v>46</v>
      </c>
      <c r="B14" s="14">
        <f>SUM(Reports!B6:E6)</f>
        <v>26.064</v>
      </c>
      <c r="C14" s="14">
        <f>SUM(Reports!F6:I6)</f>
        <v>37.721999999999994</v>
      </c>
      <c r="D14" s="3">
        <f>SUM(Reports!J6:M6)</f>
        <v>59.817999999999998</v>
      </c>
      <c r="E14" s="3">
        <f>SUM(Reports!N6:Q6)</f>
        <v>87.98</v>
      </c>
      <c r="F14" s="3">
        <f>E14*1.45</f>
        <v>127.571</v>
      </c>
      <c r="G14" s="3">
        <f t="shared" ref="G14:J14" si="4">F14*1.45</f>
        <v>184.97794999999999</v>
      </c>
      <c r="H14" s="3">
        <f t="shared" si="4"/>
        <v>268.21802750000001</v>
      </c>
      <c r="I14" s="3">
        <f t="shared" si="4"/>
        <v>388.916139875</v>
      </c>
      <c r="J14" s="3">
        <f t="shared" si="4"/>
        <v>563.92840281874999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</row>
    <row r="15" spans="1:120" s="44" customFormat="1" x14ac:dyDescent="0.15">
      <c r="B15" s="14"/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</row>
    <row r="16" spans="1:120" s="58" customFormat="1" x14ac:dyDescent="0.15">
      <c r="A16" s="58" t="s">
        <v>81</v>
      </c>
      <c r="B16" s="61"/>
      <c r="C16" s="61">
        <f>C64/1000000</f>
        <v>8.9236999999999997E-2</v>
      </c>
      <c r="D16" s="61">
        <f>D64/1000000</f>
        <v>0.12579599999999999</v>
      </c>
      <c r="E16" s="61">
        <f>E64/1000000</f>
        <v>0.152727</v>
      </c>
      <c r="F16" s="59">
        <f>E16*1.2</f>
        <v>0.1832724</v>
      </c>
      <c r="G16" s="59">
        <f t="shared" ref="G16:J16" si="5">F16*1.2</f>
        <v>0.21992687999999999</v>
      </c>
      <c r="H16" s="59">
        <f t="shared" si="5"/>
        <v>0.26391225599999996</v>
      </c>
      <c r="I16" s="59">
        <f t="shared" si="5"/>
        <v>0.31669470719999993</v>
      </c>
      <c r="J16" s="59">
        <f t="shared" si="5"/>
        <v>0.38003364863999989</v>
      </c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  <c r="DA16" s="59"/>
      <c r="DB16" s="59"/>
      <c r="DC16" s="59"/>
      <c r="DD16" s="59"/>
      <c r="DE16" s="59"/>
      <c r="DF16" s="59"/>
      <c r="DG16" s="59"/>
      <c r="DH16" s="59"/>
      <c r="DI16" s="59"/>
      <c r="DJ16" s="59"/>
      <c r="DK16" s="59"/>
      <c r="DL16" s="59"/>
      <c r="DM16" s="59"/>
      <c r="DN16" s="59"/>
      <c r="DO16" s="59"/>
      <c r="DP16" s="59"/>
    </row>
    <row r="17" spans="1:120" s="44" customFormat="1" x14ac:dyDescent="0.15">
      <c r="A17" s="44" t="s">
        <v>114</v>
      </c>
      <c r="B17" s="14"/>
      <c r="C17" s="15">
        <f>SUM(C11:C14)/C16</f>
        <v>6947.0735233143196</v>
      </c>
      <c r="D17" s="15">
        <f>SUM(D11:D14)/D16</f>
        <v>6976.0882698972946</v>
      </c>
      <c r="E17" s="15">
        <f>SUM(E11:E14)/E16</f>
        <v>7926.1754634085655</v>
      </c>
      <c r="F17" s="3">
        <f t="shared" ref="F17:J17" si="6">E17*1.15</f>
        <v>9115.1017829198499</v>
      </c>
      <c r="G17" s="3">
        <f t="shared" si="6"/>
        <v>10482.367050357827</v>
      </c>
      <c r="H17" s="3">
        <f t="shared" si="6"/>
        <v>12054.722107911501</v>
      </c>
      <c r="I17" s="3">
        <f t="shared" si="6"/>
        <v>13862.930424098226</v>
      </c>
      <c r="J17" s="3">
        <f t="shared" si="6"/>
        <v>15942.369987712958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</row>
    <row r="18" spans="1:120" s="68" customFormat="1" x14ac:dyDescent="0.15">
      <c r="F18" s="68" t="s">
        <v>126</v>
      </c>
    </row>
    <row r="19" spans="1:120" x14ac:dyDescent="0.15">
      <c r="A19" s="11" t="s">
        <v>4</v>
      </c>
      <c r="B19" s="12">
        <f>SUM(B11:B14)</f>
        <v>457.05799999999994</v>
      </c>
      <c r="C19" s="12">
        <f>SUM(C11:C14)</f>
        <v>619.93599999999992</v>
      </c>
      <c r="D19" s="12">
        <f>SUM(D11:D14)</f>
        <v>877.56399999999996</v>
      </c>
      <c r="E19" s="12">
        <f>SUM(E11:E14)</f>
        <v>1210.5409999999999</v>
      </c>
      <c r="F19" s="31">
        <f>F16*F17</f>
        <v>1670.5465799999999</v>
      </c>
      <c r="G19" s="31">
        <f t="shared" ref="G19:I19" si="7">G16*G17</f>
        <v>2305.3542803999999</v>
      </c>
      <c r="H19" s="31">
        <f t="shared" si="7"/>
        <v>3181.3889069519992</v>
      </c>
      <c r="I19" s="31">
        <f t="shared" si="7"/>
        <v>4390.3166915937582</v>
      </c>
      <c r="J19" s="31">
        <f>J16*J17</f>
        <v>6058.6370343993858</v>
      </c>
      <c r="K19" s="31">
        <f>J19*1.1</f>
        <v>6664.5007378393248</v>
      </c>
      <c r="L19" s="31">
        <f t="shared" ref="L19:T19" si="8">K19*1.1</f>
        <v>7330.9508116232582</v>
      </c>
      <c r="M19" s="31">
        <f t="shared" si="8"/>
        <v>8064.0458927855843</v>
      </c>
      <c r="N19" s="31">
        <f t="shared" si="8"/>
        <v>8870.4504820641432</v>
      </c>
      <c r="O19" s="31">
        <f t="shared" si="8"/>
        <v>9757.4955302705584</v>
      </c>
      <c r="P19" s="31">
        <f t="shared" si="8"/>
        <v>10733.245083297616</v>
      </c>
      <c r="Q19" s="31">
        <f t="shared" si="8"/>
        <v>11806.569591627378</v>
      </c>
      <c r="R19" s="31">
        <f t="shared" si="8"/>
        <v>12987.226550790117</v>
      </c>
      <c r="S19" s="31">
        <f t="shared" si="8"/>
        <v>14285.94920586913</v>
      </c>
      <c r="T19" s="31">
        <f t="shared" si="8"/>
        <v>15714.544126456045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</row>
    <row r="20" spans="1:120" x14ac:dyDescent="0.15">
      <c r="A20" s="4" t="s">
        <v>5</v>
      </c>
      <c r="B20" s="14">
        <f>SUM(Reports!B12:E12)</f>
        <v>75.783000000000001</v>
      </c>
      <c r="C20" s="14">
        <f>SUM(Reports!F12:I12)</f>
        <v>119.161</v>
      </c>
      <c r="D20" s="3">
        <f>SUM(Reports!J12:M12)</f>
        <v>172.69</v>
      </c>
      <c r="E20" s="3">
        <f>SUM(Reports!N12:Q12)</f>
        <v>210.15600000000001</v>
      </c>
      <c r="F20" s="14">
        <f>F19-F21</f>
        <v>290.01527999999985</v>
      </c>
      <c r="G20" s="14">
        <f t="shared" ref="G20:H20" si="9">G19-G21</f>
        <v>400.22108639999988</v>
      </c>
      <c r="H20" s="14">
        <f t="shared" si="9"/>
        <v>552.30509923199952</v>
      </c>
      <c r="I20" s="14">
        <f t="shared" ref="I20:L20" si="10">I19-I21</f>
        <v>762.18103694015917</v>
      </c>
      <c r="J20" s="14">
        <f>J19-J21</f>
        <v>1051.8098309774196</v>
      </c>
      <c r="K20" s="14">
        <f t="shared" si="10"/>
        <v>1156.9908140751622</v>
      </c>
      <c r="L20" s="14">
        <f t="shared" si="10"/>
        <v>1272.6898954826784</v>
      </c>
      <c r="M20" s="14">
        <f t="shared" ref="M20:T20" si="11">M19-M21</f>
        <v>1399.9588850309465</v>
      </c>
      <c r="N20" s="14">
        <f t="shared" si="11"/>
        <v>1539.9547735340411</v>
      </c>
      <c r="O20" s="14">
        <f t="shared" si="11"/>
        <v>1693.9502508874448</v>
      </c>
      <c r="P20" s="14">
        <f t="shared" si="11"/>
        <v>1863.3452759761894</v>
      </c>
      <c r="Q20" s="14">
        <f t="shared" si="11"/>
        <v>2049.6798035738084</v>
      </c>
      <c r="R20" s="14">
        <f t="shared" si="11"/>
        <v>2254.6477839311901</v>
      </c>
      <c r="S20" s="14">
        <f t="shared" si="11"/>
        <v>2480.1125623243097</v>
      </c>
      <c r="T20" s="14">
        <f t="shared" si="11"/>
        <v>2728.1238185567399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</row>
    <row r="21" spans="1:120" x14ac:dyDescent="0.15">
      <c r="A21" s="4" t="s">
        <v>6</v>
      </c>
      <c r="B21" s="15">
        <f>B19-B20</f>
        <v>381.27499999999992</v>
      </c>
      <c r="C21" s="15">
        <f>C19-C20</f>
        <v>500.77499999999992</v>
      </c>
      <c r="D21" s="15">
        <f>D19-D20</f>
        <v>704.87400000000002</v>
      </c>
      <c r="E21" s="15">
        <f>E19-E20</f>
        <v>1000.385</v>
      </c>
      <c r="F21" s="14">
        <f>F19*E34</f>
        <v>1380.5313000000001</v>
      </c>
      <c r="G21" s="14">
        <f t="shared" ref="G21:T21" si="12">G19*F34</f>
        <v>1905.133194</v>
      </c>
      <c r="H21" s="14">
        <f t="shared" si="12"/>
        <v>2629.0838077199996</v>
      </c>
      <c r="I21" s="14">
        <f t="shared" si="12"/>
        <v>3628.135654653599</v>
      </c>
      <c r="J21" s="14">
        <f t="shared" si="12"/>
        <v>5006.8272034219663</v>
      </c>
      <c r="K21" s="14">
        <f t="shared" si="12"/>
        <v>5507.5099237641625</v>
      </c>
      <c r="L21" s="14">
        <f t="shared" si="12"/>
        <v>6058.2609161405799</v>
      </c>
      <c r="M21" s="14">
        <f t="shared" si="12"/>
        <v>6664.0870077546379</v>
      </c>
      <c r="N21" s="14">
        <f t="shared" si="12"/>
        <v>7330.4957085301021</v>
      </c>
      <c r="O21" s="14">
        <f t="shared" si="12"/>
        <v>8063.5452793831137</v>
      </c>
      <c r="P21" s="14">
        <f t="shared" si="12"/>
        <v>8869.8998073214261</v>
      </c>
      <c r="Q21" s="14">
        <f t="shared" si="12"/>
        <v>9756.8897880535696</v>
      </c>
      <c r="R21" s="14">
        <f t="shared" si="12"/>
        <v>10732.578766858927</v>
      </c>
      <c r="S21" s="14">
        <f t="shared" si="12"/>
        <v>11805.836643544821</v>
      </c>
      <c r="T21" s="14">
        <f t="shared" si="12"/>
        <v>12986.420307899305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</row>
    <row r="22" spans="1:120" x14ac:dyDescent="0.15">
      <c r="A22" s="4" t="s">
        <v>7</v>
      </c>
      <c r="B22" s="14">
        <f>SUM(Reports!B14:E14)</f>
        <v>208.30599999999998</v>
      </c>
      <c r="C22" s="14">
        <f>SUM(Reports!F14:I14)</f>
        <v>310.16899999999998</v>
      </c>
      <c r="D22" s="3">
        <f>SUM(Reports!J14:M14)</f>
        <v>415.77599999999995</v>
      </c>
      <c r="E22" s="3">
        <f>SUM(Reports!N14:Q14)</f>
        <v>578.81299999999999</v>
      </c>
      <c r="F22" s="14">
        <f>E22*1.3</f>
        <v>752.45690000000002</v>
      </c>
      <c r="G22" s="14">
        <f t="shared" ref="G22:J22" si="13">F22*1.3</f>
        <v>978.19397000000004</v>
      </c>
      <c r="H22" s="14">
        <f t="shared" si="13"/>
        <v>1271.652161</v>
      </c>
      <c r="I22" s="14">
        <f t="shared" si="13"/>
        <v>1653.1478093000001</v>
      </c>
      <c r="J22" s="14">
        <f t="shared" si="13"/>
        <v>2149.0921520900001</v>
      </c>
      <c r="K22" s="14">
        <f t="shared" ref="K22:T22" si="14">J22*1.05</f>
        <v>2256.5467596945005</v>
      </c>
      <c r="L22" s="14">
        <f t="shared" si="14"/>
        <v>2369.3740976792255</v>
      </c>
      <c r="M22" s="14">
        <f t="shared" si="14"/>
        <v>2487.842802563187</v>
      </c>
      <c r="N22" s="14">
        <f t="shared" si="14"/>
        <v>2612.2349426913465</v>
      </c>
      <c r="O22" s="14">
        <f t="shared" si="14"/>
        <v>2742.8466898259139</v>
      </c>
      <c r="P22" s="14">
        <f t="shared" si="14"/>
        <v>2879.9890243172099</v>
      </c>
      <c r="Q22" s="14">
        <f t="shared" si="14"/>
        <v>3023.9884755330704</v>
      </c>
      <c r="R22" s="14">
        <f t="shared" si="14"/>
        <v>3175.1878993097239</v>
      </c>
      <c r="S22" s="14">
        <f t="shared" si="14"/>
        <v>3333.9472942752104</v>
      </c>
      <c r="T22" s="14">
        <f t="shared" si="14"/>
        <v>3500.6446589889711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</row>
    <row r="23" spans="1:120" x14ac:dyDescent="0.15">
      <c r="A23" s="4" t="s">
        <v>8</v>
      </c>
      <c r="B23" s="14">
        <f>SUM(Reports!B15:E15)</f>
        <v>93.391000000000005</v>
      </c>
      <c r="C23" s="14">
        <f>SUM(Reports!F15:I15)</f>
        <v>134.90800000000002</v>
      </c>
      <c r="D23" s="3">
        <f>SUM(Reports!J15:M15)</f>
        <v>187.32499999999999</v>
      </c>
      <c r="E23" s="3">
        <f>SUM(Reports!N15:Q15)</f>
        <v>268.75599999999997</v>
      </c>
      <c r="F23" s="14">
        <f>E23*1.4</f>
        <v>376.25839999999994</v>
      </c>
      <c r="G23" s="14">
        <f t="shared" ref="G23:I23" si="15">F23*1.4</f>
        <v>526.76175999999987</v>
      </c>
      <c r="H23" s="14">
        <f t="shared" si="15"/>
        <v>737.46646399999975</v>
      </c>
      <c r="I23" s="14">
        <f t="shared" si="15"/>
        <v>1032.4530495999995</v>
      </c>
      <c r="J23" s="14">
        <f t="shared" ref="J23" si="16">I23*1.4</f>
        <v>1445.4342694399993</v>
      </c>
      <c r="K23" s="14">
        <f t="shared" ref="K23:T23" si="17">J23*0.98</f>
        <v>1416.5255840511993</v>
      </c>
      <c r="L23" s="14">
        <f t="shared" si="17"/>
        <v>1388.1950723701752</v>
      </c>
      <c r="M23" s="14">
        <f t="shared" si="17"/>
        <v>1360.4311709227718</v>
      </c>
      <c r="N23" s="14">
        <f t="shared" si="17"/>
        <v>1333.2225475043163</v>
      </c>
      <c r="O23" s="14">
        <f t="shared" si="17"/>
        <v>1306.5580965542299</v>
      </c>
      <c r="P23" s="14">
        <f t="shared" si="17"/>
        <v>1280.4269346231454</v>
      </c>
      <c r="Q23" s="14">
        <f t="shared" si="17"/>
        <v>1254.8183959306825</v>
      </c>
      <c r="R23" s="14">
        <f t="shared" si="17"/>
        <v>1229.7220280120689</v>
      </c>
      <c r="S23" s="14">
        <f t="shared" si="17"/>
        <v>1205.1275874518276</v>
      </c>
      <c r="T23" s="14">
        <f t="shared" si="17"/>
        <v>1181.025035702791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</row>
    <row r="24" spans="1:120" x14ac:dyDescent="0.15">
      <c r="A24" s="4" t="s">
        <v>9</v>
      </c>
      <c r="B24" s="14">
        <f>SUM(Reports!B16:E16)</f>
        <v>85.457999999999998</v>
      </c>
      <c r="C24" s="14">
        <f>SUM(Reports!F16:I16)</f>
        <v>118.78399999999999</v>
      </c>
      <c r="D24" s="3">
        <f>SUM(Reports!J16:M16)</f>
        <v>151.24199999999999</v>
      </c>
      <c r="E24" s="3">
        <f>SUM(Reports!N16:Q16)</f>
        <v>215.73400000000001</v>
      </c>
      <c r="F24" s="14">
        <f>E24*1.3</f>
        <v>280.45420000000001</v>
      </c>
      <c r="G24" s="14">
        <f t="shared" ref="G24:J24" si="18">F24*1.3</f>
        <v>364.59046000000001</v>
      </c>
      <c r="H24" s="14">
        <f t="shared" si="18"/>
        <v>473.96759800000001</v>
      </c>
      <c r="I24" s="14">
        <f t="shared" si="18"/>
        <v>616.15787740000007</v>
      </c>
      <c r="J24" s="14">
        <f t="shared" si="18"/>
        <v>801.00524062000011</v>
      </c>
      <c r="K24" s="14">
        <f t="shared" ref="K24:T24" si="19">J24*0.98</f>
        <v>784.98513580760005</v>
      </c>
      <c r="L24" s="14">
        <f t="shared" si="19"/>
        <v>769.285433091448</v>
      </c>
      <c r="M24" s="14">
        <f t="shared" si="19"/>
        <v>753.89972442961903</v>
      </c>
      <c r="N24" s="14">
        <f t="shared" si="19"/>
        <v>738.82172994102666</v>
      </c>
      <c r="O24" s="14">
        <f t="shared" si="19"/>
        <v>724.04529534220615</v>
      </c>
      <c r="P24" s="14">
        <f t="shared" si="19"/>
        <v>709.56438943536205</v>
      </c>
      <c r="Q24" s="14">
        <f t="shared" si="19"/>
        <v>695.37310164665485</v>
      </c>
      <c r="R24" s="14">
        <f t="shared" si="19"/>
        <v>681.46563961372169</v>
      </c>
      <c r="S24" s="14">
        <f t="shared" si="19"/>
        <v>667.8363268214473</v>
      </c>
      <c r="T24" s="14">
        <f t="shared" si="19"/>
        <v>654.47960028501836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</row>
    <row r="25" spans="1:120" x14ac:dyDescent="0.15">
      <c r="A25" s="4" t="s">
        <v>10</v>
      </c>
      <c r="B25" s="15">
        <f>SUM(B22:B24)</f>
        <v>387.15499999999997</v>
      </c>
      <c r="C25" s="15">
        <f>SUM(C22:C24)</f>
        <v>563.86099999999999</v>
      </c>
      <c r="D25" s="15">
        <f>SUM(D22:D24)</f>
        <v>754.34299999999985</v>
      </c>
      <c r="E25" s="15">
        <f>SUM(E22:E24)</f>
        <v>1063.3029999999999</v>
      </c>
      <c r="F25" s="14">
        <f t="shared" ref="F25:H25" si="20">SUM(F22:F24)</f>
        <v>1409.1695</v>
      </c>
      <c r="G25" s="14">
        <f t="shared" si="20"/>
        <v>1869.54619</v>
      </c>
      <c r="H25" s="14">
        <f t="shared" si="20"/>
        <v>2483.0862229999998</v>
      </c>
      <c r="I25" s="14">
        <f t="shared" ref="I25:L25" si="21">SUM(I22:I24)</f>
        <v>3301.7587362999993</v>
      </c>
      <c r="J25" s="14">
        <f t="shared" si="21"/>
        <v>4395.5316621499996</v>
      </c>
      <c r="K25" s="14">
        <f t="shared" si="21"/>
        <v>4458.0574795533003</v>
      </c>
      <c r="L25" s="14">
        <f t="shared" si="21"/>
        <v>4526.8546031408487</v>
      </c>
      <c r="M25" s="14">
        <f t="shared" ref="M25:T25" si="22">SUM(M22:M24)</f>
        <v>4602.1736979155776</v>
      </c>
      <c r="N25" s="14">
        <f t="shared" si="22"/>
        <v>4684.2792201366901</v>
      </c>
      <c r="O25" s="14">
        <f t="shared" si="22"/>
        <v>4773.4500817223498</v>
      </c>
      <c r="P25" s="14">
        <f t="shared" si="22"/>
        <v>4869.9803483757169</v>
      </c>
      <c r="Q25" s="14">
        <f t="shared" si="22"/>
        <v>4974.1799731104074</v>
      </c>
      <c r="R25" s="14">
        <f t="shared" si="22"/>
        <v>5086.3755669355141</v>
      </c>
      <c r="S25" s="14">
        <f t="shared" si="22"/>
        <v>5206.9112085484849</v>
      </c>
      <c r="T25" s="14">
        <f t="shared" si="22"/>
        <v>5336.1492949767799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</row>
    <row r="26" spans="1:120" x14ac:dyDescent="0.15">
      <c r="A26" s="4" t="s">
        <v>11</v>
      </c>
      <c r="B26" s="15">
        <f>B21-B25</f>
        <v>-5.8800000000000523</v>
      </c>
      <c r="C26" s="15">
        <f>C21-C25</f>
        <v>-63.08600000000007</v>
      </c>
      <c r="D26" s="15">
        <f>D21-D25</f>
        <v>-49.468999999999824</v>
      </c>
      <c r="E26" s="15">
        <f>E21-E25</f>
        <v>-62.917999999999893</v>
      </c>
      <c r="F26" s="14">
        <f t="shared" ref="F26:H26" si="23">F21-F25</f>
        <v>-28.63819999999987</v>
      </c>
      <c r="G26" s="14">
        <f t="shared" si="23"/>
        <v>35.587003999999979</v>
      </c>
      <c r="H26" s="14">
        <f t="shared" si="23"/>
        <v>145.99758471999985</v>
      </c>
      <c r="I26" s="14">
        <f t="shared" ref="I26:L26" si="24">I21-I25</f>
        <v>326.37691835359965</v>
      </c>
      <c r="J26" s="14">
        <f t="shared" si="24"/>
        <v>611.29554127196661</v>
      </c>
      <c r="K26" s="14">
        <f t="shared" si="24"/>
        <v>1049.4524442108623</v>
      </c>
      <c r="L26" s="14">
        <f t="shared" si="24"/>
        <v>1531.4063129997312</v>
      </c>
      <c r="M26" s="14">
        <f t="shared" ref="M26:T26" si="25">M21-M25</f>
        <v>2061.9133098390603</v>
      </c>
      <c r="N26" s="14">
        <f t="shared" si="25"/>
        <v>2646.216488393412</v>
      </c>
      <c r="O26" s="14">
        <f t="shared" si="25"/>
        <v>3290.0951976607639</v>
      </c>
      <c r="P26" s="14">
        <f t="shared" si="25"/>
        <v>3999.9194589457093</v>
      </c>
      <c r="Q26" s="14">
        <f t="shared" si="25"/>
        <v>4782.7098149431622</v>
      </c>
      <c r="R26" s="14">
        <f t="shared" si="25"/>
        <v>5646.2031999234132</v>
      </c>
      <c r="S26" s="14">
        <f t="shared" si="25"/>
        <v>6598.9254349963358</v>
      </c>
      <c r="T26" s="14">
        <f t="shared" si="25"/>
        <v>7650.2710129225252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</row>
    <row r="27" spans="1:120" x14ac:dyDescent="0.15">
      <c r="A27" s="4" t="s">
        <v>12</v>
      </c>
      <c r="B27" s="14">
        <f>SUM(Reports!B19:E19)</f>
        <v>0.97299999999999998</v>
      </c>
      <c r="C27" s="14">
        <f>SUM(Reports!F19:I19)</f>
        <v>3.4339999999999997</v>
      </c>
      <c r="D27" s="3">
        <f>SUM(Reports!J19:M19)</f>
        <v>-12.086</v>
      </c>
      <c r="E27" s="3">
        <f>SUM(Reports!N19:Q19)</f>
        <v>-541.77600000000007</v>
      </c>
      <c r="F27" s="14">
        <f>E43*($F$3)</f>
        <v>42.95</v>
      </c>
      <c r="G27" s="14">
        <f t="shared" ref="G27:T27" si="26">F43*($F$3)</f>
        <v>43.558251500000011</v>
      </c>
      <c r="H27" s="14">
        <f t="shared" si="26"/>
        <v>46.921924858750003</v>
      </c>
      <c r="I27" s="14">
        <f t="shared" si="26"/>
        <v>55.121004015846871</v>
      </c>
      <c r="J27" s="14">
        <f t="shared" si="26"/>
        <v>71.334665716548358</v>
      </c>
      <c r="K27" s="14">
        <f t="shared" si="26"/>
        <v>100.34644951356024</v>
      </c>
      <c r="L27" s="14">
        <f t="shared" si="26"/>
        <v>149.21290249684822</v>
      </c>
      <c r="M27" s="14">
        <f t="shared" si="26"/>
        <v>220.63921915545285</v>
      </c>
      <c r="N27" s="14">
        <f t="shared" si="26"/>
        <v>317.64770163771965</v>
      </c>
      <c r="O27" s="14">
        <f t="shared" si="26"/>
        <v>443.61192971404273</v>
      </c>
      <c r="P27" s="14">
        <f t="shared" si="26"/>
        <v>602.29448262747201</v>
      </c>
      <c r="Q27" s="14">
        <f t="shared" si="26"/>
        <v>797.88857514433221</v>
      </c>
      <c r="R27" s="14">
        <f t="shared" si="26"/>
        <v>1035.0640067230506</v>
      </c>
      <c r="S27" s="14">
        <f t="shared" si="26"/>
        <v>1319.0178630055254</v>
      </c>
      <c r="T27" s="14">
        <f t="shared" si="26"/>
        <v>1655.5304531706047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</row>
    <row r="28" spans="1:120" x14ac:dyDescent="0.15">
      <c r="A28" s="4" t="s">
        <v>13</v>
      </c>
      <c r="B28" s="15">
        <f>SUM(Reports!B20:E20)</f>
        <v>-4.9069999999999956</v>
      </c>
      <c r="C28" s="15">
        <f>C26+C27</f>
        <v>-59.652000000000072</v>
      </c>
      <c r="D28" s="15">
        <f>D26+D27</f>
        <v>-61.554999999999822</v>
      </c>
      <c r="E28" s="15">
        <f>E26+E27</f>
        <v>-604.69399999999996</v>
      </c>
      <c r="F28" s="14">
        <f t="shared" ref="F28:H28" si="27">F26+F27</f>
        <v>14.311800000000133</v>
      </c>
      <c r="G28" s="14">
        <f t="shared" si="27"/>
        <v>79.14525549999999</v>
      </c>
      <c r="H28" s="14">
        <f t="shared" si="27"/>
        <v>192.91950957874985</v>
      </c>
      <c r="I28" s="14">
        <f t="shared" ref="I28:L28" si="28">I26+I27</f>
        <v>381.49792236944654</v>
      </c>
      <c r="J28" s="14">
        <f t="shared" si="28"/>
        <v>682.63020698851494</v>
      </c>
      <c r="K28" s="14">
        <f t="shared" si="28"/>
        <v>1149.7988937244224</v>
      </c>
      <c r="L28" s="14">
        <f t="shared" si="28"/>
        <v>1680.6192154965795</v>
      </c>
      <c r="M28" s="14">
        <f t="shared" ref="M28:T28" si="29">M26+M27</f>
        <v>2282.5525289945131</v>
      </c>
      <c r="N28" s="14">
        <f t="shared" si="29"/>
        <v>2963.8641900311318</v>
      </c>
      <c r="O28" s="14">
        <f t="shared" si="29"/>
        <v>3733.7071273748065</v>
      </c>
      <c r="P28" s="14">
        <f t="shared" si="29"/>
        <v>4602.2139415731817</v>
      </c>
      <c r="Q28" s="14">
        <f t="shared" si="29"/>
        <v>5580.5983900874944</v>
      </c>
      <c r="R28" s="14">
        <f t="shared" si="29"/>
        <v>6681.2672066464638</v>
      </c>
      <c r="S28" s="14">
        <f t="shared" si="29"/>
        <v>7917.943298001861</v>
      </c>
      <c r="T28" s="14">
        <f t="shared" si="29"/>
        <v>9305.8014660931294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</row>
    <row r="29" spans="1:120" x14ac:dyDescent="0.15">
      <c r="A29" s="4" t="s">
        <v>14</v>
      </c>
      <c r="B29" s="14">
        <f>SUM(Reports!B21:E21)</f>
        <v>-9.2800000000000011</v>
      </c>
      <c r="C29" s="14">
        <f>SUM(Reports!F21:I21)</f>
        <v>-17.148</v>
      </c>
      <c r="D29" s="3">
        <f>SUM(Reports!J21:M21)</f>
        <v>54.241</v>
      </c>
      <c r="E29" s="3">
        <f>SUM(Reports!N21:Q21)</f>
        <v>32.409999999999997</v>
      </c>
      <c r="F29" s="14">
        <f>F28*0.15</f>
        <v>2.1467700000000201</v>
      </c>
      <c r="G29" s="14">
        <f t="shared" ref="G29:T29" si="30">G28*0.15</f>
        <v>11.871788324999999</v>
      </c>
      <c r="H29" s="14">
        <f t="shared" si="30"/>
        <v>28.937926436812475</v>
      </c>
      <c r="I29" s="14">
        <f t="shared" si="30"/>
        <v>57.22468835541698</v>
      </c>
      <c r="J29" s="14">
        <f t="shared" si="30"/>
        <v>102.39453104827724</v>
      </c>
      <c r="K29" s="14">
        <f t="shared" si="30"/>
        <v>172.46983405866337</v>
      </c>
      <c r="L29" s="14">
        <f t="shared" si="30"/>
        <v>252.09288232448691</v>
      </c>
      <c r="M29" s="14">
        <f t="shared" si="30"/>
        <v>342.38287934917696</v>
      </c>
      <c r="N29" s="14">
        <f t="shared" si="30"/>
        <v>444.57962850466976</v>
      </c>
      <c r="O29" s="14">
        <f t="shared" si="30"/>
        <v>560.056069106221</v>
      </c>
      <c r="P29" s="14">
        <f t="shared" si="30"/>
        <v>690.33209123597726</v>
      </c>
      <c r="Q29" s="14">
        <f t="shared" si="30"/>
        <v>837.08975851312414</v>
      </c>
      <c r="R29" s="14">
        <f t="shared" si="30"/>
        <v>1002.1900809969695</v>
      </c>
      <c r="S29" s="14">
        <f t="shared" si="30"/>
        <v>1187.691494700279</v>
      </c>
      <c r="T29" s="14">
        <f t="shared" si="30"/>
        <v>1395.8702199139693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</row>
    <row r="30" spans="1:120" s="11" customFormat="1" x14ac:dyDescent="0.15">
      <c r="A30" s="11" t="s">
        <v>15</v>
      </c>
      <c r="B30" s="12">
        <f>B28-B29</f>
        <v>4.3730000000000055</v>
      </c>
      <c r="C30" s="12">
        <f>C28-C29</f>
        <v>-42.504000000000076</v>
      </c>
      <c r="D30" s="12">
        <f>D28-D29</f>
        <v>-115.79599999999982</v>
      </c>
      <c r="E30" s="12">
        <f>E28-E29</f>
        <v>-637.10399999999993</v>
      </c>
      <c r="F30" s="12">
        <f t="shared" ref="F30:H30" si="31">F28-F29</f>
        <v>12.165030000000113</v>
      </c>
      <c r="G30" s="12">
        <f t="shared" si="31"/>
        <v>67.273467174999993</v>
      </c>
      <c r="H30" s="12">
        <f t="shared" si="31"/>
        <v>163.98158314193739</v>
      </c>
      <c r="I30" s="12">
        <f t="shared" ref="I30:L30" si="32">I28-I29</f>
        <v>324.27323401402958</v>
      </c>
      <c r="J30" s="12">
        <f t="shared" si="32"/>
        <v>580.23567594023768</v>
      </c>
      <c r="K30" s="12">
        <f t="shared" si="32"/>
        <v>977.32905966575913</v>
      </c>
      <c r="L30" s="12">
        <f t="shared" si="32"/>
        <v>1428.5263331720926</v>
      </c>
      <c r="M30" s="12">
        <f t="shared" ref="M30:T30" si="33">M28-M29</f>
        <v>1940.169649645336</v>
      </c>
      <c r="N30" s="12">
        <f t="shared" si="33"/>
        <v>2519.2845615264619</v>
      </c>
      <c r="O30" s="12">
        <f t="shared" si="33"/>
        <v>3173.6510582685855</v>
      </c>
      <c r="P30" s="12">
        <f t="shared" si="33"/>
        <v>3911.8818503372045</v>
      </c>
      <c r="Q30" s="12">
        <f t="shared" si="33"/>
        <v>4743.5086315743702</v>
      </c>
      <c r="R30" s="12">
        <f t="shared" si="33"/>
        <v>5679.0771256494945</v>
      </c>
      <c r="S30" s="12">
        <f t="shared" si="33"/>
        <v>6730.2518033015822</v>
      </c>
      <c r="T30" s="12">
        <f t="shared" si="33"/>
        <v>7909.9312461791596</v>
      </c>
      <c r="U30" s="12">
        <f t="shared" ref="U30:CG30" si="34">T30*($F$2+1)</f>
        <v>7870.3815899482643</v>
      </c>
      <c r="V30" s="12">
        <f t="shared" si="34"/>
        <v>7831.0296819985233</v>
      </c>
      <c r="W30" s="12">
        <f t="shared" si="34"/>
        <v>7791.8745335885305</v>
      </c>
      <c r="X30" s="12">
        <f t="shared" si="34"/>
        <v>7752.9151609205883</v>
      </c>
      <c r="Y30" s="12">
        <f t="shared" si="34"/>
        <v>7714.1505851159855</v>
      </c>
      <c r="Z30" s="12">
        <f t="shared" si="34"/>
        <v>7675.5798321904058</v>
      </c>
      <c r="AA30" s="12">
        <f t="shared" si="34"/>
        <v>7637.2019330294534</v>
      </c>
      <c r="AB30" s="12">
        <f t="shared" si="34"/>
        <v>7599.0159233643062</v>
      </c>
      <c r="AC30" s="12">
        <f t="shared" si="34"/>
        <v>7561.0208437474848</v>
      </c>
      <c r="AD30" s="12">
        <f t="shared" si="34"/>
        <v>7523.2157395287477</v>
      </c>
      <c r="AE30" s="12">
        <f t="shared" si="34"/>
        <v>7485.5996608311043</v>
      </c>
      <c r="AF30" s="12">
        <f t="shared" si="34"/>
        <v>7448.1716625269491</v>
      </c>
      <c r="AG30" s="12">
        <f t="shared" si="34"/>
        <v>7410.9308042143148</v>
      </c>
      <c r="AH30" s="12">
        <f t="shared" si="34"/>
        <v>7373.8761501932431</v>
      </c>
      <c r="AI30" s="12">
        <f t="shared" si="34"/>
        <v>7337.0067694422769</v>
      </c>
      <c r="AJ30" s="12">
        <f t="shared" si="34"/>
        <v>7300.3217355950655</v>
      </c>
      <c r="AK30" s="12">
        <f t="shared" si="34"/>
        <v>7263.8201269170904</v>
      </c>
      <c r="AL30" s="12">
        <f t="shared" si="34"/>
        <v>7227.5010262825053</v>
      </c>
      <c r="AM30" s="12">
        <f t="shared" si="34"/>
        <v>7191.3635211510928</v>
      </c>
      <c r="AN30" s="12">
        <f t="shared" si="34"/>
        <v>7155.4067035453372</v>
      </c>
      <c r="AO30" s="12">
        <f t="shared" si="34"/>
        <v>7119.6296700276107</v>
      </c>
      <c r="AP30" s="12">
        <f t="shared" si="34"/>
        <v>7084.0315216774725</v>
      </c>
      <c r="AQ30" s="12">
        <f t="shared" si="34"/>
        <v>7048.6113640690855</v>
      </c>
      <c r="AR30" s="12">
        <f t="shared" si="34"/>
        <v>7013.3683072487402</v>
      </c>
      <c r="AS30" s="12">
        <f t="shared" si="34"/>
        <v>6978.3014657124968</v>
      </c>
      <c r="AT30" s="12">
        <f t="shared" si="34"/>
        <v>6943.4099583839343</v>
      </c>
      <c r="AU30" s="12">
        <f t="shared" si="34"/>
        <v>6908.6929085920146</v>
      </c>
      <c r="AV30" s="12">
        <f t="shared" si="34"/>
        <v>6874.1494440490542</v>
      </c>
      <c r="AW30" s="12">
        <f t="shared" si="34"/>
        <v>6839.7786968288092</v>
      </c>
      <c r="AX30" s="12">
        <f t="shared" si="34"/>
        <v>6805.5798033446654</v>
      </c>
      <c r="AY30" s="12">
        <f t="shared" si="34"/>
        <v>6771.5519043279419</v>
      </c>
      <c r="AZ30" s="12">
        <f t="shared" si="34"/>
        <v>6737.6941448063026</v>
      </c>
      <c r="BA30" s="12">
        <f t="shared" si="34"/>
        <v>6704.0056740822711</v>
      </c>
      <c r="BB30" s="12">
        <f t="shared" si="34"/>
        <v>6670.4856457118594</v>
      </c>
      <c r="BC30" s="12">
        <f t="shared" si="34"/>
        <v>6637.1332174833005</v>
      </c>
      <c r="BD30" s="12">
        <f t="shared" si="34"/>
        <v>6603.9475513958841</v>
      </c>
      <c r="BE30" s="12">
        <f t="shared" si="34"/>
        <v>6570.9278136389048</v>
      </c>
      <c r="BF30" s="12">
        <f t="shared" si="34"/>
        <v>6538.0731745707099</v>
      </c>
      <c r="BG30" s="12">
        <f t="shared" si="34"/>
        <v>6505.3828086978565</v>
      </c>
      <c r="BH30" s="12">
        <f t="shared" si="34"/>
        <v>6472.8558946543671</v>
      </c>
      <c r="BI30" s="12">
        <f t="shared" si="34"/>
        <v>6440.4916151810949</v>
      </c>
      <c r="BJ30" s="12">
        <f t="shared" si="34"/>
        <v>6408.2891571051896</v>
      </c>
      <c r="BK30" s="12">
        <f t="shared" si="34"/>
        <v>6376.2477113196637</v>
      </c>
      <c r="BL30" s="12">
        <f t="shared" si="34"/>
        <v>6344.3664727630658</v>
      </c>
      <c r="BM30" s="12">
        <f t="shared" si="34"/>
        <v>6312.6446403992504</v>
      </c>
      <c r="BN30" s="12">
        <f t="shared" si="34"/>
        <v>6281.0814171972543</v>
      </c>
      <c r="BO30" s="12">
        <f t="shared" si="34"/>
        <v>6249.6760101112677</v>
      </c>
      <c r="BP30" s="12">
        <f t="shared" si="34"/>
        <v>6218.4276300607116</v>
      </c>
      <c r="BQ30" s="12">
        <f t="shared" si="34"/>
        <v>6187.3354919104077</v>
      </c>
      <c r="BR30" s="12">
        <f t="shared" si="34"/>
        <v>6156.3988144508558</v>
      </c>
      <c r="BS30" s="12">
        <f t="shared" si="34"/>
        <v>6125.616820378601</v>
      </c>
      <c r="BT30" s="12">
        <f t="shared" si="34"/>
        <v>6094.9887362767076</v>
      </c>
      <c r="BU30" s="12">
        <f t="shared" si="34"/>
        <v>6064.513792595324</v>
      </c>
      <c r="BV30" s="12">
        <f t="shared" si="34"/>
        <v>6034.1912236323478</v>
      </c>
      <c r="BW30" s="12">
        <f t="shared" si="34"/>
        <v>6004.0202675141863</v>
      </c>
      <c r="BX30" s="12">
        <f t="shared" si="34"/>
        <v>5974.0001661766155</v>
      </c>
      <c r="BY30" s="12">
        <f t="shared" si="34"/>
        <v>5944.1301653457322</v>
      </c>
      <c r="BZ30" s="12">
        <f t="shared" si="34"/>
        <v>5914.4095145190031</v>
      </c>
      <c r="CA30" s="12">
        <f t="shared" si="34"/>
        <v>5884.8374669464083</v>
      </c>
      <c r="CB30" s="12">
        <f t="shared" si="34"/>
        <v>5855.4132796116764</v>
      </c>
      <c r="CC30" s="12">
        <f t="shared" si="34"/>
        <v>5826.1362132136182</v>
      </c>
      <c r="CD30" s="12">
        <f t="shared" si="34"/>
        <v>5797.0055321475502</v>
      </c>
      <c r="CE30" s="12">
        <f t="shared" si="34"/>
        <v>5768.0205044868126</v>
      </c>
      <c r="CF30" s="12">
        <f t="shared" si="34"/>
        <v>5739.1804019643787</v>
      </c>
      <c r="CG30" s="12">
        <f t="shared" si="34"/>
        <v>5710.4844999545567</v>
      </c>
      <c r="CH30" s="12">
        <f t="shared" ref="CH30:DP30" si="35">CG30*($F$2+1)</f>
        <v>5681.9320774547841</v>
      </c>
      <c r="CI30" s="12">
        <f t="shared" si="35"/>
        <v>5653.5224170675101</v>
      </c>
      <c r="CJ30" s="12">
        <f t="shared" si="35"/>
        <v>5625.2548049821726</v>
      </c>
      <c r="CK30" s="12">
        <f t="shared" si="35"/>
        <v>5597.1285309572613</v>
      </c>
      <c r="CL30" s="12">
        <f t="shared" si="35"/>
        <v>5569.1428883024746</v>
      </c>
      <c r="CM30" s="12">
        <f t="shared" si="35"/>
        <v>5541.2971738609622</v>
      </c>
      <c r="CN30" s="12">
        <f t="shared" si="35"/>
        <v>5513.5906879916574</v>
      </c>
      <c r="CO30" s="12">
        <f t="shared" si="35"/>
        <v>5486.0227345516987</v>
      </c>
      <c r="CP30" s="12">
        <f t="shared" si="35"/>
        <v>5458.5926208789406</v>
      </c>
      <c r="CQ30" s="12">
        <f t="shared" si="35"/>
        <v>5431.2996577745462</v>
      </c>
      <c r="CR30" s="12">
        <f t="shared" si="35"/>
        <v>5404.1431594856731</v>
      </c>
      <c r="CS30" s="12">
        <f t="shared" si="35"/>
        <v>5377.1224436882449</v>
      </c>
      <c r="CT30" s="12">
        <f t="shared" si="35"/>
        <v>5350.2368314698033</v>
      </c>
      <c r="CU30" s="12">
        <f t="shared" si="35"/>
        <v>5323.4856473124546</v>
      </c>
      <c r="CV30" s="12">
        <f t="shared" si="35"/>
        <v>5296.8682190758927</v>
      </c>
      <c r="CW30" s="12">
        <f t="shared" si="35"/>
        <v>5270.3838779805128</v>
      </c>
      <c r="CX30" s="12">
        <f t="shared" si="35"/>
        <v>5244.03195859061</v>
      </c>
      <c r="CY30" s="12">
        <f t="shared" si="35"/>
        <v>5217.8117987976566</v>
      </c>
      <c r="CZ30" s="12">
        <f t="shared" si="35"/>
        <v>5191.7227398036684</v>
      </c>
      <c r="DA30" s="12">
        <f t="shared" si="35"/>
        <v>5165.7641261046501</v>
      </c>
      <c r="DB30" s="12">
        <f t="shared" si="35"/>
        <v>5139.9353054741268</v>
      </c>
      <c r="DC30" s="12">
        <f t="shared" si="35"/>
        <v>5114.2356289467562</v>
      </c>
      <c r="DD30" s="12">
        <f t="shared" si="35"/>
        <v>5088.6644508020227</v>
      </c>
      <c r="DE30" s="12">
        <f t="shared" si="35"/>
        <v>5063.2211285480125</v>
      </c>
      <c r="DF30" s="12">
        <f t="shared" si="35"/>
        <v>5037.9050229052727</v>
      </c>
      <c r="DG30" s="12">
        <f t="shared" si="35"/>
        <v>5012.7154977907467</v>
      </c>
      <c r="DH30" s="12">
        <f t="shared" si="35"/>
        <v>4987.6519203017933</v>
      </c>
      <c r="DI30" s="12">
        <f t="shared" si="35"/>
        <v>4962.713660700284</v>
      </c>
      <c r="DJ30" s="12">
        <f t="shared" si="35"/>
        <v>4937.9000923967824</v>
      </c>
      <c r="DK30" s="12">
        <f t="shared" si="35"/>
        <v>4913.2105919347987</v>
      </c>
      <c r="DL30" s="12">
        <f t="shared" si="35"/>
        <v>4888.6445389751243</v>
      </c>
      <c r="DM30" s="12">
        <f t="shared" si="35"/>
        <v>4864.2013162802486</v>
      </c>
      <c r="DN30" s="12">
        <f t="shared" si="35"/>
        <v>4839.8803096988477</v>
      </c>
      <c r="DO30" s="12">
        <f t="shared" si="35"/>
        <v>4815.6809081503534</v>
      </c>
      <c r="DP30" s="12">
        <f t="shared" si="35"/>
        <v>4791.6025036096016</v>
      </c>
    </row>
    <row r="31" spans="1:120" x14ac:dyDescent="0.15">
      <c r="A31" s="4" t="s">
        <v>16</v>
      </c>
      <c r="B31" s="18">
        <f>B30/B32</f>
        <v>2.0386471177828051E-2</v>
      </c>
      <c r="C31" s="18">
        <f>C30/C32</f>
        <v>-0.18823321007063651</v>
      </c>
      <c r="D31" s="18">
        <f>D30/D32</f>
        <v>-0.49441944271282473</v>
      </c>
      <c r="E31" s="18">
        <f>E30/E32</f>
        <v>-2.6435850622406636</v>
      </c>
      <c r="F31" s="45">
        <f t="shared" ref="F31:H31" si="36">F30/F32</f>
        <v>5.0477302904564786E-2</v>
      </c>
      <c r="G31" s="45">
        <f t="shared" si="36"/>
        <v>0.27914301732365143</v>
      </c>
      <c r="H31" s="45">
        <f t="shared" si="36"/>
        <v>0.68042150681301827</v>
      </c>
      <c r="I31" s="45">
        <f t="shared" ref="I31:L31" si="37">I30/I32</f>
        <v>1.345532091344521</v>
      </c>
      <c r="J31" s="45">
        <f t="shared" si="37"/>
        <v>2.4076169126150941</v>
      </c>
      <c r="K31" s="45">
        <f t="shared" si="37"/>
        <v>4.055307301517673</v>
      </c>
      <c r="L31" s="45">
        <f t="shared" si="37"/>
        <v>5.9274951583904256</v>
      </c>
      <c r="M31" s="45">
        <f t="shared" ref="M31:T31" si="38">M30/M32</f>
        <v>8.0504964715574108</v>
      </c>
      <c r="N31" s="45">
        <f t="shared" si="38"/>
        <v>10.453462910898182</v>
      </c>
      <c r="O31" s="45">
        <f t="shared" si="38"/>
        <v>13.168676590326081</v>
      </c>
      <c r="P31" s="45">
        <f t="shared" si="38"/>
        <v>16.231874897664749</v>
      </c>
      <c r="Q31" s="45">
        <f t="shared" si="38"/>
        <v>19.682608429769171</v>
      </c>
      <c r="R31" s="45">
        <f t="shared" si="38"/>
        <v>23.56463537613898</v>
      </c>
      <c r="S31" s="45">
        <f t="shared" si="38"/>
        <v>27.926356030297022</v>
      </c>
      <c r="T31" s="45">
        <f t="shared" si="38"/>
        <v>32.821291477921825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</row>
    <row r="32" spans="1:120" x14ac:dyDescent="0.15">
      <c r="A32" s="4" t="s">
        <v>17</v>
      </c>
      <c r="B32" s="14">
        <f>Reports!E24</f>
        <v>214.505</v>
      </c>
      <c r="C32" s="14">
        <f>Reports!I24</f>
        <v>225.80500000000001</v>
      </c>
      <c r="D32" s="14">
        <f>Reports!M24</f>
        <v>234.20599999999999</v>
      </c>
      <c r="E32" s="14">
        <f>Reports!Q24</f>
        <v>241</v>
      </c>
      <c r="F32" s="14">
        <f t="shared" ref="F32" si="39">E32</f>
        <v>241</v>
      </c>
      <c r="G32" s="14">
        <f t="shared" ref="G32" si="40">F32</f>
        <v>241</v>
      </c>
      <c r="H32" s="14">
        <f t="shared" ref="H32" si="41">G32</f>
        <v>241</v>
      </c>
      <c r="I32" s="14">
        <f t="shared" ref="I32" si="42">H32</f>
        <v>241</v>
      </c>
      <c r="J32" s="14">
        <f t="shared" ref="J32" si="43">I32</f>
        <v>241</v>
      </c>
      <c r="K32" s="14">
        <f t="shared" ref="K32" si="44">J32</f>
        <v>241</v>
      </c>
      <c r="L32" s="14">
        <f t="shared" ref="L32" si="45">K32</f>
        <v>241</v>
      </c>
      <c r="M32" s="14">
        <f t="shared" ref="M32" si="46">L32</f>
        <v>241</v>
      </c>
      <c r="N32" s="14">
        <f t="shared" ref="N32" si="47">M32</f>
        <v>241</v>
      </c>
      <c r="O32" s="14">
        <f t="shared" ref="O32" si="48">N32</f>
        <v>241</v>
      </c>
      <c r="P32" s="14">
        <f t="shared" ref="P32" si="49">O32</f>
        <v>241</v>
      </c>
      <c r="Q32" s="14">
        <f t="shared" ref="Q32" si="50">P32</f>
        <v>241</v>
      </c>
      <c r="R32" s="14">
        <f t="shared" ref="R32" si="51">Q32</f>
        <v>241</v>
      </c>
      <c r="S32" s="14">
        <f t="shared" ref="S32" si="52">R32</f>
        <v>241</v>
      </c>
      <c r="T32" s="14">
        <f t="shared" ref="T32" si="53">S32</f>
        <v>241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</row>
    <row r="33" spans="1:120" x14ac:dyDescent="0.1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</row>
    <row r="34" spans="1:120" x14ac:dyDescent="0.15">
      <c r="A34" s="4" t="s">
        <v>19</v>
      </c>
      <c r="B34" s="25">
        <f t="shared" ref="B34:T34" si="54">IFERROR(B21/B19,0)</f>
        <v>0.83419390974449625</v>
      </c>
      <c r="C34" s="25">
        <f t="shared" si="54"/>
        <v>0.80778499716099728</v>
      </c>
      <c r="D34" s="25">
        <f t="shared" si="54"/>
        <v>0.8032166314935435</v>
      </c>
      <c r="E34" s="25">
        <f t="shared" si="54"/>
        <v>0.82639497546964547</v>
      </c>
      <c r="F34" s="25">
        <f t="shared" si="54"/>
        <v>0.82639497546964547</v>
      </c>
      <c r="G34" s="25">
        <f t="shared" si="54"/>
        <v>0.82639497546964547</v>
      </c>
      <c r="H34" s="25">
        <f t="shared" si="54"/>
        <v>0.82639497546964547</v>
      </c>
      <c r="I34" s="25">
        <f t="shared" si="54"/>
        <v>0.82639497546964547</v>
      </c>
      <c r="J34" s="25">
        <f t="shared" si="54"/>
        <v>0.82639497546964547</v>
      </c>
      <c r="K34" s="25">
        <f t="shared" si="54"/>
        <v>0.82639497546964547</v>
      </c>
      <c r="L34" s="25">
        <f t="shared" si="54"/>
        <v>0.82639497546964547</v>
      </c>
      <c r="M34" s="25">
        <f t="shared" si="54"/>
        <v>0.82639497546964547</v>
      </c>
      <c r="N34" s="25">
        <f t="shared" si="54"/>
        <v>0.82639497546964547</v>
      </c>
      <c r="O34" s="25">
        <f t="shared" si="54"/>
        <v>0.82639497546964547</v>
      </c>
      <c r="P34" s="25">
        <f t="shared" si="54"/>
        <v>0.82639497546964547</v>
      </c>
      <c r="Q34" s="25">
        <f t="shared" si="54"/>
        <v>0.82639497546964547</v>
      </c>
      <c r="R34" s="25">
        <f t="shared" si="54"/>
        <v>0.82639497546964547</v>
      </c>
      <c r="S34" s="25">
        <f t="shared" si="54"/>
        <v>0.82639497546964547</v>
      </c>
      <c r="T34" s="25">
        <f t="shared" si="54"/>
        <v>0.82639497546964547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</row>
    <row r="35" spans="1:120" x14ac:dyDescent="0.15">
      <c r="A35" s="4" t="s">
        <v>20</v>
      </c>
      <c r="B35" s="28">
        <f t="shared" ref="B35:T35" si="55">IFERROR(B26/B19,0)</f>
        <v>-1.2864888044843441E-2</v>
      </c>
      <c r="C35" s="28">
        <f t="shared" si="55"/>
        <v>-0.10176211737985869</v>
      </c>
      <c r="D35" s="28">
        <f t="shared" si="55"/>
        <v>-5.6370817399072688E-2</v>
      </c>
      <c r="E35" s="28">
        <f t="shared" si="55"/>
        <v>-5.1975108649768904E-2</v>
      </c>
      <c r="F35" s="28">
        <f t="shared" si="55"/>
        <v>-1.7143011959594608E-2</v>
      </c>
      <c r="G35" s="28">
        <f t="shared" si="55"/>
        <v>1.5436674658883801E-2</v>
      </c>
      <c r="H35" s="28">
        <f t="shared" si="55"/>
        <v>4.5891146599827716E-2</v>
      </c>
      <c r="I35" s="28">
        <f t="shared" si="55"/>
        <v>7.4340176638856406E-2</v>
      </c>
      <c r="J35" s="28">
        <f t="shared" si="55"/>
        <v>0.10089654452002776</v>
      </c>
      <c r="K35" s="28">
        <f t="shared" si="55"/>
        <v>0.1574690266372604</v>
      </c>
      <c r="L35" s="28">
        <f t="shared" si="55"/>
        <v>0.20889600167166297</v>
      </c>
      <c r="M35" s="28">
        <f t="shared" si="55"/>
        <v>0.2556921596495042</v>
      </c>
      <c r="N35" s="28">
        <f t="shared" si="55"/>
        <v>0.29831816250414833</v>
      </c>
      <c r="O35" s="28">
        <f t="shared" si="55"/>
        <v>0.33718644169028233</v>
      </c>
      <c r="P35" s="28">
        <f t="shared" si="55"/>
        <v>0.37266636771111528</v>
      </c>
      <c r="Q35" s="28">
        <f t="shared" si="55"/>
        <v>0.40508885987804771</v>
      </c>
      <c r="R35" s="28">
        <f t="shared" si="55"/>
        <v>0.43475049717831471</v>
      </c>
      <c r="S35" s="28">
        <f t="shared" si="55"/>
        <v>0.46191718449378805</v>
      </c>
      <c r="T35" s="28">
        <f t="shared" si="55"/>
        <v>0.48682742250492633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</row>
    <row r="36" spans="1:120" x14ac:dyDescent="0.15">
      <c r="A36" s="4" t="s">
        <v>21</v>
      </c>
      <c r="B36" s="28">
        <f t="shared" ref="B36:T36" si="56">IFERROR(B29/B28,0)</f>
        <v>1.8911758712044038</v>
      </c>
      <c r="C36" s="28">
        <f t="shared" si="56"/>
        <v>0.28746731040032153</v>
      </c>
      <c r="D36" s="28">
        <f t="shared" si="56"/>
        <v>-0.88117943302737645</v>
      </c>
      <c r="E36" s="28">
        <f t="shared" si="56"/>
        <v>-5.3597356679576776E-2</v>
      </c>
      <c r="F36" s="28">
        <f t="shared" si="56"/>
        <v>0.15</v>
      </c>
      <c r="G36" s="28">
        <f t="shared" si="56"/>
        <v>0.15</v>
      </c>
      <c r="H36" s="28">
        <f t="shared" si="56"/>
        <v>0.15</v>
      </c>
      <c r="I36" s="28">
        <f t="shared" si="56"/>
        <v>0.15</v>
      </c>
      <c r="J36" s="28">
        <f t="shared" si="56"/>
        <v>0.15</v>
      </c>
      <c r="K36" s="28">
        <f t="shared" si="56"/>
        <v>0.15</v>
      </c>
      <c r="L36" s="28">
        <f t="shared" si="56"/>
        <v>0.15</v>
      </c>
      <c r="M36" s="28">
        <f t="shared" si="56"/>
        <v>0.15</v>
      </c>
      <c r="N36" s="28">
        <f t="shared" si="56"/>
        <v>0.15</v>
      </c>
      <c r="O36" s="28">
        <f t="shared" si="56"/>
        <v>0.15</v>
      </c>
      <c r="P36" s="28">
        <f t="shared" si="56"/>
        <v>0.15</v>
      </c>
      <c r="Q36" s="28">
        <f t="shared" si="56"/>
        <v>0.15</v>
      </c>
      <c r="R36" s="28">
        <f t="shared" si="56"/>
        <v>0.15</v>
      </c>
      <c r="S36" s="28">
        <f t="shared" si="56"/>
        <v>0.15</v>
      </c>
      <c r="T36" s="28">
        <f t="shared" si="56"/>
        <v>0.15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</row>
    <row r="37" spans="1:120" x14ac:dyDescent="0.1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</row>
    <row r="38" spans="1:120" x14ac:dyDescent="0.15">
      <c r="A38" s="11" t="s">
        <v>18</v>
      </c>
      <c r="B38" s="48"/>
      <c r="C38" s="49">
        <f t="shared" ref="C38:T38" si="57">C19/B19-1</f>
        <v>0.35636177465442032</v>
      </c>
      <c r="D38" s="49">
        <f t="shared" si="57"/>
        <v>0.41557193000567816</v>
      </c>
      <c r="E38" s="49">
        <f t="shared" si="57"/>
        <v>0.3794332948935919</v>
      </c>
      <c r="F38" s="49">
        <f t="shared" si="57"/>
        <v>0.38000000000000012</v>
      </c>
      <c r="G38" s="49">
        <f t="shared" si="57"/>
        <v>0.37999999999999989</v>
      </c>
      <c r="H38" s="49">
        <f t="shared" si="57"/>
        <v>0.37999999999999967</v>
      </c>
      <c r="I38" s="49">
        <f t="shared" si="57"/>
        <v>0.37999999999999989</v>
      </c>
      <c r="J38" s="49">
        <f t="shared" si="57"/>
        <v>0.37999999999999989</v>
      </c>
      <c r="K38" s="49">
        <f t="shared" si="57"/>
        <v>0.10000000000000009</v>
      </c>
      <c r="L38" s="49">
        <f t="shared" si="57"/>
        <v>0.10000000000000009</v>
      </c>
      <c r="M38" s="49">
        <f t="shared" si="57"/>
        <v>0.10000000000000009</v>
      </c>
      <c r="N38" s="49">
        <f t="shared" si="57"/>
        <v>0.10000000000000009</v>
      </c>
      <c r="O38" s="49">
        <f t="shared" si="57"/>
        <v>0.10000000000000009</v>
      </c>
      <c r="P38" s="49">
        <f t="shared" si="57"/>
        <v>0.10000000000000009</v>
      </c>
      <c r="Q38" s="49">
        <f t="shared" si="57"/>
        <v>0.10000000000000009</v>
      </c>
      <c r="R38" s="49">
        <f t="shared" si="57"/>
        <v>0.10000000000000009</v>
      </c>
      <c r="S38" s="49">
        <f t="shared" si="57"/>
        <v>0.10000000000000009</v>
      </c>
      <c r="T38" s="49">
        <f t="shared" si="57"/>
        <v>0.10000000000000009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</row>
    <row r="39" spans="1:120" x14ac:dyDescent="0.15">
      <c r="A39" s="4" t="s">
        <v>38</v>
      </c>
      <c r="B39" s="48"/>
      <c r="C39" s="28">
        <f t="shared" ref="C39:T39" si="58">C22/B22-1</f>
        <v>0.48900655766036505</v>
      </c>
      <c r="D39" s="28">
        <f t="shared" si="58"/>
        <v>0.34048212426128965</v>
      </c>
      <c r="E39" s="28">
        <f t="shared" si="58"/>
        <v>0.39212701069806832</v>
      </c>
      <c r="F39" s="28">
        <f t="shared" si="58"/>
        <v>0.30000000000000004</v>
      </c>
      <c r="G39" s="28">
        <f t="shared" si="58"/>
        <v>0.30000000000000004</v>
      </c>
      <c r="H39" s="28">
        <f t="shared" si="58"/>
        <v>0.29999999999999982</v>
      </c>
      <c r="I39" s="28">
        <f t="shared" si="58"/>
        <v>0.30000000000000004</v>
      </c>
      <c r="J39" s="28">
        <f t="shared" si="58"/>
        <v>0.30000000000000004</v>
      </c>
      <c r="K39" s="28">
        <f t="shared" si="58"/>
        <v>5.0000000000000044E-2</v>
      </c>
      <c r="L39" s="28">
        <f t="shared" si="58"/>
        <v>5.0000000000000044E-2</v>
      </c>
      <c r="M39" s="28">
        <f t="shared" si="58"/>
        <v>5.0000000000000044E-2</v>
      </c>
      <c r="N39" s="28">
        <f t="shared" si="58"/>
        <v>5.0000000000000044E-2</v>
      </c>
      <c r="O39" s="28">
        <f t="shared" si="58"/>
        <v>5.0000000000000044E-2</v>
      </c>
      <c r="P39" s="28">
        <f t="shared" si="58"/>
        <v>5.0000000000000044E-2</v>
      </c>
      <c r="Q39" s="28">
        <f t="shared" si="58"/>
        <v>5.0000000000000044E-2</v>
      </c>
      <c r="R39" s="28">
        <f t="shared" si="58"/>
        <v>5.0000000000000044E-2</v>
      </c>
      <c r="S39" s="28">
        <f t="shared" si="58"/>
        <v>5.0000000000000044E-2</v>
      </c>
      <c r="T39" s="28">
        <f t="shared" si="58"/>
        <v>5.0000000000000044E-2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</row>
    <row r="40" spans="1:120" x14ac:dyDescent="0.15">
      <c r="A40" s="4" t="s">
        <v>39</v>
      </c>
      <c r="B40" s="48"/>
      <c r="C40" s="28">
        <f t="shared" ref="C40:T40" si="59">C23/B23-1</f>
        <v>0.44455033140238354</v>
      </c>
      <c r="D40" s="28">
        <f t="shared" si="59"/>
        <v>0.38853885610934835</v>
      </c>
      <c r="E40" s="28">
        <f t="shared" si="59"/>
        <v>0.43470439076471368</v>
      </c>
      <c r="F40" s="28">
        <f t="shared" si="59"/>
        <v>0.39999999999999991</v>
      </c>
      <c r="G40" s="28">
        <f t="shared" si="59"/>
        <v>0.39999999999999991</v>
      </c>
      <c r="H40" s="28">
        <f t="shared" si="59"/>
        <v>0.39999999999999991</v>
      </c>
      <c r="I40" s="28">
        <f t="shared" si="59"/>
        <v>0.39999999999999991</v>
      </c>
      <c r="J40" s="28">
        <f t="shared" si="59"/>
        <v>0.39999999999999991</v>
      </c>
      <c r="K40" s="28">
        <f t="shared" si="59"/>
        <v>-2.0000000000000018E-2</v>
      </c>
      <c r="L40" s="28">
        <f t="shared" si="59"/>
        <v>-2.0000000000000018E-2</v>
      </c>
      <c r="M40" s="28">
        <f t="shared" si="59"/>
        <v>-1.9999999999999907E-2</v>
      </c>
      <c r="N40" s="28">
        <f t="shared" si="59"/>
        <v>-2.0000000000000129E-2</v>
      </c>
      <c r="O40" s="28">
        <f t="shared" si="59"/>
        <v>-2.0000000000000018E-2</v>
      </c>
      <c r="P40" s="28">
        <f t="shared" si="59"/>
        <v>-1.9999999999999907E-2</v>
      </c>
      <c r="Q40" s="28">
        <f t="shared" si="59"/>
        <v>-1.9999999999999907E-2</v>
      </c>
      <c r="R40" s="28">
        <f t="shared" si="59"/>
        <v>-2.0000000000000018E-2</v>
      </c>
      <c r="S40" s="28">
        <f t="shared" si="59"/>
        <v>-1.9999999999999907E-2</v>
      </c>
      <c r="T40" s="28">
        <f t="shared" si="59"/>
        <v>-2.0000000000000018E-2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</row>
    <row r="41" spans="1:120" x14ac:dyDescent="0.15">
      <c r="A41" s="4" t="s">
        <v>40</v>
      </c>
      <c r="B41" s="48"/>
      <c r="C41" s="28">
        <f t="shared" ref="C41:T41" si="60">C24/B24-1</f>
        <v>0.38996934166491126</v>
      </c>
      <c r="D41" s="28">
        <f t="shared" si="60"/>
        <v>0.27325228987068972</v>
      </c>
      <c r="E41" s="28">
        <f t="shared" si="60"/>
        <v>0.42641594266143024</v>
      </c>
      <c r="F41" s="28">
        <f t="shared" si="60"/>
        <v>0.30000000000000004</v>
      </c>
      <c r="G41" s="28">
        <f t="shared" si="60"/>
        <v>0.30000000000000004</v>
      </c>
      <c r="H41" s="28">
        <f t="shared" si="60"/>
        <v>0.30000000000000004</v>
      </c>
      <c r="I41" s="28">
        <f t="shared" si="60"/>
        <v>0.30000000000000004</v>
      </c>
      <c r="J41" s="28">
        <f t="shared" si="60"/>
        <v>0.30000000000000004</v>
      </c>
      <c r="K41" s="28">
        <f t="shared" si="60"/>
        <v>-2.0000000000000129E-2</v>
      </c>
      <c r="L41" s="28">
        <f t="shared" si="60"/>
        <v>-2.0000000000000018E-2</v>
      </c>
      <c r="M41" s="28">
        <f t="shared" si="60"/>
        <v>-2.0000000000000018E-2</v>
      </c>
      <c r="N41" s="28">
        <f t="shared" si="60"/>
        <v>-2.0000000000000018E-2</v>
      </c>
      <c r="O41" s="28">
        <f t="shared" si="60"/>
        <v>-2.0000000000000018E-2</v>
      </c>
      <c r="P41" s="28">
        <f t="shared" si="60"/>
        <v>-2.0000000000000018E-2</v>
      </c>
      <c r="Q41" s="28">
        <f t="shared" si="60"/>
        <v>-1.9999999999999907E-2</v>
      </c>
      <c r="R41" s="28">
        <f t="shared" si="60"/>
        <v>-2.0000000000000129E-2</v>
      </c>
      <c r="S41" s="28">
        <f t="shared" si="60"/>
        <v>-1.9999999999999907E-2</v>
      </c>
      <c r="T41" s="28">
        <f t="shared" si="60"/>
        <v>-2.0000000000000018E-2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</row>
    <row r="42" spans="1:120" x14ac:dyDescent="0.1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</row>
    <row r="43" spans="1:120" x14ac:dyDescent="0.15">
      <c r="A43" s="11" t="s">
        <v>26</v>
      </c>
      <c r="C43" s="12">
        <f>C44-C45</f>
        <v>549.91899999999998</v>
      </c>
      <c r="D43" s="12">
        <f>D44-D45</f>
        <v>913.83600000000001</v>
      </c>
      <c r="E43" s="12">
        <f>E44-E45</f>
        <v>859</v>
      </c>
      <c r="F43" s="31">
        <f>E43+F30</f>
        <v>871.16503000000012</v>
      </c>
      <c r="G43" s="31">
        <f t="shared" ref="G43:T43" si="61">F43+G30</f>
        <v>938.43849717500007</v>
      </c>
      <c r="H43" s="31">
        <f t="shared" si="61"/>
        <v>1102.4200803169374</v>
      </c>
      <c r="I43" s="31">
        <f t="shared" si="61"/>
        <v>1426.693314330967</v>
      </c>
      <c r="J43" s="31">
        <f t="shared" si="61"/>
        <v>2006.9289902712048</v>
      </c>
      <c r="K43" s="31">
        <f t="shared" si="61"/>
        <v>2984.2580499369642</v>
      </c>
      <c r="L43" s="31">
        <f t="shared" si="61"/>
        <v>4412.7843831090568</v>
      </c>
      <c r="M43" s="31">
        <f t="shared" si="61"/>
        <v>6352.9540327543928</v>
      </c>
      <c r="N43" s="31">
        <f t="shared" si="61"/>
        <v>8872.2385942808542</v>
      </c>
      <c r="O43" s="31">
        <f t="shared" si="61"/>
        <v>12045.88965254944</v>
      </c>
      <c r="P43" s="31">
        <f t="shared" si="61"/>
        <v>15957.771502886644</v>
      </c>
      <c r="Q43" s="31">
        <f t="shared" si="61"/>
        <v>20701.280134461012</v>
      </c>
      <c r="R43" s="31">
        <f t="shared" si="61"/>
        <v>26380.357260110508</v>
      </c>
      <c r="S43" s="31">
        <f t="shared" si="61"/>
        <v>33110.609063412092</v>
      </c>
      <c r="T43" s="31">
        <f t="shared" si="61"/>
        <v>41020.540309591248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</row>
    <row r="44" spans="1:120" x14ac:dyDescent="0.15">
      <c r="A44" s="4" t="s">
        <v>27</v>
      </c>
      <c r="C44" s="44">
        <f>Reports!I36</f>
        <v>549.91899999999998</v>
      </c>
      <c r="D44" s="44">
        <f>Reports!M36</f>
        <v>1733.473</v>
      </c>
      <c r="E44" s="44">
        <f>Reports!Q36</f>
        <v>1713</v>
      </c>
    </row>
    <row r="45" spans="1:120" x14ac:dyDescent="0.15">
      <c r="A45" s="4" t="s">
        <v>28</v>
      </c>
      <c r="C45" s="44">
        <f>Reports!I37</f>
        <v>0</v>
      </c>
      <c r="D45" s="44">
        <f>Reports!M37</f>
        <v>819.63699999999994</v>
      </c>
      <c r="E45" s="44">
        <f>Reports!Q37</f>
        <v>854</v>
      </c>
    </row>
    <row r="46" spans="1:120" x14ac:dyDescent="0.1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</row>
    <row r="47" spans="1:120" x14ac:dyDescent="0.15">
      <c r="A47" s="44" t="s">
        <v>68</v>
      </c>
      <c r="C47" s="44">
        <f>Reports!I39</f>
        <v>432.68899999999996</v>
      </c>
      <c r="D47" s="44">
        <f>Reports!M39</f>
        <v>375.52</v>
      </c>
      <c r="E47" s="44">
        <f>Reports!Q39</f>
        <v>760</v>
      </c>
    </row>
    <row r="48" spans="1:120" x14ac:dyDescent="0.15">
      <c r="A48" s="44" t="s">
        <v>69</v>
      </c>
      <c r="C48" s="44">
        <f>Reports!I40</f>
        <v>1283.8579999999999</v>
      </c>
      <c r="D48" s="44">
        <f>Reports!M40</f>
        <v>2421.828</v>
      </c>
      <c r="E48" s="44">
        <f>Reports!Q40</f>
        <v>2977</v>
      </c>
    </row>
    <row r="49" spans="1:10" x14ac:dyDescent="0.15">
      <c r="A49" s="44" t="s">
        <v>70</v>
      </c>
      <c r="C49" s="44">
        <f>Reports!I41</f>
        <v>389.81</v>
      </c>
      <c r="D49" s="44">
        <f>Reports!M41</f>
        <v>1514.508</v>
      </c>
      <c r="E49" s="44">
        <f>Reports!Q41</f>
        <v>2412</v>
      </c>
    </row>
    <row r="51" spans="1:10" x14ac:dyDescent="0.15">
      <c r="A51" s="4" t="s">
        <v>71</v>
      </c>
      <c r="C51" s="66">
        <f>C48-C47-C44</f>
        <v>301.25</v>
      </c>
      <c r="D51" s="66">
        <f>D48-D47-D44</f>
        <v>312.83500000000004</v>
      </c>
      <c r="E51" s="66">
        <f>E48-E47-E44</f>
        <v>504</v>
      </c>
    </row>
    <row r="52" spans="1:10" x14ac:dyDescent="0.15">
      <c r="A52" s="4" t="s">
        <v>72</v>
      </c>
      <c r="C52" s="66">
        <f>C48-C49</f>
        <v>894.048</v>
      </c>
      <c r="D52" s="66">
        <f>D48-D49</f>
        <v>907.31999999999994</v>
      </c>
      <c r="E52" s="66">
        <f>E48-E49</f>
        <v>565</v>
      </c>
    </row>
    <row r="54" spans="1:10" x14ac:dyDescent="0.15">
      <c r="A54" s="4" t="s">
        <v>73</v>
      </c>
      <c r="D54" s="43">
        <f>D30/D52</f>
        <v>-0.12762421196490745</v>
      </c>
      <c r="E54" s="43">
        <f>E30/E52</f>
        <v>-1.1276176991150442</v>
      </c>
    </row>
    <row r="55" spans="1:10" x14ac:dyDescent="0.15">
      <c r="A55" s="4" t="s">
        <v>74</v>
      </c>
      <c r="D55" s="43">
        <f>D30/D48</f>
        <v>-4.781346982527241E-2</v>
      </c>
      <c r="E55" s="43">
        <f>E30/E48</f>
        <v>-0.21400873362445413</v>
      </c>
    </row>
    <row r="56" spans="1:10" x14ac:dyDescent="0.15">
      <c r="A56" s="4" t="s">
        <v>75</v>
      </c>
      <c r="D56" s="43">
        <f>D30/(D52-D47)</f>
        <v>-0.21774351259872102</v>
      </c>
      <c r="E56" s="43">
        <f>E30/(E52-E47)</f>
        <v>3.2671999999999994</v>
      </c>
    </row>
    <row r="57" spans="1:10" x14ac:dyDescent="0.15">
      <c r="A57" s="4" t="s">
        <v>76</v>
      </c>
      <c r="D57" s="43">
        <f>D30/D51</f>
        <v>-0.37015039877251527</v>
      </c>
      <c r="E57" s="43">
        <f>E30/E51</f>
        <v>-1.2640952380952379</v>
      </c>
    </row>
    <row r="59" spans="1:10" x14ac:dyDescent="0.15">
      <c r="A59" s="4" t="s">
        <v>77</v>
      </c>
      <c r="C59" s="43">
        <f t="shared" ref="C59:D62" si="62">C11/B11-1</f>
        <v>0.65095902740370515</v>
      </c>
      <c r="D59" s="43">
        <f t="shared" si="62"/>
        <v>0.68149904182911536</v>
      </c>
      <c r="E59" s="43">
        <f t="shared" ref="E59:J59" si="63">E11/D11-1</f>
        <v>0.55729261331538682</v>
      </c>
      <c r="F59" s="43">
        <f t="shared" si="63"/>
        <v>0.5</v>
      </c>
      <c r="G59" s="43">
        <f t="shared" si="63"/>
        <v>0.5</v>
      </c>
      <c r="H59" s="43">
        <f t="shared" si="63"/>
        <v>0.50000000000000022</v>
      </c>
      <c r="I59" s="43">
        <f t="shared" si="63"/>
        <v>0.5</v>
      </c>
      <c r="J59" s="43">
        <f t="shared" si="63"/>
        <v>0.5</v>
      </c>
    </row>
    <row r="60" spans="1:10" x14ac:dyDescent="0.15">
      <c r="A60" s="4" t="s">
        <v>78</v>
      </c>
      <c r="C60" s="43">
        <f t="shared" si="62"/>
        <v>0.21326674221377373</v>
      </c>
      <c r="D60" s="43">
        <f t="shared" si="62"/>
        <v>0.2275074287909431</v>
      </c>
      <c r="E60" s="43">
        <f t="shared" ref="E60:J60" si="64">E12/D12-1</f>
        <v>0.21118096272501075</v>
      </c>
      <c r="F60" s="43">
        <f t="shared" si="64"/>
        <v>0.19999999999999996</v>
      </c>
      <c r="G60" s="43">
        <f t="shared" si="64"/>
        <v>0.19999999999999996</v>
      </c>
      <c r="H60" s="43">
        <f t="shared" si="64"/>
        <v>0.19999999999999996</v>
      </c>
      <c r="I60" s="43">
        <f t="shared" si="64"/>
        <v>0.19999999999999996</v>
      </c>
      <c r="J60" s="43">
        <f t="shared" si="64"/>
        <v>0.19999999999999996</v>
      </c>
    </row>
    <row r="61" spans="1:10" x14ac:dyDescent="0.15">
      <c r="A61" s="4" t="s">
        <v>79</v>
      </c>
      <c r="C61" s="43">
        <f t="shared" si="62"/>
        <v>0.13862293279582216</v>
      </c>
      <c r="D61" s="43">
        <f t="shared" si="62"/>
        <v>0.13564004559780041</v>
      </c>
      <c r="E61" s="43">
        <f t="shared" ref="E61:J61" si="65">E13/D13-1</f>
        <v>0.10734656762597594</v>
      </c>
      <c r="F61" s="43">
        <f t="shared" si="65"/>
        <v>0.10000000000000009</v>
      </c>
      <c r="G61" s="43">
        <f t="shared" si="65"/>
        <v>0.10000000000000009</v>
      </c>
      <c r="H61" s="43">
        <f t="shared" si="65"/>
        <v>0.10000000000000009</v>
      </c>
      <c r="I61" s="43">
        <f t="shared" si="65"/>
        <v>0.10000000000000009</v>
      </c>
      <c r="J61" s="43">
        <f t="shared" si="65"/>
        <v>0.10000000000000009</v>
      </c>
    </row>
    <row r="62" spans="1:10" x14ac:dyDescent="0.15">
      <c r="A62" s="4" t="s">
        <v>80</v>
      </c>
      <c r="C62" s="43">
        <f t="shared" si="62"/>
        <v>0.44728360957642699</v>
      </c>
      <c r="D62" s="43">
        <f t="shared" si="62"/>
        <v>0.58575897354329065</v>
      </c>
      <c r="E62" s="43">
        <f t="shared" ref="E62:J62" si="66">E14/D14-1</f>
        <v>0.47079474405697286</v>
      </c>
      <c r="F62" s="43">
        <f t="shared" si="66"/>
        <v>0.44999999999999996</v>
      </c>
      <c r="G62" s="43">
        <f t="shared" si="66"/>
        <v>0.44999999999999996</v>
      </c>
      <c r="H62" s="43">
        <f t="shared" si="66"/>
        <v>0.45000000000000018</v>
      </c>
      <c r="I62" s="43">
        <f t="shared" si="66"/>
        <v>0.44999999999999996</v>
      </c>
      <c r="J62" s="43">
        <f t="shared" si="66"/>
        <v>0.44999999999999996</v>
      </c>
    </row>
    <row r="64" spans="1:10" x14ac:dyDescent="0.15">
      <c r="A64" s="44" t="s">
        <v>81</v>
      </c>
      <c r="C64" s="44">
        <f>Reports!I57</f>
        <v>89237</v>
      </c>
      <c r="D64" s="44">
        <f>Reports!M57</f>
        <v>125796</v>
      </c>
      <c r="E64" s="44">
        <f>Reports!Q57</f>
        <v>152727</v>
      </c>
    </row>
    <row r="65" spans="1:10" s="43" customFormat="1" x14ac:dyDescent="0.15">
      <c r="A65" s="43" t="s">
        <v>88</v>
      </c>
      <c r="D65" s="43">
        <f>D16/C16-1</f>
        <v>0.40968432376704733</v>
      </c>
      <c r="E65" s="43">
        <f t="shared" ref="E65:J65" si="67">E16/D16-1</f>
        <v>0.21408470857578954</v>
      </c>
      <c r="F65" s="43">
        <f t="shared" si="67"/>
        <v>0.19999999999999996</v>
      </c>
      <c r="G65" s="43">
        <f t="shared" si="67"/>
        <v>0.19999999999999996</v>
      </c>
      <c r="H65" s="43">
        <f t="shared" si="67"/>
        <v>0.19999999999999996</v>
      </c>
      <c r="I65" s="43">
        <f t="shared" si="67"/>
        <v>0.19999999999999996</v>
      </c>
      <c r="J65" s="43">
        <f t="shared" si="67"/>
        <v>0.19999999999999996</v>
      </c>
    </row>
    <row r="67" spans="1:10" s="34" customFormat="1" x14ac:dyDescent="0.15">
      <c r="A67" s="34" t="s">
        <v>115</v>
      </c>
      <c r="D67" s="43">
        <f>D17/C17-1</f>
        <v>4.1765423218282915E-3</v>
      </c>
      <c r="E67" s="43">
        <f t="shared" ref="E67:J67" si="68">E17/D17-1</f>
        <v>0.13619196844326331</v>
      </c>
      <c r="F67" s="43">
        <f t="shared" si="68"/>
        <v>0.14999999999999991</v>
      </c>
      <c r="G67" s="43">
        <f t="shared" si="68"/>
        <v>0.14999999999999991</v>
      </c>
      <c r="H67" s="43">
        <f t="shared" si="68"/>
        <v>0.14999999999999991</v>
      </c>
      <c r="I67" s="43">
        <f t="shared" si="68"/>
        <v>0.14999999999999991</v>
      </c>
      <c r="J67" s="43">
        <f t="shared" si="68"/>
        <v>0.14999999999999991</v>
      </c>
    </row>
  </sheetData>
  <phoneticPr fontId="4" type="noConversion"/>
  <hyperlinks>
    <hyperlink ref="A4" r:id="rId1" display="Mike Cannon-Brookes (CEO)" xr:uid="{00000000-0004-0000-0000-000000000000}"/>
    <hyperlink ref="A5" r:id="rId2" display="Scott Farquhar (Co-CEO)" xr:uid="{00000000-0004-0000-0000-000001000000}"/>
    <hyperlink ref="A8" r:id="rId3" display="Mike Cannon-Brookes (CEO)" xr:uid="{00000000-0004-0000-0000-000002000000}"/>
    <hyperlink ref="A9" r:id="rId4" display="Scott Farquhar (Co-CEO)" xr:uid="{00000000-0004-0000-0000-000003000000}"/>
    <hyperlink ref="A1" r:id="rId5" xr:uid="{00000000-0004-0000-0000-000004000000}"/>
  </hyperlinks>
  <pageMargins left="0.7" right="0.7" top="0.75" bottom="0.75" header="0.3" footer="0.3"/>
  <pageSetup paperSize="9" orientation="portrait" horizontalDpi="0" verticalDpi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0"/>
  <sheetViews>
    <sheetView workbookViewId="0">
      <pane xSplit="1" ySplit="2" topLeftCell="I16" activePane="bottomRight" state="frozen"/>
      <selection pane="topRight" activeCell="B1" sqref="B1"/>
      <selection pane="bottomLeft" activeCell="A3" sqref="A3"/>
      <selection pane="bottomRight" activeCell="O66" sqref="O66"/>
    </sheetView>
  </sheetViews>
  <sheetFormatPr baseColWidth="10" defaultColWidth="10.83203125" defaultRowHeight="13" x14ac:dyDescent="0.15"/>
  <cols>
    <col min="1" max="1" width="16.5" style="4" bestFit="1" customWidth="1"/>
    <col min="2" max="5" width="10.83203125" style="2" customWidth="1"/>
    <col min="6" max="6" width="10.83203125" style="7" customWidth="1"/>
    <col min="7" max="8" width="10.83203125" style="2" customWidth="1"/>
    <col min="9" max="9" width="10.83203125" style="2"/>
    <col min="10" max="10" width="10.83203125" style="7"/>
    <col min="11" max="11" width="10.83203125" style="2" customWidth="1"/>
    <col min="12" max="13" width="10.83203125" style="51"/>
    <col min="14" max="14" width="10.83203125" style="7"/>
    <col min="15" max="15" width="10.83203125" style="2"/>
    <col min="16" max="16" width="10.83203125" style="51"/>
    <col min="17" max="17" width="10.83203125" style="2"/>
    <col min="18" max="18" width="10.83203125" style="9"/>
    <col min="19" max="16384" width="10.83203125" style="4"/>
  </cols>
  <sheetData>
    <row r="1" spans="1:21" x14ac:dyDescent="0.15">
      <c r="A1" s="1" t="s">
        <v>60</v>
      </c>
      <c r="B1" s="2" t="s">
        <v>22</v>
      </c>
      <c r="C1" s="2" t="s">
        <v>23</v>
      </c>
      <c r="D1" s="2" t="s">
        <v>24</v>
      </c>
      <c r="E1" s="2" t="s">
        <v>25</v>
      </c>
      <c r="F1" s="7" t="s">
        <v>0</v>
      </c>
      <c r="G1" s="2" t="s">
        <v>1</v>
      </c>
      <c r="H1" s="2" t="s">
        <v>2</v>
      </c>
      <c r="I1" s="2" t="s">
        <v>3</v>
      </c>
      <c r="J1" s="5" t="s">
        <v>34</v>
      </c>
      <c r="K1" s="3" t="s">
        <v>35</v>
      </c>
      <c r="L1" s="50" t="s">
        <v>36</v>
      </c>
      <c r="M1" s="50" t="s">
        <v>37</v>
      </c>
      <c r="N1" s="7" t="s">
        <v>82</v>
      </c>
      <c r="O1" s="2" t="s">
        <v>83</v>
      </c>
      <c r="P1" s="51" t="s">
        <v>84</v>
      </c>
      <c r="Q1" s="2" t="s">
        <v>85</v>
      </c>
      <c r="R1" s="7" t="s">
        <v>117</v>
      </c>
      <c r="S1" s="2" t="s">
        <v>118</v>
      </c>
      <c r="T1" s="51" t="s">
        <v>119</v>
      </c>
      <c r="U1" s="2" t="s">
        <v>120</v>
      </c>
    </row>
    <row r="2" spans="1:21" x14ac:dyDescent="0.15">
      <c r="A2" s="1"/>
      <c r="B2" s="2" t="s">
        <v>56</v>
      </c>
      <c r="C2" s="2" t="s">
        <v>55</v>
      </c>
      <c r="D2" s="2" t="s">
        <v>54</v>
      </c>
      <c r="E2" s="2" t="s">
        <v>53</v>
      </c>
      <c r="F2" s="7" t="s">
        <v>48</v>
      </c>
      <c r="G2" s="2" t="s">
        <v>42</v>
      </c>
      <c r="H2" s="2" t="s">
        <v>50</v>
      </c>
      <c r="I2" s="2" t="s">
        <v>47</v>
      </c>
      <c r="J2" s="7" t="s">
        <v>49</v>
      </c>
      <c r="K2" s="2" t="s">
        <v>41</v>
      </c>
      <c r="L2" s="51" t="s">
        <v>51</v>
      </c>
      <c r="M2" s="51" t="s">
        <v>52</v>
      </c>
      <c r="N2" s="7" t="s">
        <v>89</v>
      </c>
      <c r="O2" s="2" t="s">
        <v>86</v>
      </c>
      <c r="P2" s="51" t="s">
        <v>90</v>
      </c>
      <c r="Q2" s="51" t="s">
        <v>91</v>
      </c>
      <c r="R2" s="7" t="s">
        <v>121</v>
      </c>
      <c r="S2" s="2" t="s">
        <v>116</v>
      </c>
      <c r="T2" s="51" t="s">
        <v>122</v>
      </c>
      <c r="U2" s="51" t="s">
        <v>123</v>
      </c>
    </row>
    <row r="3" spans="1:21" s="44" customFormat="1" x14ac:dyDescent="0.15">
      <c r="A3" s="44" t="s">
        <v>43</v>
      </c>
      <c r="B3" s="3">
        <v>30.466999999999999</v>
      </c>
      <c r="C3" s="3">
        <v>33.911000000000001</v>
      </c>
      <c r="D3" s="3">
        <v>38.691000000000003</v>
      </c>
      <c r="E3" s="3">
        <v>43.59</v>
      </c>
      <c r="F3" s="5">
        <v>49.930999999999997</v>
      </c>
      <c r="G3" s="3">
        <v>56.326000000000001</v>
      </c>
      <c r="H3" s="3">
        <v>63.369</v>
      </c>
      <c r="I3" s="3">
        <v>72.501999999999995</v>
      </c>
      <c r="J3" s="5">
        <v>86.391000000000005</v>
      </c>
      <c r="K3" s="3">
        <v>97.703999999999994</v>
      </c>
      <c r="L3" s="3">
        <v>105.604</v>
      </c>
      <c r="M3" s="50">
        <v>117.43899999999999</v>
      </c>
      <c r="N3" s="5">
        <v>134.065</v>
      </c>
      <c r="O3" s="14">
        <v>152.5</v>
      </c>
      <c r="P3" s="53">
        <v>166.46799999999999</v>
      </c>
      <c r="Q3" s="53">
        <v>181</v>
      </c>
      <c r="R3" s="5">
        <v>201</v>
      </c>
      <c r="S3" s="53">
        <v>228.684</v>
      </c>
    </row>
    <row r="4" spans="1:21" s="44" customFormat="1" x14ac:dyDescent="0.15">
      <c r="A4" s="44" t="s">
        <v>44</v>
      </c>
      <c r="B4" s="3">
        <v>50.353999999999999</v>
      </c>
      <c r="C4" s="3">
        <v>53.508000000000003</v>
      </c>
      <c r="D4" s="3">
        <v>56.177999999999997</v>
      </c>
      <c r="E4" s="3">
        <v>58.808</v>
      </c>
      <c r="F4" s="5">
        <v>61.741</v>
      </c>
      <c r="G4" s="3">
        <v>65.06</v>
      </c>
      <c r="H4" s="3">
        <v>67.072000000000003</v>
      </c>
      <c r="I4" s="3">
        <v>71.647999999999996</v>
      </c>
      <c r="J4" s="5">
        <v>76.218999999999994</v>
      </c>
      <c r="K4" s="3">
        <v>80.489000000000004</v>
      </c>
      <c r="L4" s="3">
        <v>81.953000000000003</v>
      </c>
      <c r="M4" s="50">
        <v>87.268000000000001</v>
      </c>
      <c r="N4" s="5">
        <v>92.736000000000004</v>
      </c>
      <c r="O4" s="14">
        <v>97.161000000000001</v>
      </c>
      <c r="P4" s="53">
        <v>98.861999999999995</v>
      </c>
      <c r="Q4" s="53">
        <v>106</v>
      </c>
      <c r="R4" s="5">
        <v>110</v>
      </c>
      <c r="S4" s="53">
        <v>116.877</v>
      </c>
    </row>
    <row r="5" spans="1:21" s="44" customFormat="1" x14ac:dyDescent="0.15">
      <c r="A5" s="44" t="s">
        <v>45</v>
      </c>
      <c r="B5" s="3">
        <v>15.500999999999999</v>
      </c>
      <c r="C5" s="3">
        <v>15.645</v>
      </c>
      <c r="D5" s="3">
        <v>16.43</v>
      </c>
      <c r="E5" s="3">
        <v>17.911000000000001</v>
      </c>
      <c r="F5" s="5">
        <v>17.501000000000001</v>
      </c>
      <c r="G5" s="3">
        <v>18.21</v>
      </c>
      <c r="H5" s="3">
        <v>19.495000000000001</v>
      </c>
      <c r="I5" s="3">
        <v>19.359000000000002</v>
      </c>
      <c r="J5" s="5">
        <v>19.448</v>
      </c>
      <c r="K5" s="3">
        <v>21.443999999999999</v>
      </c>
      <c r="L5" s="3">
        <v>21.273</v>
      </c>
      <c r="M5" s="50">
        <v>22.513999999999999</v>
      </c>
      <c r="N5" s="5">
        <v>21.838999999999999</v>
      </c>
      <c r="O5" s="14">
        <v>25.777999999999999</v>
      </c>
      <c r="P5" s="53">
        <v>23.152000000000001</v>
      </c>
      <c r="Q5" s="53">
        <v>23</v>
      </c>
      <c r="R5" s="5">
        <v>25</v>
      </c>
      <c r="S5" s="53">
        <v>29.050999999999998</v>
      </c>
    </row>
    <row r="6" spans="1:21" s="44" customFormat="1" x14ac:dyDescent="0.15">
      <c r="A6" s="44" t="s">
        <v>46</v>
      </c>
      <c r="B6" s="3">
        <v>5.5</v>
      </c>
      <c r="C6" s="3">
        <v>6.6420000000000003</v>
      </c>
      <c r="D6" s="3">
        <v>6.6429999999999998</v>
      </c>
      <c r="E6" s="3">
        <v>7.2789999999999999</v>
      </c>
      <c r="F6" s="5">
        <v>7.6139999999999999</v>
      </c>
      <c r="G6" s="3">
        <v>9.3130000000000006</v>
      </c>
      <c r="H6" s="3">
        <v>9.9730000000000008</v>
      </c>
      <c r="I6" s="3">
        <v>10.821999999999999</v>
      </c>
      <c r="J6" s="5">
        <v>13.422000000000001</v>
      </c>
      <c r="K6" s="3">
        <v>14.941000000000001</v>
      </c>
      <c r="L6" s="3">
        <v>14.893000000000001</v>
      </c>
      <c r="M6" s="50">
        <v>16.562000000000001</v>
      </c>
      <c r="N6" s="5">
        <v>18.652000000000001</v>
      </c>
      <c r="O6" s="14">
        <v>23.54</v>
      </c>
      <c r="P6" s="53">
        <v>20.788</v>
      </c>
      <c r="Q6" s="53">
        <v>25</v>
      </c>
      <c r="R6" s="5">
        <v>27</v>
      </c>
      <c r="S6" s="53">
        <v>34.113</v>
      </c>
    </row>
    <row r="7" spans="1:21" s="44" customFormat="1" x14ac:dyDescent="0.15">
      <c r="B7" s="3"/>
      <c r="C7" s="3"/>
      <c r="D7" s="3"/>
      <c r="E7" s="3"/>
      <c r="F7" s="5"/>
      <c r="G7" s="3"/>
      <c r="H7" s="3"/>
      <c r="I7" s="3"/>
      <c r="J7" s="5"/>
      <c r="K7" s="3"/>
      <c r="L7" s="3"/>
      <c r="M7" s="50"/>
      <c r="N7" s="5"/>
      <c r="O7" s="14"/>
      <c r="P7" s="53"/>
      <c r="Q7" s="53"/>
      <c r="R7" s="5"/>
      <c r="S7" s="53"/>
    </row>
    <row r="8" spans="1:21" s="44" customFormat="1" x14ac:dyDescent="0.15">
      <c r="A8" s="44" t="s">
        <v>81</v>
      </c>
      <c r="B8" s="3"/>
      <c r="C8" s="3"/>
      <c r="D8" s="3"/>
      <c r="E8" s="3"/>
      <c r="F8" s="5"/>
      <c r="G8" s="3"/>
      <c r="H8" s="59">
        <f t="shared" ref="H8:Q8" si="0">H57/1000000</f>
        <v>8.5030999999999995E-2</v>
      </c>
      <c r="I8" s="59">
        <f t="shared" si="0"/>
        <v>8.9236999999999997E-2</v>
      </c>
      <c r="J8" s="60">
        <f t="shared" si="0"/>
        <v>0.10774599999999999</v>
      </c>
      <c r="K8" s="59">
        <f t="shared" si="0"/>
        <v>0.112571</v>
      </c>
      <c r="L8" s="59">
        <f t="shared" si="0"/>
        <v>0.119158</v>
      </c>
      <c r="M8" s="59">
        <f t="shared" si="0"/>
        <v>0.12579599999999999</v>
      </c>
      <c r="N8" s="60">
        <f t="shared" si="0"/>
        <v>0.138235</v>
      </c>
      <c r="O8" s="59">
        <f t="shared" si="0"/>
        <v>0.138235</v>
      </c>
      <c r="P8" s="59">
        <f t="shared" si="0"/>
        <v>0.144038</v>
      </c>
      <c r="Q8" s="67">
        <f t="shared" si="0"/>
        <v>0.152727</v>
      </c>
      <c r="R8" s="60">
        <f t="shared" ref="R8" si="1">R57/1000000</f>
        <v>0.15978700000000001</v>
      </c>
      <c r="S8" s="59">
        <f>S57/1000000</f>
        <v>0.16478999999999999</v>
      </c>
    </row>
    <row r="9" spans="1:21" s="44" customFormat="1" x14ac:dyDescent="0.15">
      <c r="A9" s="44" t="s">
        <v>114</v>
      </c>
      <c r="B9" s="3"/>
      <c r="C9" s="3"/>
      <c r="D9" s="3"/>
      <c r="E9" s="3"/>
      <c r="F9" s="5"/>
      <c r="G9" s="3"/>
      <c r="H9" s="17">
        <f>SUM(H3:H6)/H8</f>
        <v>1880.596488339547</v>
      </c>
      <c r="I9" s="17">
        <f t="shared" ref="I9:Q9" si="2">SUM(I3:I6)/I8</f>
        <v>1953.5730694667009</v>
      </c>
      <c r="J9" s="16">
        <f>SUM(J3:J6)/J8</f>
        <v>1814.2668869377985</v>
      </c>
      <c r="K9" s="17">
        <f t="shared" si="2"/>
        <v>1906.1570031357985</v>
      </c>
      <c r="L9" s="17">
        <f t="shared" si="2"/>
        <v>1877.5323520032227</v>
      </c>
      <c r="M9" s="17">
        <f t="shared" si="2"/>
        <v>1937.9233043975964</v>
      </c>
      <c r="N9" s="16">
        <f t="shared" si="2"/>
        <v>1933.6058161825874</v>
      </c>
      <c r="O9" s="17">
        <f t="shared" si="2"/>
        <v>2162.8314102795966</v>
      </c>
      <c r="P9" s="17">
        <f t="shared" si="2"/>
        <v>2147.1417264888432</v>
      </c>
      <c r="Q9" s="17">
        <f t="shared" si="2"/>
        <v>2193.4562978386271</v>
      </c>
      <c r="R9" s="16">
        <f t="shared" ref="R9:S9" si="3">SUM(R3:R6)/R8</f>
        <v>2271.7742995362573</v>
      </c>
      <c r="S9" s="17">
        <f t="shared" si="3"/>
        <v>2480.2779294860125</v>
      </c>
    </row>
    <row r="10" spans="1:21" s="68" customFormat="1" x14ac:dyDescent="0.15">
      <c r="F10" s="69"/>
      <c r="I10" s="70"/>
      <c r="J10" s="69"/>
      <c r="K10" s="71"/>
      <c r="L10" s="71"/>
      <c r="M10" s="64"/>
      <c r="N10" s="69"/>
      <c r="O10" s="71"/>
      <c r="P10" s="64"/>
      <c r="Q10" s="64"/>
      <c r="R10" s="69"/>
      <c r="S10" s="64" t="s">
        <v>124</v>
      </c>
      <c r="T10" s="68" t="s">
        <v>125</v>
      </c>
    </row>
    <row r="11" spans="1:21" s="11" customFormat="1" x14ac:dyDescent="0.15">
      <c r="A11" s="11" t="s">
        <v>4</v>
      </c>
      <c r="B11" s="12">
        <f t="shared" ref="B11:G11" si="4">SUM(B3:B6)</f>
        <v>101.822</v>
      </c>
      <c r="C11" s="12">
        <f t="shared" si="4"/>
        <v>109.706</v>
      </c>
      <c r="D11" s="12">
        <f t="shared" si="4"/>
        <v>117.94200000000001</v>
      </c>
      <c r="E11" s="12">
        <f t="shared" si="4"/>
        <v>127.58799999999999</v>
      </c>
      <c r="F11" s="13">
        <f t="shared" si="4"/>
        <v>136.78700000000001</v>
      </c>
      <c r="G11" s="12">
        <f t="shared" si="4"/>
        <v>148.90899999999999</v>
      </c>
      <c r="H11" s="12">
        <f t="shared" ref="H11:P11" si="5">H8*H9</f>
        <v>159.90900000000002</v>
      </c>
      <c r="I11" s="12">
        <f t="shared" si="5"/>
        <v>174.33099999999999</v>
      </c>
      <c r="J11" s="13">
        <f t="shared" si="5"/>
        <v>195.48000000000002</v>
      </c>
      <c r="K11" s="12">
        <f t="shared" si="5"/>
        <v>214.57799999999997</v>
      </c>
      <c r="L11" s="12">
        <f t="shared" si="5"/>
        <v>223.72300000000001</v>
      </c>
      <c r="M11" s="12">
        <f t="shared" si="5"/>
        <v>243.78300000000002</v>
      </c>
      <c r="N11" s="13">
        <f t="shared" si="5"/>
        <v>267.29199999999997</v>
      </c>
      <c r="O11" s="12">
        <f t="shared" si="5"/>
        <v>298.97900000000004</v>
      </c>
      <c r="P11" s="12">
        <f t="shared" si="5"/>
        <v>309.27</v>
      </c>
      <c r="Q11" s="12">
        <f>Q8*Q9</f>
        <v>335</v>
      </c>
      <c r="R11" s="13">
        <f t="shared" ref="R11:S11" si="6">R8*R9</f>
        <v>363</v>
      </c>
      <c r="S11" s="12">
        <f t="shared" si="6"/>
        <v>408.72499999999997</v>
      </c>
    </row>
    <row r="12" spans="1:21" x14ac:dyDescent="0.15">
      <c r="A12" s="4" t="s">
        <v>5</v>
      </c>
      <c r="B12" s="14">
        <v>16.420000000000002</v>
      </c>
      <c r="C12" s="14">
        <v>18.472999999999999</v>
      </c>
      <c r="D12" s="14">
        <v>19.763999999999999</v>
      </c>
      <c r="E12" s="14">
        <v>21.126000000000001</v>
      </c>
      <c r="F12" s="5">
        <v>22.562000000000001</v>
      </c>
      <c r="G12" s="3">
        <v>26.899000000000001</v>
      </c>
      <c r="H12" s="3">
        <v>32.895000000000003</v>
      </c>
      <c r="I12" s="3">
        <v>36.805</v>
      </c>
      <c r="J12" s="5">
        <v>40.090000000000003</v>
      </c>
      <c r="K12" s="14">
        <v>43.164000000000001</v>
      </c>
      <c r="L12" s="14">
        <v>45.24</v>
      </c>
      <c r="M12" s="53">
        <v>44.195999999999998</v>
      </c>
      <c r="N12" s="5">
        <v>45.185000000000002</v>
      </c>
      <c r="O12" s="14">
        <v>49.781999999999996</v>
      </c>
      <c r="P12" s="53">
        <v>54.189</v>
      </c>
      <c r="Q12" s="53">
        <v>61</v>
      </c>
      <c r="R12" s="5">
        <v>62</v>
      </c>
      <c r="S12" s="53">
        <v>66</v>
      </c>
    </row>
    <row r="13" spans="1:21" x14ac:dyDescent="0.15">
      <c r="A13" s="4" t="s">
        <v>6</v>
      </c>
      <c r="B13" s="15">
        <f>B11-B12</f>
        <v>85.402000000000001</v>
      </c>
      <c r="C13" s="15">
        <f>C11-C12</f>
        <v>91.233000000000004</v>
      </c>
      <c r="D13" s="15">
        <f>D11-D12</f>
        <v>98.178000000000011</v>
      </c>
      <c r="E13" s="15">
        <f>E11-E12</f>
        <v>106.46199999999999</v>
      </c>
      <c r="F13" s="16">
        <f>F11-F12</f>
        <v>114.22500000000001</v>
      </c>
      <c r="G13" s="17">
        <f t="shared" ref="G13:K13" si="7">G11-G12</f>
        <v>122.00999999999999</v>
      </c>
      <c r="H13" s="17">
        <f t="shared" si="7"/>
        <v>127.01400000000001</v>
      </c>
      <c r="I13" s="17">
        <f t="shared" si="7"/>
        <v>137.52599999999998</v>
      </c>
      <c r="J13" s="16">
        <f t="shared" si="7"/>
        <v>155.39000000000001</v>
      </c>
      <c r="K13" s="15">
        <f t="shared" si="7"/>
        <v>171.41399999999999</v>
      </c>
      <c r="L13" s="15">
        <f t="shared" ref="L13" si="8">L11-L12</f>
        <v>178.483</v>
      </c>
      <c r="M13" s="15">
        <f>M11-M12</f>
        <v>199.58700000000002</v>
      </c>
      <c r="N13" s="16">
        <f t="shared" ref="N13:Q13" si="9">N11-N12</f>
        <v>222.10699999999997</v>
      </c>
      <c r="O13" s="15">
        <f t="shared" si="9"/>
        <v>249.19700000000006</v>
      </c>
      <c r="P13" s="15">
        <f t="shared" si="9"/>
        <v>255.08099999999999</v>
      </c>
      <c r="Q13" s="15">
        <f t="shared" si="9"/>
        <v>274</v>
      </c>
      <c r="R13" s="16">
        <f t="shared" ref="R13:S13" si="10">R11-R12</f>
        <v>301</v>
      </c>
      <c r="S13" s="15">
        <f t="shared" si="10"/>
        <v>342.72499999999997</v>
      </c>
    </row>
    <row r="14" spans="1:21" x14ac:dyDescent="0.15">
      <c r="A14" s="4" t="s">
        <v>7</v>
      </c>
      <c r="B14" s="14">
        <v>45.46</v>
      </c>
      <c r="C14" s="14">
        <v>47.845999999999997</v>
      </c>
      <c r="D14" s="14">
        <v>54.17</v>
      </c>
      <c r="E14" s="14">
        <v>60.83</v>
      </c>
      <c r="F14" s="5">
        <v>67.457999999999998</v>
      </c>
      <c r="G14" s="3">
        <v>69.757999999999996</v>
      </c>
      <c r="H14" s="3">
        <v>82.262</v>
      </c>
      <c r="I14" s="3">
        <v>90.691000000000003</v>
      </c>
      <c r="J14" s="5">
        <v>94.861999999999995</v>
      </c>
      <c r="K14" s="14">
        <v>101.324</v>
      </c>
      <c r="L14" s="14">
        <v>108.544</v>
      </c>
      <c r="M14" s="53">
        <v>111.04600000000001</v>
      </c>
      <c r="N14" s="5">
        <v>124.38</v>
      </c>
      <c r="O14" s="14">
        <v>131.364</v>
      </c>
      <c r="P14" s="53">
        <v>153.06899999999999</v>
      </c>
      <c r="Q14" s="53">
        <v>170</v>
      </c>
      <c r="R14" s="5">
        <v>176</v>
      </c>
      <c r="S14" s="53">
        <v>172</v>
      </c>
    </row>
    <row r="15" spans="1:21" x14ac:dyDescent="0.15">
      <c r="A15" s="4" t="s">
        <v>8</v>
      </c>
      <c r="B15" s="14">
        <v>16.262</v>
      </c>
      <c r="C15" s="14">
        <v>21.713000000000001</v>
      </c>
      <c r="D15" s="14">
        <v>24.436</v>
      </c>
      <c r="E15" s="14">
        <v>30.98</v>
      </c>
      <c r="F15" s="5">
        <v>24.98</v>
      </c>
      <c r="G15" s="3">
        <v>27.416</v>
      </c>
      <c r="H15" s="3">
        <v>36.625</v>
      </c>
      <c r="I15" s="3">
        <v>45.887</v>
      </c>
      <c r="J15" s="5">
        <v>45.091999999999999</v>
      </c>
      <c r="K15" s="14">
        <v>44.518999999999998</v>
      </c>
      <c r="L15" s="14">
        <v>48.652000000000001</v>
      </c>
      <c r="M15" s="53">
        <v>49.061999999999998</v>
      </c>
      <c r="N15" s="5">
        <v>52.262</v>
      </c>
      <c r="O15" s="14">
        <v>68.95</v>
      </c>
      <c r="P15" s="53">
        <v>70.543999999999997</v>
      </c>
      <c r="Q15" s="53">
        <v>77</v>
      </c>
      <c r="R15" s="5">
        <v>68</v>
      </c>
      <c r="S15" s="53">
        <v>69</v>
      </c>
    </row>
    <row r="16" spans="1:21" x14ac:dyDescent="0.15">
      <c r="A16" s="4" t="s">
        <v>9</v>
      </c>
      <c r="B16" s="14">
        <v>16.602</v>
      </c>
      <c r="C16" s="14">
        <v>18.306999999999999</v>
      </c>
      <c r="D16" s="14">
        <v>24.507000000000001</v>
      </c>
      <c r="E16" s="14">
        <v>26.042000000000002</v>
      </c>
      <c r="F16" s="5">
        <v>26.914999999999999</v>
      </c>
      <c r="G16" s="3">
        <v>27.475000000000001</v>
      </c>
      <c r="H16" s="3">
        <v>31.19</v>
      </c>
      <c r="I16" s="3">
        <v>33.204000000000001</v>
      </c>
      <c r="J16" s="5">
        <v>35.725000000000001</v>
      </c>
      <c r="K16" s="14">
        <v>38.584000000000003</v>
      </c>
      <c r="L16" s="14">
        <v>32.167000000000002</v>
      </c>
      <c r="M16" s="53">
        <v>44.765999999999998</v>
      </c>
      <c r="N16" s="5">
        <v>45.656999999999996</v>
      </c>
      <c r="O16" s="14">
        <v>52.052</v>
      </c>
      <c r="P16" s="53">
        <v>59.024999999999999</v>
      </c>
      <c r="Q16" s="53">
        <v>59</v>
      </c>
      <c r="R16" s="5">
        <v>62</v>
      </c>
      <c r="S16" s="53">
        <v>59</v>
      </c>
    </row>
    <row r="17" spans="1:19" x14ac:dyDescent="0.15">
      <c r="A17" s="4" t="s">
        <v>10</v>
      </c>
      <c r="B17" s="15">
        <f>SUM(B14:B16)</f>
        <v>78.323999999999998</v>
      </c>
      <c r="C17" s="15">
        <f>SUM(C14:C16)</f>
        <v>87.866</v>
      </c>
      <c r="D17" s="15">
        <f>SUM(D14:D16)</f>
        <v>103.113</v>
      </c>
      <c r="E17" s="15">
        <f>SUM(E14:E16)</f>
        <v>117.852</v>
      </c>
      <c r="F17" s="16">
        <f>SUM(F14:F16)</f>
        <v>119.35300000000001</v>
      </c>
      <c r="G17" s="17">
        <f t="shared" ref="G17:K17" si="11">SUM(G14:G16)</f>
        <v>124.649</v>
      </c>
      <c r="H17" s="17">
        <f t="shared" si="11"/>
        <v>150.077</v>
      </c>
      <c r="I17" s="17">
        <f t="shared" si="11"/>
        <v>169.78200000000001</v>
      </c>
      <c r="J17" s="16">
        <f t="shared" si="11"/>
        <v>175.679</v>
      </c>
      <c r="K17" s="15">
        <f t="shared" si="11"/>
        <v>184.42699999999999</v>
      </c>
      <c r="L17" s="15">
        <f t="shared" ref="L17" si="12">SUM(L14:L16)</f>
        <v>189.363</v>
      </c>
      <c r="M17" s="15">
        <f t="shared" ref="M17:S17" si="13">SUM(M14:M16)</f>
        <v>204.874</v>
      </c>
      <c r="N17" s="16">
        <f t="shared" si="13"/>
        <v>222.29899999999998</v>
      </c>
      <c r="O17" s="15">
        <f t="shared" si="13"/>
        <v>252.36600000000001</v>
      </c>
      <c r="P17" s="15">
        <f t="shared" si="13"/>
        <v>282.63799999999998</v>
      </c>
      <c r="Q17" s="15">
        <f t="shared" si="13"/>
        <v>306</v>
      </c>
      <c r="R17" s="16">
        <f t="shared" si="13"/>
        <v>306</v>
      </c>
      <c r="S17" s="15">
        <f t="shared" si="13"/>
        <v>300</v>
      </c>
    </row>
    <row r="18" spans="1:19" x14ac:dyDescent="0.15">
      <c r="A18" s="4" t="s">
        <v>11</v>
      </c>
      <c r="B18" s="15">
        <f>B13-B17</f>
        <v>7.078000000000003</v>
      </c>
      <c r="C18" s="15">
        <f>C13-C17</f>
        <v>3.3670000000000044</v>
      </c>
      <c r="D18" s="15">
        <f>D13-D17</f>
        <v>-4.9349999999999881</v>
      </c>
      <c r="E18" s="15">
        <f>E13-E17</f>
        <v>-11.390000000000015</v>
      </c>
      <c r="F18" s="16">
        <f>F13-F17</f>
        <v>-5.1280000000000001</v>
      </c>
      <c r="G18" s="17">
        <f t="shared" ref="G18" si="14">G13-G17</f>
        <v>-2.63900000000001</v>
      </c>
      <c r="H18" s="17">
        <f t="shared" ref="H18:K18" si="15">H13-H17</f>
        <v>-23.062999999999988</v>
      </c>
      <c r="I18" s="17">
        <f t="shared" si="15"/>
        <v>-32.256000000000029</v>
      </c>
      <c r="J18" s="16">
        <f>J13-J17</f>
        <v>-20.288999999999987</v>
      </c>
      <c r="K18" s="15">
        <f t="shared" si="15"/>
        <v>-13.013000000000005</v>
      </c>
      <c r="L18" s="15">
        <f t="shared" ref="L18" si="16">L13-L17</f>
        <v>-10.879999999999995</v>
      </c>
      <c r="M18" s="15">
        <f t="shared" ref="M18" si="17">M13-M17</f>
        <v>-5.2869999999999777</v>
      </c>
      <c r="N18" s="16">
        <f t="shared" ref="N18:S18" si="18">N13-N17</f>
        <v>-0.19200000000000728</v>
      </c>
      <c r="O18" s="15">
        <f t="shared" si="18"/>
        <v>-3.1689999999999543</v>
      </c>
      <c r="P18" s="15">
        <f t="shared" si="18"/>
        <v>-27.556999999999988</v>
      </c>
      <c r="Q18" s="15">
        <f t="shared" si="18"/>
        <v>-32</v>
      </c>
      <c r="R18" s="16">
        <f t="shared" si="18"/>
        <v>-5</v>
      </c>
      <c r="S18" s="15">
        <f t="shared" si="18"/>
        <v>42.724999999999966</v>
      </c>
    </row>
    <row r="19" spans="1:19" x14ac:dyDescent="0.15">
      <c r="A19" s="4" t="s">
        <v>12</v>
      </c>
      <c r="B19" s="14">
        <f>-0.603+0.046-0.008</f>
        <v>-0.56499999999999995</v>
      </c>
      <c r="C19" s="14">
        <f>-0.181+0.123-0.049</f>
        <v>-0.107</v>
      </c>
      <c r="D19" s="14">
        <f>0.054+0.703-0.005</f>
        <v>0.752</v>
      </c>
      <c r="E19" s="14">
        <f>-0.342+1.244-0.009</f>
        <v>0.8929999999999999</v>
      </c>
      <c r="F19" s="5">
        <f>-0.063+1.322-0.007</f>
        <v>1.2520000000000002</v>
      </c>
      <c r="G19" s="3">
        <f>-0.251+1.441-0.038</f>
        <v>1.1519999999999999</v>
      </c>
      <c r="H19" s="3">
        <f>-0.492+1.04-0.006</f>
        <v>0.54200000000000004</v>
      </c>
      <c r="I19" s="3">
        <f>-0.536+1.048-0.024</f>
        <v>0.48799999999999999</v>
      </c>
      <c r="J19" s="5">
        <f>-0.665+1.255-0.009</f>
        <v>0.58099999999999985</v>
      </c>
      <c r="K19" s="14">
        <f>-0.493+1.568-0.007</f>
        <v>1.0680000000000003</v>
      </c>
      <c r="L19" s="14">
        <f>0.74+2.001-0.008</f>
        <v>2.7329999999999997</v>
      </c>
      <c r="M19" s="53">
        <f>-14.739+5.053-6.782</f>
        <v>-16.468</v>
      </c>
      <c r="N19" s="5">
        <f>-237.248+7.266-9.902</f>
        <v>-239.88399999999999</v>
      </c>
      <c r="O19" s="14">
        <f>32.592+7.659-10.019</f>
        <v>30.231999999999999</v>
      </c>
      <c r="P19" s="53">
        <f>-173.324+9.303-10.103</f>
        <v>-174.12400000000002</v>
      </c>
      <c r="Q19" s="53">
        <f>-157+9-10</f>
        <v>-158</v>
      </c>
      <c r="R19" s="5">
        <f>82+9-12</f>
        <v>79</v>
      </c>
      <c r="S19" s="53">
        <f>104+8-12</f>
        <v>100</v>
      </c>
    </row>
    <row r="20" spans="1:19" x14ac:dyDescent="0.15">
      <c r="A20" s="4" t="s">
        <v>13</v>
      </c>
      <c r="B20" s="15">
        <f>B18+B19</f>
        <v>6.5130000000000035</v>
      </c>
      <c r="C20" s="15">
        <f>C18+C19</f>
        <v>3.2600000000000042</v>
      </c>
      <c r="D20" s="15">
        <f>D18+D19</f>
        <v>-4.1829999999999883</v>
      </c>
      <c r="E20" s="15">
        <f>E18+E19</f>
        <v>-10.497000000000014</v>
      </c>
      <c r="F20" s="16">
        <f>F18+F19</f>
        <v>-3.8759999999999999</v>
      </c>
      <c r="G20" s="17">
        <f t="shared" ref="G20:I20" si="19">G18+G19</f>
        <v>-1.4870000000000101</v>
      </c>
      <c r="H20" s="17">
        <f t="shared" si="19"/>
        <v>-22.520999999999987</v>
      </c>
      <c r="I20" s="17">
        <f t="shared" si="19"/>
        <v>-31.768000000000029</v>
      </c>
      <c r="J20" s="16">
        <f t="shared" ref="J20:M20" si="20">J18+J19</f>
        <v>-19.707999999999988</v>
      </c>
      <c r="K20" s="15">
        <f t="shared" si="20"/>
        <v>-11.945000000000006</v>
      </c>
      <c r="L20" s="15">
        <f t="shared" ref="L20" si="21">L18+L19</f>
        <v>-8.1469999999999949</v>
      </c>
      <c r="M20" s="15">
        <f t="shared" si="20"/>
        <v>-21.754999999999978</v>
      </c>
      <c r="N20" s="16">
        <f t="shared" ref="N20:Q20" si="22">N18+N19</f>
        <v>-240.07599999999999</v>
      </c>
      <c r="O20" s="15">
        <f t="shared" si="22"/>
        <v>27.063000000000045</v>
      </c>
      <c r="P20" s="15">
        <f t="shared" si="22"/>
        <v>-201.68100000000001</v>
      </c>
      <c r="Q20" s="15">
        <f t="shared" si="22"/>
        <v>-190</v>
      </c>
      <c r="R20" s="16">
        <f t="shared" ref="R20:S20" si="23">R18+R19</f>
        <v>74</v>
      </c>
      <c r="S20" s="15">
        <f t="shared" si="23"/>
        <v>142.72499999999997</v>
      </c>
    </row>
    <row r="21" spans="1:19" x14ac:dyDescent="0.15">
      <c r="A21" s="4" t="s">
        <v>14</v>
      </c>
      <c r="B21" s="14">
        <v>1.431</v>
      </c>
      <c r="C21" s="14">
        <v>-1.8049999999999999</v>
      </c>
      <c r="D21" s="14">
        <v>-3.1110000000000002</v>
      </c>
      <c r="E21" s="14">
        <v>-5.7949999999999999</v>
      </c>
      <c r="F21" s="5">
        <v>-1.2390000000000001</v>
      </c>
      <c r="G21" s="3">
        <v>0.21099999999999999</v>
      </c>
      <c r="H21" s="3">
        <v>-5.0599999999999996</v>
      </c>
      <c r="I21" s="3">
        <v>-11.06</v>
      </c>
      <c r="J21" s="5">
        <v>-8.2379999999999995</v>
      </c>
      <c r="K21" s="14">
        <v>52.264000000000003</v>
      </c>
      <c r="L21" s="14">
        <v>6.1189999999999998</v>
      </c>
      <c r="M21" s="53">
        <v>4.0960000000000001</v>
      </c>
      <c r="N21" s="5">
        <v>2.3690000000000002</v>
      </c>
      <c r="O21" s="14">
        <v>-18.122</v>
      </c>
      <c r="P21" s="53">
        <v>1.163</v>
      </c>
      <c r="Q21" s="53">
        <v>47</v>
      </c>
      <c r="R21" s="5">
        <v>5</v>
      </c>
      <c r="S21" s="53">
        <v>18</v>
      </c>
    </row>
    <row r="22" spans="1:19" s="11" customFormat="1" x14ac:dyDescent="0.15">
      <c r="A22" s="11" t="s">
        <v>15</v>
      </c>
      <c r="B22" s="12">
        <f t="shared" ref="B22:G22" si="24">B20-B21</f>
        <v>5.0820000000000034</v>
      </c>
      <c r="C22" s="12">
        <f t="shared" si="24"/>
        <v>5.0650000000000039</v>
      </c>
      <c r="D22" s="12">
        <f t="shared" si="24"/>
        <v>-1.0719999999999881</v>
      </c>
      <c r="E22" s="12">
        <f>E20-E21</f>
        <v>-4.7020000000000142</v>
      </c>
      <c r="F22" s="13">
        <f t="shared" si="24"/>
        <v>-2.6369999999999996</v>
      </c>
      <c r="G22" s="32">
        <f t="shared" si="24"/>
        <v>-1.6980000000000102</v>
      </c>
      <c r="H22" s="32">
        <f t="shared" ref="H22" si="25">H20-H21</f>
        <v>-17.460999999999988</v>
      </c>
      <c r="I22" s="32">
        <f t="shared" ref="I22:P22" si="26">I20-I21</f>
        <v>-20.708000000000027</v>
      </c>
      <c r="J22" s="13">
        <f t="shared" si="26"/>
        <v>-11.469999999999988</v>
      </c>
      <c r="K22" s="12">
        <f t="shared" si="26"/>
        <v>-64.209000000000003</v>
      </c>
      <c r="L22" s="12">
        <f t="shared" si="26"/>
        <v>-14.265999999999995</v>
      </c>
      <c r="M22" s="12">
        <f t="shared" si="26"/>
        <v>-25.850999999999978</v>
      </c>
      <c r="N22" s="13">
        <f t="shared" si="26"/>
        <v>-242.44499999999999</v>
      </c>
      <c r="O22" s="12">
        <f t="shared" si="26"/>
        <v>45.185000000000045</v>
      </c>
      <c r="P22" s="12">
        <f t="shared" si="26"/>
        <v>-202.84400000000002</v>
      </c>
      <c r="Q22" s="12">
        <f t="shared" ref="Q22:S22" si="27">Q20-Q21</f>
        <v>-237</v>
      </c>
      <c r="R22" s="13">
        <f t="shared" si="27"/>
        <v>69</v>
      </c>
      <c r="S22" s="12">
        <f t="shared" si="27"/>
        <v>124.72499999999997</v>
      </c>
    </row>
    <row r="23" spans="1:19" x14ac:dyDescent="0.15">
      <c r="A23" s="4" t="s">
        <v>16</v>
      </c>
      <c r="B23" s="18">
        <f t="shared" ref="B23:H23" si="28">IFERROR(B22/B24,0)</f>
        <v>3.4924714630307968E-2</v>
      </c>
      <c r="C23" s="18">
        <f t="shared" si="28"/>
        <v>3.0561757074760179E-2</v>
      </c>
      <c r="D23" s="18">
        <f t="shared" si="28"/>
        <v>-5.0347548374975962E-3</v>
      </c>
      <c r="E23" s="18">
        <f t="shared" si="28"/>
        <v>-2.1920234959558117E-2</v>
      </c>
      <c r="F23" s="19">
        <f t="shared" si="28"/>
        <v>-1.2068428953245705E-2</v>
      </c>
      <c r="G23" s="20">
        <f t="shared" si="28"/>
        <v>-7.6722875887871196E-3</v>
      </c>
      <c r="H23" s="20">
        <f t="shared" si="28"/>
        <v>-7.8183698781639915E-2</v>
      </c>
      <c r="I23" s="20">
        <f t="shared" ref="I23:K23" si="29">IFERROR(I22/I24,0)</f>
        <v>-9.1707446690728847E-2</v>
      </c>
      <c r="J23" s="19">
        <f t="shared" si="29"/>
        <v>-5.0272620487736411E-2</v>
      </c>
      <c r="K23" s="18">
        <f t="shared" si="29"/>
        <v>-0.27891732693911597</v>
      </c>
      <c r="L23" s="18">
        <f t="shared" ref="L23:P23" si="30">IFERROR(L22/L24,0)</f>
        <v>-6.1432859216005421E-2</v>
      </c>
      <c r="M23" s="18">
        <f t="shared" si="30"/>
        <v>-0.11037718931197313</v>
      </c>
      <c r="N23" s="19">
        <f t="shared" si="30"/>
        <v>-1.0263568976246618</v>
      </c>
      <c r="O23" s="18">
        <f t="shared" si="30"/>
        <v>0.18274655719803459</v>
      </c>
      <c r="P23" s="18">
        <f t="shared" si="30"/>
        <v>-0.84726619606532738</v>
      </c>
      <c r="Q23" s="18">
        <f t="shared" ref="Q23:S23" si="31">IFERROR(Q22/Q24,0)</f>
        <v>-0.98340248962655596</v>
      </c>
      <c r="R23" s="19">
        <f t="shared" si="31"/>
        <v>0.27490039840637448</v>
      </c>
      <c r="S23" s="18">
        <f t="shared" si="31"/>
        <v>0.49699155243863546</v>
      </c>
    </row>
    <row r="24" spans="1:19" x14ac:dyDescent="0.15">
      <c r="A24" s="4" t="s">
        <v>17</v>
      </c>
      <c r="B24" s="14">
        <v>145.51300000000001</v>
      </c>
      <c r="C24" s="14">
        <v>165.73</v>
      </c>
      <c r="D24" s="14">
        <v>212.92</v>
      </c>
      <c r="E24" s="14">
        <v>214.505</v>
      </c>
      <c r="F24" s="5">
        <v>218.50399999999999</v>
      </c>
      <c r="G24" s="14">
        <v>221.316</v>
      </c>
      <c r="H24" s="14">
        <v>223.333</v>
      </c>
      <c r="I24" s="14">
        <v>225.80500000000001</v>
      </c>
      <c r="J24" s="5">
        <v>228.15600000000001</v>
      </c>
      <c r="K24" s="14">
        <v>230.208</v>
      </c>
      <c r="L24" s="14">
        <v>232.221</v>
      </c>
      <c r="M24" s="53">
        <v>234.20599999999999</v>
      </c>
      <c r="N24" s="5">
        <v>236.21899999999999</v>
      </c>
      <c r="O24" s="14">
        <v>247.255</v>
      </c>
      <c r="P24" s="53">
        <v>239.41</v>
      </c>
      <c r="Q24" s="53">
        <v>241</v>
      </c>
      <c r="R24" s="5">
        <v>251</v>
      </c>
      <c r="S24" s="53">
        <v>250.96</v>
      </c>
    </row>
    <row r="25" spans="1:19" x14ac:dyDescent="0.15">
      <c r="B25" s="8"/>
      <c r="C25" s="8"/>
      <c r="D25" s="8"/>
      <c r="E25" s="8"/>
      <c r="K25" s="8"/>
      <c r="L25" s="8"/>
      <c r="M25" s="52"/>
      <c r="O25" s="8"/>
      <c r="P25" s="52"/>
      <c r="Q25" s="52"/>
      <c r="R25" s="7"/>
      <c r="S25" s="52"/>
    </row>
    <row r="26" spans="1:19" x14ac:dyDescent="0.15">
      <c r="A26" s="4" t="s">
        <v>19</v>
      </c>
      <c r="B26" s="25">
        <f t="shared" ref="B26:Q26" si="32">IFERROR(B13/B11,0)</f>
        <v>0.83873819017501128</v>
      </c>
      <c r="C26" s="25">
        <f t="shared" si="32"/>
        <v>0.83161358540098085</v>
      </c>
      <c r="D26" s="25">
        <f t="shared" si="32"/>
        <v>0.83242610774787618</v>
      </c>
      <c r="E26" s="25">
        <f t="shared" si="32"/>
        <v>0.83442016490579052</v>
      </c>
      <c r="F26" s="26">
        <f t="shared" si="32"/>
        <v>0.83505742504770197</v>
      </c>
      <c r="G26" s="27">
        <f t="shared" si="32"/>
        <v>0.81935947457843383</v>
      </c>
      <c r="H26" s="27">
        <f t="shared" si="32"/>
        <v>0.79428925201208178</v>
      </c>
      <c r="I26" s="27">
        <f t="shared" si="32"/>
        <v>0.78887862743860815</v>
      </c>
      <c r="J26" s="26">
        <f t="shared" si="32"/>
        <v>0.79491508082668305</v>
      </c>
      <c r="K26" s="25">
        <f t="shared" si="32"/>
        <v>0.79884237899505084</v>
      </c>
      <c r="L26" s="25">
        <f t="shared" si="32"/>
        <v>0.79778565458178186</v>
      </c>
      <c r="M26" s="54">
        <f t="shared" si="32"/>
        <v>0.81870762112206352</v>
      </c>
      <c r="N26" s="62">
        <f t="shared" si="32"/>
        <v>0.83095266599823414</v>
      </c>
      <c r="O26" s="25">
        <f t="shared" si="32"/>
        <v>0.83349332227347084</v>
      </c>
      <c r="P26" s="54">
        <f t="shared" si="32"/>
        <v>0.82478416917256769</v>
      </c>
      <c r="Q26" s="54">
        <f t="shared" si="32"/>
        <v>0.81791044776119404</v>
      </c>
      <c r="R26" s="62">
        <f t="shared" ref="R26:S26" si="33">IFERROR(R13/R11,0)</f>
        <v>0.82920110192837471</v>
      </c>
      <c r="S26" s="54">
        <f t="shared" si="33"/>
        <v>0.83852223377576607</v>
      </c>
    </row>
    <row r="27" spans="1:19" x14ac:dyDescent="0.15">
      <c r="A27" s="4" t="s">
        <v>20</v>
      </c>
      <c r="B27" s="28">
        <f t="shared" ref="B27:Q27" si="34">IFERROR(B18/B11,0)</f>
        <v>6.9513464673646191E-2</v>
      </c>
      <c r="C27" s="28">
        <f t="shared" si="34"/>
        <v>3.0691119902284326E-2</v>
      </c>
      <c r="D27" s="28">
        <f t="shared" si="34"/>
        <v>-4.1842600600294953E-2</v>
      </c>
      <c r="E27" s="28">
        <f t="shared" si="34"/>
        <v>-8.9271718343418002E-2</v>
      </c>
      <c r="F27" s="29">
        <f t="shared" si="34"/>
        <v>-3.7488942662679929E-2</v>
      </c>
      <c r="G27" s="30">
        <f t="shared" si="34"/>
        <v>-1.772223304165638E-2</v>
      </c>
      <c r="H27" s="30">
        <f t="shared" si="34"/>
        <v>-0.14422577841147144</v>
      </c>
      <c r="I27" s="30">
        <f t="shared" si="34"/>
        <v>-0.18502733306181937</v>
      </c>
      <c r="J27" s="29">
        <f t="shared" si="34"/>
        <v>-0.10379066912216076</v>
      </c>
      <c r="K27" s="28">
        <f t="shared" si="34"/>
        <v>-6.0644614079728612E-2</v>
      </c>
      <c r="L27" s="28">
        <f t="shared" si="34"/>
        <v>-4.8631566714195655E-2</v>
      </c>
      <c r="M27" s="55">
        <f t="shared" si="34"/>
        <v>-2.1687320280741388E-2</v>
      </c>
      <c r="N27" s="63">
        <f t="shared" si="34"/>
        <v>-7.1831555003519488E-4</v>
      </c>
      <c r="O27" s="28">
        <f t="shared" si="34"/>
        <v>-1.0599406647289455E-2</v>
      </c>
      <c r="P27" s="55">
        <f t="shared" si="34"/>
        <v>-8.9103372457722985E-2</v>
      </c>
      <c r="Q27" s="55">
        <f t="shared" si="34"/>
        <v>-9.5522388059701493E-2</v>
      </c>
      <c r="R27" s="63">
        <f t="shared" ref="R27:S27" si="35">IFERROR(R18/R11,0)</f>
        <v>-1.3774104683195593E-2</v>
      </c>
      <c r="S27" s="55">
        <f t="shared" si="35"/>
        <v>0.10453238730197559</v>
      </c>
    </row>
    <row r="28" spans="1:19" x14ac:dyDescent="0.15">
      <c r="A28" s="4" t="s">
        <v>21</v>
      </c>
      <c r="B28" s="28">
        <f t="shared" ref="B28:Q28" si="36">IFERROR(B21/B20,0)</f>
        <v>0.21971441731920763</v>
      </c>
      <c r="C28" s="28">
        <f t="shared" si="36"/>
        <v>-0.55368098159509127</v>
      </c>
      <c r="D28" s="28">
        <f t="shared" si="36"/>
        <v>0.74372459956968895</v>
      </c>
      <c r="E28" s="28">
        <f t="shared" si="36"/>
        <v>0.55206249404591712</v>
      </c>
      <c r="F28" s="29">
        <f t="shared" si="36"/>
        <v>0.31965944272445823</v>
      </c>
      <c r="G28" s="30">
        <f t="shared" si="36"/>
        <v>-0.14189643577673069</v>
      </c>
      <c r="H28" s="30">
        <f t="shared" si="36"/>
        <v>0.22467918831313008</v>
      </c>
      <c r="I28" s="30">
        <f t="shared" si="36"/>
        <v>0.34814908083606116</v>
      </c>
      <c r="J28" s="29">
        <f t="shared" si="36"/>
        <v>0.41800284148569133</v>
      </c>
      <c r="K28" s="28">
        <f t="shared" si="36"/>
        <v>-4.3753871912934263</v>
      </c>
      <c r="L28" s="28">
        <f t="shared" si="36"/>
        <v>-0.75107401497483783</v>
      </c>
      <c r="M28" s="55">
        <f t="shared" si="36"/>
        <v>-0.18827855665364304</v>
      </c>
      <c r="N28" s="63">
        <f t="shared" si="36"/>
        <v>-9.8677085589563319E-3</v>
      </c>
      <c r="O28" s="28">
        <f t="shared" si="36"/>
        <v>-0.66962273214351586</v>
      </c>
      <c r="P28" s="55">
        <f t="shared" si="36"/>
        <v>-5.7665322960516853E-3</v>
      </c>
      <c r="Q28" s="55">
        <f t="shared" si="36"/>
        <v>-0.24736842105263157</v>
      </c>
      <c r="R28" s="63">
        <f t="shared" ref="R28:S28" si="37">IFERROR(R21/R20,0)</f>
        <v>6.7567567567567571E-2</v>
      </c>
      <c r="S28" s="55">
        <f t="shared" si="37"/>
        <v>0.12611665790856547</v>
      </c>
    </row>
    <row r="29" spans="1:19" x14ac:dyDescent="0.15">
      <c r="B29" s="8"/>
      <c r="C29" s="8"/>
      <c r="D29" s="8"/>
      <c r="E29" s="8"/>
      <c r="K29" s="8"/>
      <c r="L29" s="8"/>
      <c r="M29" s="52"/>
      <c r="O29" s="8"/>
      <c r="P29" s="52"/>
      <c r="Q29" s="52"/>
      <c r="R29" s="7"/>
      <c r="S29" s="52"/>
    </row>
    <row r="30" spans="1:19" s="11" customFormat="1" x14ac:dyDescent="0.15">
      <c r="A30" s="11" t="s">
        <v>18</v>
      </c>
      <c r="B30" s="21"/>
      <c r="C30" s="21"/>
      <c r="D30" s="21"/>
      <c r="E30" s="21"/>
      <c r="F30" s="22">
        <f t="shared" ref="F30:S30" si="38">IFERROR((F11/B11)-1,0)</f>
        <v>0.34339337274852189</v>
      </c>
      <c r="G30" s="21">
        <f t="shared" si="38"/>
        <v>0.35734599748418483</v>
      </c>
      <c r="H30" s="21">
        <f t="shared" si="38"/>
        <v>0.35582744060639993</v>
      </c>
      <c r="I30" s="21">
        <f t="shared" si="38"/>
        <v>0.36635890522619685</v>
      </c>
      <c r="J30" s="22">
        <f t="shared" si="38"/>
        <v>0.42908317310855582</v>
      </c>
      <c r="K30" s="21">
        <f t="shared" si="38"/>
        <v>0.44100087973191671</v>
      </c>
      <c r="L30" s="21">
        <f t="shared" si="38"/>
        <v>0.39906446791612726</v>
      </c>
      <c r="M30" s="56">
        <f t="shared" si="38"/>
        <v>0.39839156547028365</v>
      </c>
      <c r="N30" s="22">
        <f t="shared" si="38"/>
        <v>0.36736239001432347</v>
      </c>
      <c r="O30" s="21">
        <f t="shared" si="38"/>
        <v>0.393334824632535</v>
      </c>
      <c r="P30" s="56">
        <f t="shared" si="38"/>
        <v>0.38237910272971476</v>
      </c>
      <c r="Q30" s="56">
        <f>IFERROR((Q11/M11)-1,0)</f>
        <v>0.3741729324850378</v>
      </c>
      <c r="R30" s="22">
        <f t="shared" si="38"/>
        <v>0.35806533678523866</v>
      </c>
      <c r="S30" s="56">
        <f t="shared" si="38"/>
        <v>0.36706925904494936</v>
      </c>
    </row>
    <row r="31" spans="1:19" s="11" customFormat="1" x14ac:dyDescent="0.15">
      <c r="A31" s="4" t="s">
        <v>38</v>
      </c>
      <c r="B31" s="23"/>
      <c r="C31" s="23"/>
      <c r="D31" s="23"/>
      <c r="E31" s="23"/>
      <c r="F31" s="24">
        <f t="shared" ref="F31:S33" si="39">IFERROR((F14/B14)-1,0)</f>
        <v>0.48389793224813027</v>
      </c>
      <c r="G31" s="23">
        <f t="shared" si="39"/>
        <v>0.45796931822931919</v>
      </c>
      <c r="H31" s="23">
        <f t="shared" si="39"/>
        <v>0.51858962525383046</v>
      </c>
      <c r="I31" s="23">
        <f t="shared" si="39"/>
        <v>0.49089265165214546</v>
      </c>
      <c r="J31" s="24">
        <f t="shared" si="39"/>
        <v>0.40623795546858776</v>
      </c>
      <c r="K31" s="23">
        <f t="shared" si="39"/>
        <v>0.45250723931305381</v>
      </c>
      <c r="L31" s="23">
        <f t="shared" si="39"/>
        <v>0.3194913811966642</v>
      </c>
      <c r="M31" s="57">
        <f t="shared" si="39"/>
        <v>0.22444343981210935</v>
      </c>
      <c r="N31" s="24">
        <f t="shared" si="39"/>
        <v>0.31116780164871072</v>
      </c>
      <c r="O31" s="23">
        <f t="shared" si="39"/>
        <v>0.29647467529904081</v>
      </c>
      <c r="P31" s="57">
        <f t="shared" si="39"/>
        <v>0.41020231426886777</v>
      </c>
      <c r="Q31" s="57">
        <f t="shared" si="39"/>
        <v>0.53089710570394244</v>
      </c>
      <c r="R31" s="24">
        <f t="shared" si="39"/>
        <v>0.41501849171892591</v>
      </c>
      <c r="S31" s="57">
        <f t="shared" si="39"/>
        <v>0.30933893608598995</v>
      </c>
    </row>
    <row r="32" spans="1:19" s="11" customFormat="1" x14ac:dyDescent="0.15">
      <c r="A32" s="4" t="s">
        <v>39</v>
      </c>
      <c r="B32" s="23"/>
      <c r="C32" s="23"/>
      <c r="D32" s="23"/>
      <c r="E32" s="23"/>
      <c r="F32" s="24">
        <f t="shared" si="39"/>
        <v>0.53609642110441524</v>
      </c>
      <c r="G32" s="23">
        <f t="shared" si="39"/>
        <v>0.26265370975913038</v>
      </c>
      <c r="H32" s="23">
        <f t="shared" si="39"/>
        <v>0.49881322638729753</v>
      </c>
      <c r="I32" s="23">
        <f t="shared" si="39"/>
        <v>0.48118140735958681</v>
      </c>
      <c r="J32" s="24">
        <f t="shared" si="39"/>
        <v>0.80512409927942352</v>
      </c>
      <c r="K32" s="23">
        <f t="shared" si="39"/>
        <v>0.62383279836591754</v>
      </c>
      <c r="L32" s="23">
        <f t="shared" si="39"/>
        <v>0.32838225255972708</v>
      </c>
      <c r="M32" s="57">
        <f t="shared" si="39"/>
        <v>6.9191710070390267E-2</v>
      </c>
      <c r="N32" s="24">
        <f t="shared" si="39"/>
        <v>0.15900824980040817</v>
      </c>
      <c r="O32" s="23">
        <f t="shared" si="39"/>
        <v>0.54877692670545164</v>
      </c>
      <c r="P32" s="57">
        <f t="shared" si="39"/>
        <v>0.4499712242045546</v>
      </c>
      <c r="Q32" s="57">
        <f t="shared" si="39"/>
        <v>0.56944274591333421</v>
      </c>
      <c r="R32" s="24">
        <f t="shared" si="39"/>
        <v>0.30113658107228969</v>
      </c>
      <c r="S32" s="57">
        <f t="shared" si="39"/>
        <v>7.2516316171133965E-4</v>
      </c>
    </row>
    <row r="33" spans="1:20" s="11" customFormat="1" x14ac:dyDescent="0.15">
      <c r="A33" s="4" t="s">
        <v>40</v>
      </c>
      <c r="B33" s="23"/>
      <c r="C33" s="23"/>
      <c r="D33" s="23"/>
      <c r="E33" s="23"/>
      <c r="F33" s="24">
        <f t="shared" si="39"/>
        <v>0.62119021804601848</v>
      </c>
      <c r="G33" s="23">
        <f t="shared" si="39"/>
        <v>0.50079204675807087</v>
      </c>
      <c r="H33" s="23">
        <f t="shared" si="39"/>
        <v>0.27269759660505155</v>
      </c>
      <c r="I33" s="23">
        <f t="shared" si="39"/>
        <v>0.27501727977881885</v>
      </c>
      <c r="J33" s="24">
        <f t="shared" si="39"/>
        <v>0.32732676945940931</v>
      </c>
      <c r="K33" s="23">
        <f t="shared" si="39"/>
        <v>0.40433121019108276</v>
      </c>
      <c r="L33" s="23">
        <f t="shared" si="39"/>
        <v>3.1324142353318374E-2</v>
      </c>
      <c r="M33" s="57">
        <f t="shared" si="39"/>
        <v>0.34821105890856519</v>
      </c>
      <c r="N33" s="24">
        <f t="shared" si="39"/>
        <v>0.2780125962211335</v>
      </c>
      <c r="O33" s="23">
        <f t="shared" si="39"/>
        <v>0.34905660377358472</v>
      </c>
      <c r="P33" s="57">
        <f t="shared" si="39"/>
        <v>0.83495507818571824</v>
      </c>
      <c r="Q33" s="57">
        <f t="shared" si="39"/>
        <v>0.31796452664968955</v>
      </c>
      <c r="R33" s="24">
        <f t="shared" si="39"/>
        <v>0.35795168320301385</v>
      </c>
      <c r="S33" s="57">
        <f t="shared" si="39"/>
        <v>0.13348190271267191</v>
      </c>
    </row>
    <row r="34" spans="1:20" x14ac:dyDescent="0.15">
      <c r="B34" s="8"/>
      <c r="C34" s="8"/>
      <c r="D34" s="8"/>
      <c r="E34" s="8"/>
      <c r="K34" s="8"/>
      <c r="L34" s="8"/>
      <c r="M34" s="52"/>
      <c r="O34" s="8"/>
      <c r="P34" s="52"/>
      <c r="Q34" s="52"/>
      <c r="R34" s="7"/>
      <c r="S34" s="52"/>
    </row>
    <row r="35" spans="1:20" s="11" customFormat="1" x14ac:dyDescent="0.15">
      <c r="A35" s="11" t="s">
        <v>26</v>
      </c>
      <c r="B35" s="31"/>
      <c r="C35" s="31"/>
      <c r="D35" s="31"/>
      <c r="E35" s="12">
        <f>E36-E37</f>
        <v>743.11400000000003</v>
      </c>
      <c r="F35" s="13">
        <f>F36-F37</f>
        <v>754.34400000000005</v>
      </c>
      <c r="G35" s="32">
        <f t="shared" ref="G35:K35" si="40">G36-G37</f>
        <v>795.274</v>
      </c>
      <c r="H35" s="32">
        <f t="shared" si="40"/>
        <v>503.55799999999999</v>
      </c>
      <c r="I35" s="12">
        <f>I36-I37</f>
        <v>549.91899999999998</v>
      </c>
      <c r="J35" s="13">
        <f t="shared" si="40"/>
        <v>613.54</v>
      </c>
      <c r="K35" s="12">
        <f t="shared" si="40"/>
        <v>679.09899999999993</v>
      </c>
      <c r="L35" s="12">
        <f t="shared" ref="L35:S35" si="41">L36-L37</f>
        <v>763.86599999999999</v>
      </c>
      <c r="M35" s="12">
        <f t="shared" si="41"/>
        <v>913.83600000000001</v>
      </c>
      <c r="N35" s="13">
        <f t="shared" si="41"/>
        <v>967.05599999999981</v>
      </c>
      <c r="O35" s="12">
        <f t="shared" si="41"/>
        <v>807.95799999999986</v>
      </c>
      <c r="P35" s="12">
        <f t="shared" si="41"/>
        <v>928.29000000000008</v>
      </c>
      <c r="Q35" s="12">
        <f t="shared" si="41"/>
        <v>859</v>
      </c>
      <c r="R35" s="13">
        <f t="shared" si="41"/>
        <v>912</v>
      </c>
      <c r="S35" s="12">
        <f t="shared" si="41"/>
        <v>1067</v>
      </c>
    </row>
    <row r="36" spans="1:20" x14ac:dyDescent="0.15">
      <c r="A36" s="4" t="s">
        <v>27</v>
      </c>
      <c r="B36" s="14"/>
      <c r="C36" s="14"/>
      <c r="D36" s="14"/>
      <c r="E36" s="14">
        <f>259.709+483.405</f>
        <v>743.11400000000003</v>
      </c>
      <c r="F36" s="5">
        <f>266.745+487.599</f>
        <v>754.34400000000005</v>
      </c>
      <c r="G36" s="14">
        <f>336.162+459.112</f>
        <v>795.274</v>
      </c>
      <c r="H36" s="14">
        <f>196.882+306.676</f>
        <v>503.55799999999999</v>
      </c>
      <c r="I36" s="14">
        <f>244.42+305.499</f>
        <v>549.91899999999998</v>
      </c>
      <c r="J36" s="5">
        <f>305.871+307.669</f>
        <v>613.54</v>
      </c>
      <c r="K36" s="14">
        <f>310.905+368.194</f>
        <v>679.09899999999993</v>
      </c>
      <c r="L36" s="14">
        <f>393.513+370.353</f>
        <v>763.86599999999999</v>
      </c>
      <c r="M36" s="14">
        <f>1410.339+323.134</f>
        <v>1733.473</v>
      </c>
      <c r="N36" s="5">
        <f>1517.78+277.246</f>
        <v>1795.0259999999998</v>
      </c>
      <c r="O36" s="14">
        <f>1340.589+303.772</f>
        <v>1644.3609999999999</v>
      </c>
      <c r="P36" s="53">
        <f>1445.284+327.944</f>
        <v>1773.2280000000001</v>
      </c>
      <c r="Q36" s="53">
        <f>1268+445</f>
        <v>1713</v>
      </c>
      <c r="R36" s="5">
        <f>1187+587</f>
        <v>1774</v>
      </c>
      <c r="S36" s="53">
        <f>1240+698</f>
        <v>1938</v>
      </c>
      <c r="T36" s="44"/>
    </row>
    <row r="37" spans="1:20" x14ac:dyDescent="0.15">
      <c r="A37" s="4" t="s">
        <v>28</v>
      </c>
      <c r="B37" s="14"/>
      <c r="C37" s="14"/>
      <c r="D37" s="14"/>
      <c r="E37" s="14">
        <v>0</v>
      </c>
      <c r="F37" s="5">
        <v>0</v>
      </c>
      <c r="G37" s="14">
        <v>0</v>
      </c>
      <c r="H37" s="14">
        <v>0</v>
      </c>
      <c r="I37" s="14">
        <v>0</v>
      </c>
      <c r="J37" s="5">
        <v>0</v>
      </c>
      <c r="K37" s="14">
        <v>0</v>
      </c>
      <c r="L37" s="14">
        <v>0</v>
      </c>
      <c r="M37" s="14">
        <v>819.63699999999994</v>
      </c>
      <c r="N37" s="5">
        <v>827.97</v>
      </c>
      <c r="O37" s="14">
        <v>836.40300000000002</v>
      </c>
      <c r="P37" s="53">
        <v>844.93799999999999</v>
      </c>
      <c r="Q37" s="53">
        <v>854</v>
      </c>
      <c r="R37" s="5">
        <v>862</v>
      </c>
      <c r="S37" s="53">
        <v>871</v>
      </c>
    </row>
    <row r="38" spans="1:20" x14ac:dyDescent="0.15">
      <c r="B38" s="8"/>
      <c r="C38" s="8"/>
      <c r="D38" s="8"/>
      <c r="E38" s="8"/>
      <c r="I38" s="8"/>
      <c r="K38" s="8"/>
      <c r="L38" s="8"/>
      <c r="M38" s="8"/>
      <c r="O38" s="8"/>
      <c r="P38" s="52"/>
      <c r="Q38" s="53"/>
      <c r="R38" s="7"/>
      <c r="S38" s="52"/>
    </row>
    <row r="39" spans="1:20" s="44" customFormat="1" x14ac:dyDescent="0.15">
      <c r="A39" s="44" t="s">
        <v>68</v>
      </c>
      <c r="B39" s="3"/>
      <c r="C39" s="3"/>
      <c r="D39" s="3"/>
      <c r="E39" s="3"/>
      <c r="F39" s="5"/>
      <c r="G39" s="3"/>
      <c r="H39" s="3"/>
      <c r="I39" s="3">
        <f>311.9+120.789</f>
        <v>432.68899999999996</v>
      </c>
      <c r="J39" s="5"/>
      <c r="K39" s="3"/>
      <c r="L39" s="3">
        <f>312.048+77.978</f>
        <v>390.02600000000001</v>
      </c>
      <c r="M39" s="3">
        <f>311.943+63.577</f>
        <v>375.52</v>
      </c>
      <c r="N39" s="5">
        <f>311.931+50.081</f>
        <v>362.012</v>
      </c>
      <c r="O39" s="3">
        <f>506.121+120.942</f>
        <v>627.06299999999999</v>
      </c>
      <c r="P39" s="50">
        <f>506.086+108.138</f>
        <v>614.22400000000005</v>
      </c>
      <c r="Q39" s="50">
        <f>609+151</f>
        <v>760</v>
      </c>
      <c r="R39" s="5">
        <f>610+139</f>
        <v>749</v>
      </c>
      <c r="S39" s="50">
        <f>633+142</f>
        <v>775</v>
      </c>
    </row>
    <row r="40" spans="1:20" s="44" customFormat="1" x14ac:dyDescent="0.15">
      <c r="A40" s="44" t="s">
        <v>69</v>
      </c>
      <c r="B40" s="3"/>
      <c r="C40" s="3"/>
      <c r="D40" s="3"/>
      <c r="E40" s="3"/>
      <c r="F40" s="5"/>
      <c r="G40" s="3"/>
      <c r="H40" s="3"/>
      <c r="I40" s="3">
        <v>1283.8579999999999</v>
      </c>
      <c r="J40" s="5"/>
      <c r="K40" s="3"/>
      <c r="L40" s="3">
        <v>1372.7449999999999</v>
      </c>
      <c r="M40" s="3">
        <v>2421.828</v>
      </c>
      <c r="N40" s="5">
        <v>2553.5219999999999</v>
      </c>
      <c r="O40" s="3">
        <v>2724.944</v>
      </c>
      <c r="P40" s="50">
        <v>2875.1439999999998</v>
      </c>
      <c r="Q40" s="50">
        <v>2977</v>
      </c>
      <c r="R40" s="5">
        <v>3281</v>
      </c>
      <c r="S40" s="50">
        <v>3503</v>
      </c>
    </row>
    <row r="41" spans="1:20" s="44" customFormat="1" x14ac:dyDescent="0.15">
      <c r="A41" s="44" t="s">
        <v>70</v>
      </c>
      <c r="B41" s="3"/>
      <c r="C41" s="3"/>
      <c r="D41" s="3"/>
      <c r="E41" s="3"/>
      <c r="F41" s="5"/>
      <c r="G41" s="3"/>
      <c r="H41" s="3"/>
      <c r="I41" s="3">
        <v>389.81</v>
      </c>
      <c r="J41" s="5"/>
      <c r="K41" s="3"/>
      <c r="L41" s="3">
        <v>490.03199999999998</v>
      </c>
      <c r="M41" s="3">
        <v>1514.508</v>
      </c>
      <c r="N41" s="5">
        <v>1840.252</v>
      </c>
      <c r="O41" s="3">
        <v>1905.1959999999999</v>
      </c>
      <c r="P41" s="50">
        <v>2181.6260000000002</v>
      </c>
      <c r="Q41" s="50">
        <v>2412</v>
      </c>
      <c r="R41" s="5">
        <v>2586</v>
      </c>
      <c r="S41" s="50">
        <v>2608</v>
      </c>
    </row>
    <row r="42" spans="1:20" x14ac:dyDescent="0.15">
      <c r="L42" s="2"/>
      <c r="M42" s="2"/>
      <c r="Q42" s="51"/>
      <c r="R42" s="7"/>
      <c r="S42" s="51"/>
    </row>
    <row r="43" spans="1:20" x14ac:dyDescent="0.15">
      <c r="A43" s="4" t="s">
        <v>71</v>
      </c>
      <c r="I43" s="17">
        <f>I40-I39-I36</f>
        <v>301.25</v>
      </c>
      <c r="L43" s="17">
        <f t="shared" ref="L43:S43" si="42">L40-L39-L36</f>
        <v>218.85299999999984</v>
      </c>
      <c r="M43" s="17">
        <f t="shared" si="42"/>
        <v>312.83500000000004</v>
      </c>
      <c r="N43" s="16">
        <f t="shared" si="42"/>
        <v>396.48399999999992</v>
      </c>
      <c r="O43" s="17">
        <f t="shared" si="42"/>
        <v>453.52</v>
      </c>
      <c r="P43" s="17">
        <f t="shared" si="42"/>
        <v>487.69199999999955</v>
      </c>
      <c r="Q43" s="17">
        <f t="shared" si="42"/>
        <v>504</v>
      </c>
      <c r="R43" s="16">
        <f t="shared" si="42"/>
        <v>758</v>
      </c>
      <c r="S43" s="17">
        <f t="shared" si="42"/>
        <v>790</v>
      </c>
    </row>
    <row r="44" spans="1:20" x14ac:dyDescent="0.15">
      <c r="A44" s="4" t="s">
        <v>72</v>
      </c>
      <c r="I44" s="17">
        <f>I40-I41</f>
        <v>894.048</v>
      </c>
      <c r="L44" s="17">
        <f t="shared" ref="L44:S44" si="43">L40-L41</f>
        <v>882.71299999999997</v>
      </c>
      <c r="M44" s="17">
        <f t="shared" si="43"/>
        <v>907.31999999999994</v>
      </c>
      <c r="N44" s="16">
        <f t="shared" si="43"/>
        <v>713.27</v>
      </c>
      <c r="O44" s="17">
        <f t="shared" si="43"/>
        <v>819.74800000000005</v>
      </c>
      <c r="P44" s="17">
        <f t="shared" si="43"/>
        <v>693.51799999999957</v>
      </c>
      <c r="Q44" s="17">
        <f t="shared" si="43"/>
        <v>565</v>
      </c>
      <c r="R44" s="16">
        <f t="shared" si="43"/>
        <v>695</v>
      </c>
      <c r="S44" s="17">
        <f t="shared" si="43"/>
        <v>895</v>
      </c>
    </row>
    <row r="45" spans="1:20" x14ac:dyDescent="0.15">
      <c r="I45" s="8"/>
      <c r="L45" s="8"/>
      <c r="M45" s="8"/>
      <c r="O45" s="8"/>
      <c r="Q45" s="51"/>
      <c r="R45" s="7"/>
      <c r="S45" s="51"/>
    </row>
    <row r="46" spans="1:20" s="11" customFormat="1" x14ac:dyDescent="0.15">
      <c r="A46" s="11" t="s">
        <v>87</v>
      </c>
      <c r="B46" s="47"/>
      <c r="C46" s="47"/>
      <c r="D46" s="47"/>
      <c r="E46" s="47"/>
      <c r="F46" s="46"/>
      <c r="G46" s="47"/>
      <c r="H46" s="47"/>
      <c r="I46" s="32">
        <f>SUM(F22:I22)</f>
        <v>-42.504000000000026</v>
      </c>
      <c r="J46" s="46"/>
      <c r="K46" s="47"/>
      <c r="L46" s="32">
        <f t="shared" ref="L46:S46" si="44">SUM(I22:L22)</f>
        <v>-110.65300000000001</v>
      </c>
      <c r="M46" s="32">
        <f t="shared" si="44"/>
        <v>-115.79599999999996</v>
      </c>
      <c r="N46" s="13">
        <f t="shared" si="44"/>
        <v>-346.77099999999996</v>
      </c>
      <c r="O46" s="32">
        <f t="shared" si="44"/>
        <v>-237.3769999999999</v>
      </c>
      <c r="P46" s="32">
        <f t="shared" si="44"/>
        <v>-425.95499999999993</v>
      </c>
      <c r="Q46" s="32">
        <f t="shared" si="44"/>
        <v>-637.10399999999993</v>
      </c>
      <c r="R46" s="13">
        <f t="shared" si="44"/>
        <v>-325.65899999999999</v>
      </c>
      <c r="S46" s="32">
        <f t="shared" si="44"/>
        <v>-246.11900000000009</v>
      </c>
    </row>
    <row r="47" spans="1:20" x14ac:dyDescent="0.15">
      <c r="A47" s="4" t="s">
        <v>73</v>
      </c>
      <c r="I47" s="27">
        <f>I46/I44</f>
        <v>-4.754107162031572E-2</v>
      </c>
      <c r="L47" s="27">
        <f t="shared" ref="L47:S47" si="45">L46/L44</f>
        <v>-0.12535557989969562</v>
      </c>
      <c r="M47" s="27">
        <f t="shared" si="45"/>
        <v>-0.12762421196490761</v>
      </c>
      <c r="N47" s="26">
        <f t="shared" si="45"/>
        <v>-0.48617073478486406</v>
      </c>
      <c r="O47" s="27">
        <f t="shared" si="45"/>
        <v>-0.28957313711042892</v>
      </c>
      <c r="P47" s="27">
        <f t="shared" si="45"/>
        <v>-0.61419458471157229</v>
      </c>
      <c r="Q47" s="27">
        <f t="shared" si="45"/>
        <v>-1.1276176991150442</v>
      </c>
      <c r="R47" s="26">
        <f t="shared" si="45"/>
        <v>-0.46857410071942446</v>
      </c>
      <c r="S47" s="27">
        <f t="shared" si="45"/>
        <v>-0.27499329608938555</v>
      </c>
    </row>
    <row r="48" spans="1:20" x14ac:dyDescent="0.15">
      <c r="A48" s="4" t="s">
        <v>74</v>
      </c>
      <c r="I48" s="27">
        <f>I46/I40</f>
        <v>-3.3106465045199727E-2</v>
      </c>
      <c r="L48" s="27">
        <f t="shared" ref="L48:S48" si="46">L46/L40</f>
        <v>-8.0607104742687105E-2</v>
      </c>
      <c r="M48" s="27">
        <f t="shared" si="46"/>
        <v>-4.7813469825272466E-2</v>
      </c>
      <c r="N48" s="26">
        <f t="shared" si="46"/>
        <v>-0.13580106221916238</v>
      </c>
      <c r="O48" s="27">
        <f t="shared" si="46"/>
        <v>-8.7112615892289857E-2</v>
      </c>
      <c r="P48" s="27">
        <f t="shared" si="46"/>
        <v>-0.14815084044486118</v>
      </c>
      <c r="Q48" s="27">
        <f t="shared" si="46"/>
        <v>-0.21400873362445413</v>
      </c>
      <c r="R48" s="26">
        <f t="shared" si="46"/>
        <v>-9.9256019506248086E-2</v>
      </c>
      <c r="S48" s="27">
        <f t="shared" si="46"/>
        <v>-7.0259491864116494E-2</v>
      </c>
    </row>
    <row r="49" spans="1:19" x14ac:dyDescent="0.15">
      <c r="A49" s="4" t="s">
        <v>75</v>
      </c>
      <c r="B49" s="3"/>
      <c r="C49" s="3"/>
      <c r="D49" s="3"/>
      <c r="E49" s="3"/>
      <c r="F49" s="5"/>
      <c r="G49" s="3"/>
      <c r="H49" s="3"/>
      <c r="I49" s="27">
        <f>I46/(I44-I39)</f>
        <v>-9.2127822368264237E-2</v>
      </c>
      <c r="J49" s="5"/>
      <c r="K49" s="3"/>
      <c r="L49" s="27">
        <f t="shared" ref="L49:S49" si="47">L46/(L44-L39)</f>
        <v>-0.22459086600620681</v>
      </c>
      <c r="M49" s="27">
        <f t="shared" si="47"/>
        <v>-0.21774351259872127</v>
      </c>
      <c r="N49" s="26">
        <f t="shared" si="47"/>
        <v>-0.98722591371584412</v>
      </c>
      <c r="O49" s="27">
        <f t="shared" si="47"/>
        <v>-1.2319433271920484</v>
      </c>
      <c r="P49" s="27">
        <f t="shared" si="47"/>
        <v>-5.3718440235074842</v>
      </c>
      <c r="Q49" s="27">
        <f t="shared" si="47"/>
        <v>3.2671999999999994</v>
      </c>
      <c r="R49" s="26">
        <f t="shared" si="47"/>
        <v>6.0307222222222219</v>
      </c>
      <c r="S49" s="27">
        <f t="shared" si="47"/>
        <v>-2.0509916666666674</v>
      </c>
    </row>
    <row r="50" spans="1:19" x14ac:dyDescent="0.15">
      <c r="A50" s="4" t="s">
        <v>76</v>
      </c>
      <c r="I50" s="27">
        <f>I46/I43</f>
        <v>-0.1410921161825727</v>
      </c>
      <c r="L50" s="27">
        <f t="shared" ref="L50:S50" si="48">L46/L43</f>
        <v>-0.50560421835661418</v>
      </c>
      <c r="M50" s="27">
        <f t="shared" si="48"/>
        <v>-0.37015039877251571</v>
      </c>
      <c r="N50" s="26">
        <f t="shared" si="48"/>
        <v>-0.87461536909433935</v>
      </c>
      <c r="O50" s="27">
        <f t="shared" si="48"/>
        <v>-0.52341021344152383</v>
      </c>
      <c r="P50" s="27">
        <f t="shared" si="48"/>
        <v>-0.87340985704091989</v>
      </c>
      <c r="Q50" s="27">
        <f t="shared" si="48"/>
        <v>-1.2640952380952379</v>
      </c>
      <c r="R50" s="26">
        <f t="shared" si="48"/>
        <v>-0.42962928759894459</v>
      </c>
      <c r="S50" s="27">
        <f t="shared" si="48"/>
        <v>-0.31154303797468363</v>
      </c>
    </row>
    <row r="51" spans="1:19" x14ac:dyDescent="0.15">
      <c r="L51" s="2"/>
      <c r="M51" s="2"/>
      <c r="Q51" s="51"/>
      <c r="R51" s="7"/>
      <c r="S51" s="51"/>
    </row>
    <row r="52" spans="1:19" x14ac:dyDescent="0.15">
      <c r="A52" s="4" t="s">
        <v>77</v>
      </c>
      <c r="I52" s="27">
        <f>I3/E3-1</f>
        <v>0.66327139252122014</v>
      </c>
      <c r="L52" s="27">
        <f t="shared" ref="L52:S55" si="49">L3/H3-1</f>
        <v>0.66649308021272224</v>
      </c>
      <c r="M52" s="27">
        <f t="shared" si="49"/>
        <v>0.6198035916250586</v>
      </c>
      <c r="N52" s="26">
        <f t="shared" si="49"/>
        <v>0.55183989072935824</v>
      </c>
      <c r="O52" s="27">
        <f t="shared" si="49"/>
        <v>0.56083681323180223</v>
      </c>
      <c r="P52" s="65">
        <f t="shared" si="49"/>
        <v>0.57634180523465006</v>
      </c>
      <c r="Q52" s="65">
        <f t="shared" si="49"/>
        <v>0.54122565757542218</v>
      </c>
      <c r="R52" s="26">
        <f t="shared" si="49"/>
        <v>0.49927274083466977</v>
      </c>
      <c r="S52" s="65">
        <f t="shared" si="49"/>
        <v>0.49956721311475416</v>
      </c>
    </row>
    <row r="53" spans="1:19" x14ac:dyDescent="0.15">
      <c r="A53" s="4" t="s">
        <v>78</v>
      </c>
      <c r="I53" s="27">
        <f>I4/E4-1</f>
        <v>0.21833764113726017</v>
      </c>
      <c r="L53" s="27">
        <f t="shared" si="49"/>
        <v>0.22186605438931295</v>
      </c>
      <c r="M53" s="27">
        <f t="shared" si="49"/>
        <v>0.21801027244305504</v>
      </c>
      <c r="N53" s="26">
        <f t="shared" si="49"/>
        <v>0.21670449625421506</v>
      </c>
      <c r="O53" s="27">
        <f t="shared" si="49"/>
        <v>0.20713389407248184</v>
      </c>
      <c r="P53" s="65">
        <f t="shared" si="49"/>
        <v>0.2063255768550265</v>
      </c>
      <c r="Q53" s="65">
        <f t="shared" si="49"/>
        <v>0.2146491268277031</v>
      </c>
      <c r="R53" s="26">
        <f t="shared" si="49"/>
        <v>0.18616287094547967</v>
      </c>
      <c r="S53" s="65">
        <f t="shared" si="49"/>
        <v>0.20292092506252501</v>
      </c>
    </row>
    <row r="54" spans="1:19" x14ac:dyDescent="0.15">
      <c r="A54" s="4" t="s">
        <v>79</v>
      </c>
      <c r="I54" s="27">
        <f>I5/E5-1</f>
        <v>8.0844173971302613E-2</v>
      </c>
      <c r="L54" s="27">
        <f t="shared" si="49"/>
        <v>9.1202872531418233E-2</v>
      </c>
      <c r="M54" s="27">
        <f t="shared" si="49"/>
        <v>0.16297329407510697</v>
      </c>
      <c r="N54" s="26">
        <f t="shared" si="49"/>
        <v>0.12294323323735079</v>
      </c>
      <c r="O54" s="27">
        <f t="shared" si="49"/>
        <v>0.20210781570602498</v>
      </c>
      <c r="P54" s="65">
        <f t="shared" si="49"/>
        <v>8.8327927419733943E-2</v>
      </c>
      <c r="Q54" s="65">
        <f t="shared" si="49"/>
        <v>2.1586568357466529E-2</v>
      </c>
      <c r="R54" s="26">
        <f t="shared" si="49"/>
        <v>0.14474105957232486</v>
      </c>
      <c r="S54" s="65">
        <f t="shared" si="49"/>
        <v>0.12696873302816347</v>
      </c>
    </row>
    <row r="55" spans="1:19" x14ac:dyDescent="0.15">
      <c r="A55" s="4" t="s">
        <v>80</v>
      </c>
      <c r="I55" s="27">
        <f>I6/E6-1</f>
        <v>0.48674268443467494</v>
      </c>
      <c r="L55" s="27">
        <f t="shared" si="49"/>
        <v>0.4933319963902536</v>
      </c>
      <c r="M55" s="27">
        <f t="shared" si="49"/>
        <v>0.53040103492884882</v>
      </c>
      <c r="N55" s="26">
        <f t="shared" si="49"/>
        <v>0.38965876918492026</v>
      </c>
      <c r="O55" s="27">
        <f t="shared" si="49"/>
        <v>0.57553041965062568</v>
      </c>
      <c r="P55" s="65">
        <f t="shared" si="49"/>
        <v>0.39582354126099495</v>
      </c>
      <c r="Q55" s="65">
        <f t="shared" si="49"/>
        <v>0.50947953145755331</v>
      </c>
      <c r="R55" s="26">
        <f t="shared" si="49"/>
        <v>0.44756594467081268</v>
      </c>
      <c r="S55" s="65">
        <f t="shared" si="49"/>
        <v>0.44915038232795235</v>
      </c>
    </row>
    <row r="56" spans="1:19" x14ac:dyDescent="0.15">
      <c r="I56" s="51"/>
      <c r="L56" s="2"/>
      <c r="R56" s="7"/>
      <c r="S56" s="51"/>
    </row>
    <row r="57" spans="1:19" s="44" customFormat="1" x14ac:dyDescent="0.15">
      <c r="A57" s="44" t="s">
        <v>81</v>
      </c>
      <c r="B57" s="3"/>
      <c r="C57" s="3"/>
      <c r="D57" s="3"/>
      <c r="E57" s="3"/>
      <c r="F57" s="5"/>
      <c r="G57" s="3"/>
      <c r="H57" s="3">
        <v>85031</v>
      </c>
      <c r="I57" s="50">
        <v>89237</v>
      </c>
      <c r="J57" s="5">
        <v>107746</v>
      </c>
      <c r="K57" s="3">
        <v>112571</v>
      </c>
      <c r="L57" s="14">
        <v>119158</v>
      </c>
      <c r="M57" s="50">
        <v>125796</v>
      </c>
      <c r="N57" s="5">
        <v>138235</v>
      </c>
      <c r="O57" s="14">
        <v>138235</v>
      </c>
      <c r="P57" s="53">
        <v>144038</v>
      </c>
      <c r="Q57" s="14">
        <v>152727</v>
      </c>
      <c r="R57" s="5">
        <v>159787</v>
      </c>
      <c r="S57" s="53">
        <v>164790</v>
      </c>
    </row>
    <row r="58" spans="1:19" s="58" customFormat="1" x14ac:dyDescent="0.15">
      <c r="A58" s="58" t="s">
        <v>88</v>
      </c>
      <c r="B58" s="59"/>
      <c r="C58" s="59"/>
      <c r="D58" s="59"/>
      <c r="E58" s="59"/>
      <c r="F58" s="60"/>
      <c r="G58" s="59"/>
      <c r="H58" s="59"/>
      <c r="I58" s="59"/>
      <c r="J58" s="60"/>
      <c r="K58" s="59"/>
      <c r="L58" s="25">
        <f t="shared" ref="L58:S58" si="50">L8/H8-1</f>
        <v>0.40134774376403914</v>
      </c>
      <c r="M58" s="25">
        <f t="shared" si="50"/>
        <v>0.40968432376704733</v>
      </c>
      <c r="N58" s="26">
        <f t="shared" si="50"/>
        <v>0.28297106157073126</v>
      </c>
      <c r="O58" s="25">
        <f t="shared" si="50"/>
        <v>0.22798056337777939</v>
      </c>
      <c r="P58" s="25">
        <f t="shared" si="50"/>
        <v>0.20879840212155298</v>
      </c>
      <c r="Q58" s="25">
        <f>Q8/M8-1</f>
        <v>0.21408470857578954</v>
      </c>
      <c r="R58" s="26">
        <f t="shared" si="50"/>
        <v>0.15590841682641887</v>
      </c>
      <c r="S58" s="25">
        <f t="shared" si="50"/>
        <v>0.19210040872427392</v>
      </c>
    </row>
    <row r="59" spans="1:19" x14ac:dyDescent="0.15">
      <c r="R59" s="7"/>
      <c r="S59" s="51"/>
    </row>
    <row r="60" spans="1:19" x14ac:dyDescent="0.15">
      <c r="A60" s="4" t="s">
        <v>115</v>
      </c>
      <c r="L60" s="65">
        <f t="shared" ref="L60:S60" si="51">L9/H9-1</f>
        <v>-1.6293427938014471E-3</v>
      </c>
      <c r="M60" s="65">
        <f t="shared" si="51"/>
        <v>-8.0108419355804372E-3</v>
      </c>
      <c r="N60" s="62">
        <f t="shared" si="51"/>
        <v>6.5778045172953936E-2</v>
      </c>
      <c r="O60" s="65">
        <f t="shared" si="51"/>
        <v>0.13465543851925399</v>
      </c>
      <c r="P60" s="65">
        <f t="shared" si="51"/>
        <v>0.14359772506607538</v>
      </c>
      <c r="Q60" s="65">
        <f t="shared" si="51"/>
        <v>0.13185918806031549</v>
      </c>
      <c r="R60" s="62">
        <f t="shared" si="51"/>
        <v>0.17489008386481664</v>
      </c>
      <c r="S60" s="65">
        <f t="shared" si="51"/>
        <v>0.14677358470828672</v>
      </c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6" sqref="B16"/>
    </sheetView>
  </sheetViews>
  <sheetFormatPr baseColWidth="10" defaultColWidth="10.83203125" defaultRowHeight="13" x14ac:dyDescent="0.15"/>
  <cols>
    <col min="1" max="1" width="18.6640625" style="4" customWidth="1"/>
    <col min="2" max="2" width="28.6640625" style="4" bestFit="1" customWidth="1"/>
    <col min="3" max="16384" width="10.83203125" style="4"/>
  </cols>
  <sheetData>
    <row r="1" spans="1:2" x14ac:dyDescent="0.15">
      <c r="A1" s="4" t="s">
        <v>92</v>
      </c>
      <c r="B1" s="4" t="s">
        <v>94</v>
      </c>
    </row>
    <row r="2" spans="1:2" x14ac:dyDescent="0.15">
      <c r="A2" s="4" t="s">
        <v>93</v>
      </c>
      <c r="B2" s="4" t="s">
        <v>95</v>
      </c>
    </row>
    <row r="3" spans="1:2" x14ac:dyDescent="0.15">
      <c r="A3" s="4" t="s">
        <v>96</v>
      </c>
      <c r="B3" s="4" t="s">
        <v>97</v>
      </c>
    </row>
    <row r="4" spans="1:2" x14ac:dyDescent="0.15">
      <c r="A4" s="4" t="s">
        <v>98</v>
      </c>
      <c r="B4" s="4" t="s">
        <v>99</v>
      </c>
    </row>
    <row r="5" spans="1:2" x14ac:dyDescent="0.15">
      <c r="A5" s="4" t="s">
        <v>100</v>
      </c>
      <c r="B5" s="4" t="s">
        <v>101</v>
      </c>
    </row>
    <row r="6" spans="1:2" x14ac:dyDescent="0.15">
      <c r="A6" s="4" t="s">
        <v>102</v>
      </c>
      <c r="B6" s="4" t="s">
        <v>103</v>
      </c>
    </row>
    <row r="7" spans="1:2" s="11" customFormat="1" x14ac:dyDescent="0.15">
      <c r="A7" s="11" t="s">
        <v>104</v>
      </c>
      <c r="B7" s="11" t="s">
        <v>113</v>
      </c>
    </row>
    <row r="8" spans="1:2" s="11" customFormat="1" x14ac:dyDescent="0.15">
      <c r="A8" s="11" t="s">
        <v>105</v>
      </c>
      <c r="B8" s="11" t="s">
        <v>106</v>
      </c>
    </row>
    <row r="9" spans="1:2" s="11" customFormat="1" x14ac:dyDescent="0.15">
      <c r="A9" s="11" t="s">
        <v>107</v>
      </c>
      <c r="B9" s="11" t="s">
        <v>108</v>
      </c>
    </row>
    <row r="10" spans="1:2" x14ac:dyDescent="0.15">
      <c r="A10" s="4" t="s">
        <v>109</v>
      </c>
      <c r="B10" s="4" t="s">
        <v>110</v>
      </c>
    </row>
    <row r="11" spans="1:2" x14ac:dyDescent="0.15">
      <c r="A11" s="4" t="s">
        <v>111</v>
      </c>
      <c r="B11" s="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2020-05-12T08:26:44Z</dcterms:modified>
</cp:coreProperties>
</file>