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B78EE08-AAF3-5D4B-8719-DE4F0D822C2F}" xr6:coauthVersionLast="45" xr6:coauthVersionMax="45" xr10:uidLastSave="{00000000-0000-0000-0000-000000000000}"/>
  <bookViews>
    <workbookView xWindow="0" yWindow="460" windowWidth="22820" windowHeight="20320" tabRatio="500" xr2:uid="{00000000-000D-0000-FFFF-FFFF00000000}"/>
  </bookViews>
  <sheets>
    <sheet name="Main" sheetId="2" r:id="rId1"/>
    <sheet name="Reports RMB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L21" i="2"/>
  <c r="M21" i="2" s="1"/>
  <c r="N21" i="2" s="1"/>
  <c r="O21" i="2" s="1"/>
  <c r="P21" i="2" s="1"/>
  <c r="Q21" i="2" s="1"/>
  <c r="R21" i="2" s="1"/>
  <c r="S21" i="2" s="1"/>
  <c r="T21" i="2" s="1"/>
  <c r="K21" i="2"/>
  <c r="L22" i="2"/>
  <c r="M22" i="2" s="1"/>
  <c r="N22" i="2" s="1"/>
  <c r="O22" i="2" s="1"/>
  <c r="P22" i="2" s="1"/>
  <c r="Q22" i="2" s="1"/>
  <c r="R22" i="2" s="1"/>
  <c r="S22" i="2" s="1"/>
  <c r="T22" i="2" s="1"/>
  <c r="K22" i="2"/>
  <c r="G22" i="2"/>
  <c r="H22" i="2" s="1"/>
  <c r="I22" i="2" s="1"/>
  <c r="J22" i="2" s="1"/>
  <c r="F22" i="2"/>
  <c r="E44" i="2"/>
  <c r="D44" i="2"/>
  <c r="C44" i="2"/>
  <c r="R28" i="1"/>
  <c r="T11" i="2"/>
  <c r="S11" i="2"/>
  <c r="R11" i="2"/>
  <c r="Q11" i="2"/>
  <c r="P11" i="2"/>
  <c r="C5" i="2"/>
  <c r="C3" i="2"/>
  <c r="F4" i="2"/>
  <c r="E19" i="2"/>
  <c r="R44" i="1"/>
  <c r="R48" i="1" s="1"/>
  <c r="R42" i="1"/>
  <c r="R41" i="1"/>
  <c r="R37" i="1"/>
  <c r="R33" i="1"/>
  <c r="R34" i="1"/>
  <c r="R31" i="1"/>
  <c r="R30" i="1"/>
  <c r="R26" i="1"/>
  <c r="R25" i="1"/>
  <c r="R24" i="1"/>
  <c r="R22" i="1"/>
  <c r="R19" i="1"/>
  <c r="R20" i="1" s="1"/>
  <c r="R16" i="1"/>
  <c r="R17" i="1" s="1"/>
  <c r="R14" i="1"/>
  <c r="R15" i="1" s="1"/>
  <c r="R9" i="1"/>
  <c r="R11" i="1" s="1"/>
  <c r="R51" i="1"/>
  <c r="R50" i="1"/>
  <c r="R56" i="1"/>
  <c r="R6" i="1"/>
  <c r="R7" i="1" s="1"/>
  <c r="Q6" i="1"/>
  <c r="R45" i="1" l="1"/>
  <c r="R46" i="1"/>
  <c r="R47" i="1"/>
  <c r="R59" i="1"/>
  <c r="E52" i="2" l="1"/>
  <c r="E51" i="2"/>
  <c r="E55" i="2" s="1"/>
  <c r="E50" i="2"/>
  <c r="E48" i="2"/>
  <c r="E47" i="2"/>
  <c r="E30" i="2"/>
  <c r="E31" i="2" s="1"/>
  <c r="E15" i="2"/>
  <c r="F15" i="2" s="1"/>
  <c r="G15" i="2" s="1"/>
  <c r="E27" i="2"/>
  <c r="E22" i="2"/>
  <c r="E21" i="2"/>
  <c r="E23" i="2" s="1"/>
  <c r="E13" i="2"/>
  <c r="E12" i="2"/>
  <c r="N22" i="1"/>
  <c r="N16" i="1"/>
  <c r="N56" i="1"/>
  <c r="N6" i="1"/>
  <c r="R53" i="1" s="1"/>
  <c r="N51" i="1"/>
  <c r="N50" i="1"/>
  <c r="N31" i="1"/>
  <c r="N30" i="1"/>
  <c r="N14" i="1"/>
  <c r="N9" i="1"/>
  <c r="N11" i="1" s="1"/>
  <c r="O22" i="1"/>
  <c r="O16" i="1"/>
  <c r="E25" i="2" s="1"/>
  <c r="O56" i="1"/>
  <c r="O6" i="1"/>
  <c r="O59" i="1" s="1"/>
  <c r="O51" i="1"/>
  <c r="O50" i="1"/>
  <c r="O31" i="1"/>
  <c r="O30" i="1"/>
  <c r="O14" i="1"/>
  <c r="O9" i="1"/>
  <c r="P22" i="1"/>
  <c r="P16" i="1"/>
  <c r="P56" i="1"/>
  <c r="P6" i="1"/>
  <c r="P59" i="1" s="1"/>
  <c r="P51" i="1"/>
  <c r="P50" i="1"/>
  <c r="P31" i="1"/>
  <c r="P30" i="1"/>
  <c r="P14" i="1"/>
  <c r="P9" i="1"/>
  <c r="Q37" i="1"/>
  <c r="Q34" i="1"/>
  <c r="Q33" i="1" s="1"/>
  <c r="Q22" i="1"/>
  <c r="Q16" i="1"/>
  <c r="Q7" i="1"/>
  <c r="Q56" i="1"/>
  <c r="Q51" i="1"/>
  <c r="Q50" i="1"/>
  <c r="Q42" i="1"/>
  <c r="Q31" i="1"/>
  <c r="Q30" i="1"/>
  <c r="Q14" i="1"/>
  <c r="Q9" i="1"/>
  <c r="H15" i="2" l="1"/>
  <c r="R57" i="1"/>
  <c r="F21" i="2"/>
  <c r="G21" i="2" s="1"/>
  <c r="H21" i="2" s="1"/>
  <c r="I21" i="2" s="1"/>
  <c r="J21" i="2" s="1"/>
  <c r="E46" i="2"/>
  <c r="E54" i="2"/>
  <c r="E16" i="2"/>
  <c r="F16" i="2" s="1"/>
  <c r="G16" i="2" s="1"/>
  <c r="H16" i="2" s="1"/>
  <c r="I16" i="2" s="1"/>
  <c r="J16" i="2" s="1"/>
  <c r="E18" i="2"/>
  <c r="N28" i="1"/>
  <c r="N59" i="1"/>
  <c r="N15" i="1"/>
  <c r="N24" i="1"/>
  <c r="N53" i="1"/>
  <c r="N7" i="1"/>
  <c r="O11" i="1"/>
  <c r="O24" i="1" s="1"/>
  <c r="O7" i="1"/>
  <c r="P11" i="1"/>
  <c r="P7" i="1"/>
  <c r="Q59" i="1"/>
  <c r="Q41" i="1"/>
  <c r="Q11" i="1"/>
  <c r="D12" i="2"/>
  <c r="E62" i="2" s="1"/>
  <c r="D13" i="2"/>
  <c r="E63" i="2" s="1"/>
  <c r="B15" i="2"/>
  <c r="C68" i="2"/>
  <c r="M59" i="1"/>
  <c r="D19" i="2"/>
  <c r="D21" i="2"/>
  <c r="D22" i="2"/>
  <c r="D47" i="2"/>
  <c r="D48" i="2"/>
  <c r="C12" i="2"/>
  <c r="C13" i="2"/>
  <c r="C63" i="2" s="1"/>
  <c r="B12" i="2"/>
  <c r="C4" i="2"/>
  <c r="D30" i="2"/>
  <c r="D51" i="2"/>
  <c r="D50" i="2"/>
  <c r="D27" i="2"/>
  <c r="D52" i="2"/>
  <c r="B23" i="2"/>
  <c r="B25" i="2"/>
  <c r="M37" i="1"/>
  <c r="M34" i="1"/>
  <c r="M33" i="1" s="1"/>
  <c r="M51" i="1"/>
  <c r="M50" i="1"/>
  <c r="M41" i="1"/>
  <c r="M42" i="1"/>
  <c r="M16" i="1"/>
  <c r="M14" i="1"/>
  <c r="M9" i="1"/>
  <c r="M56" i="1"/>
  <c r="M6" i="1"/>
  <c r="M7" i="1" s="1"/>
  <c r="Q54" i="1" s="1"/>
  <c r="C19" i="2"/>
  <c r="C21" i="2"/>
  <c r="C22" i="2"/>
  <c r="C43" i="2" s="1"/>
  <c r="C27" i="2"/>
  <c r="C48" i="2"/>
  <c r="B52" i="2"/>
  <c r="B51" i="2"/>
  <c r="B48" i="2"/>
  <c r="C52" i="2"/>
  <c r="C51" i="2"/>
  <c r="C55" i="2" s="1"/>
  <c r="I37" i="1"/>
  <c r="C50" i="2" s="1"/>
  <c r="I34" i="1"/>
  <c r="I33" i="1" s="1"/>
  <c r="E42" i="1"/>
  <c r="E37" i="1"/>
  <c r="B50" i="2" s="1"/>
  <c r="E34" i="1"/>
  <c r="B47" i="2" s="1"/>
  <c r="E33" i="1"/>
  <c r="L16" i="1"/>
  <c r="K16" i="1"/>
  <c r="J16" i="1"/>
  <c r="I16" i="1"/>
  <c r="H16" i="1"/>
  <c r="G16" i="1"/>
  <c r="F16" i="1"/>
  <c r="C25" i="2" s="1"/>
  <c r="E16" i="1"/>
  <c r="L56" i="1"/>
  <c r="P57" i="1" s="1"/>
  <c r="K56" i="1"/>
  <c r="O57" i="1" s="1"/>
  <c r="J56" i="1"/>
  <c r="N57" i="1" s="1"/>
  <c r="I56" i="1"/>
  <c r="H56" i="1"/>
  <c r="G56" i="1"/>
  <c r="F56" i="1"/>
  <c r="E56" i="1"/>
  <c r="B68" i="2" s="1"/>
  <c r="L6" i="1"/>
  <c r="L53" i="1" s="1"/>
  <c r="K6" i="1"/>
  <c r="K7" i="1" s="1"/>
  <c r="J6" i="1"/>
  <c r="I6" i="1"/>
  <c r="C15" i="2" s="1"/>
  <c r="H6" i="1"/>
  <c r="G6" i="1"/>
  <c r="G7" i="1" s="1"/>
  <c r="F6" i="1"/>
  <c r="E6" i="1"/>
  <c r="E7" i="1" s="1"/>
  <c r="J9" i="1"/>
  <c r="J11" i="1" s="1"/>
  <c r="K9" i="1"/>
  <c r="K11" i="1" s="1"/>
  <c r="L9" i="1"/>
  <c r="L11" i="1" s="1"/>
  <c r="C30" i="2"/>
  <c r="C31" i="2" s="1"/>
  <c r="B30" i="2"/>
  <c r="B31" i="2" s="1"/>
  <c r="L14" i="1"/>
  <c r="M53" i="1"/>
  <c r="J7" i="1"/>
  <c r="H7" i="1"/>
  <c r="L50" i="1"/>
  <c r="I9" i="1"/>
  <c r="I11" i="1" s="1"/>
  <c r="I14" i="1"/>
  <c r="E9" i="1"/>
  <c r="E11" i="1" s="1"/>
  <c r="E14" i="1"/>
  <c r="L51" i="1"/>
  <c r="K51" i="1"/>
  <c r="J51" i="1"/>
  <c r="I51" i="1"/>
  <c r="K50" i="1"/>
  <c r="J50" i="1"/>
  <c r="I50" i="1"/>
  <c r="J14" i="1"/>
  <c r="K14" i="1"/>
  <c r="F9" i="1"/>
  <c r="F11" i="1"/>
  <c r="F24" i="1" s="1"/>
  <c r="F14" i="1"/>
  <c r="F15" i="1" s="1"/>
  <c r="G9" i="1"/>
  <c r="K28" i="1" s="1"/>
  <c r="G14" i="1"/>
  <c r="H9" i="1"/>
  <c r="H11" i="1"/>
  <c r="H14" i="1"/>
  <c r="I41" i="1"/>
  <c r="I42" i="1"/>
  <c r="M31" i="1"/>
  <c r="M30" i="1"/>
  <c r="J31" i="1"/>
  <c r="J30" i="1"/>
  <c r="K31" i="1"/>
  <c r="K30" i="1"/>
  <c r="L31" i="1"/>
  <c r="L30" i="1"/>
  <c r="L28" i="1"/>
  <c r="I30" i="1"/>
  <c r="I31" i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G18" i="2" l="1"/>
  <c r="I15" i="2"/>
  <c r="H18" i="2"/>
  <c r="J24" i="1"/>
  <c r="J15" i="1"/>
  <c r="J25" i="1" s="1"/>
  <c r="K15" i="1"/>
  <c r="K24" i="1"/>
  <c r="L59" i="1"/>
  <c r="D68" i="2"/>
  <c r="E68" i="2" s="1"/>
  <c r="Q57" i="1"/>
  <c r="P54" i="1"/>
  <c r="O28" i="1"/>
  <c r="H15" i="1"/>
  <c r="H17" i="1" s="1"/>
  <c r="P53" i="1"/>
  <c r="N54" i="1"/>
  <c r="R54" i="1"/>
  <c r="E41" i="1"/>
  <c r="J28" i="1"/>
  <c r="M28" i="1"/>
  <c r="Q28" i="1"/>
  <c r="F59" i="1"/>
  <c r="L7" i="1"/>
  <c r="L54" i="1" s="1"/>
  <c r="K57" i="1"/>
  <c r="O53" i="1"/>
  <c r="P28" i="1"/>
  <c r="L57" i="1"/>
  <c r="H59" i="1"/>
  <c r="H24" i="1"/>
  <c r="J57" i="1"/>
  <c r="J53" i="1"/>
  <c r="J17" i="1"/>
  <c r="J26" i="1" s="1"/>
  <c r="O54" i="1"/>
  <c r="D15" i="2"/>
  <c r="E65" i="2" s="1"/>
  <c r="Q53" i="1"/>
  <c r="K54" i="1"/>
  <c r="D54" i="2"/>
  <c r="F18" i="2"/>
  <c r="E20" i="2"/>
  <c r="E34" i="2"/>
  <c r="F30" i="2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D31" i="2"/>
  <c r="D62" i="2"/>
  <c r="C23" i="2"/>
  <c r="D23" i="2"/>
  <c r="B46" i="2"/>
  <c r="C62" i="2"/>
  <c r="D46" i="2"/>
  <c r="D43" i="2"/>
  <c r="D63" i="2"/>
  <c r="N17" i="1"/>
  <c r="N25" i="1"/>
  <c r="O15" i="1"/>
  <c r="O17" i="1" s="1"/>
  <c r="P15" i="1"/>
  <c r="P24" i="1"/>
  <c r="D55" i="2"/>
  <c r="C42" i="2"/>
  <c r="D42" i="2"/>
  <c r="E43" i="2"/>
  <c r="Q15" i="1"/>
  <c r="Q24" i="1"/>
  <c r="H25" i="1"/>
  <c r="F25" i="1"/>
  <c r="F17" i="1"/>
  <c r="L24" i="1"/>
  <c r="L15" i="1"/>
  <c r="I24" i="1"/>
  <c r="I15" i="1"/>
  <c r="C69" i="2"/>
  <c r="C6" i="2"/>
  <c r="C7" i="2" s="1"/>
  <c r="G43" i="2"/>
  <c r="E42" i="2"/>
  <c r="E15" i="1"/>
  <c r="E24" i="1"/>
  <c r="B71" i="2"/>
  <c r="C65" i="2"/>
  <c r="C71" i="2"/>
  <c r="C16" i="2"/>
  <c r="B54" i="2"/>
  <c r="G11" i="1"/>
  <c r="M57" i="1"/>
  <c r="D25" i="2"/>
  <c r="K59" i="1"/>
  <c r="F7" i="1"/>
  <c r="J54" i="1" s="1"/>
  <c r="J59" i="1"/>
  <c r="M11" i="1"/>
  <c r="I28" i="1"/>
  <c r="K53" i="1"/>
  <c r="C47" i="2"/>
  <c r="B16" i="2"/>
  <c r="B18" i="2" s="1"/>
  <c r="B34" i="2" s="1"/>
  <c r="G59" i="1"/>
  <c r="E59" i="1"/>
  <c r="I59" i="1"/>
  <c r="F43" i="2"/>
  <c r="I7" i="1"/>
  <c r="I54" i="1" s="1"/>
  <c r="B55" i="2"/>
  <c r="I53" i="1"/>
  <c r="I57" i="1"/>
  <c r="J15" i="2" l="1"/>
  <c r="J18" i="2" s="1"/>
  <c r="I18" i="2"/>
  <c r="F41" i="2"/>
  <c r="F34" i="2"/>
  <c r="D16" i="2"/>
  <c r="D18" i="2" s="1"/>
  <c r="E41" i="2" s="1"/>
  <c r="D71" i="2"/>
  <c r="J19" i="1"/>
  <c r="D69" i="2"/>
  <c r="M54" i="1"/>
  <c r="K17" i="1"/>
  <c r="K25" i="1"/>
  <c r="D65" i="2"/>
  <c r="E24" i="2"/>
  <c r="E26" i="2" s="1"/>
  <c r="E37" i="2"/>
  <c r="N19" i="1"/>
  <c r="N26" i="1"/>
  <c r="O25" i="1"/>
  <c r="O26" i="1"/>
  <c r="O19" i="1"/>
  <c r="P17" i="1"/>
  <c r="P25" i="1"/>
  <c r="C66" i="2"/>
  <c r="Q17" i="1"/>
  <c r="Q25" i="1"/>
  <c r="D20" i="2"/>
  <c r="L25" i="1"/>
  <c r="L17" i="1"/>
  <c r="F26" i="1"/>
  <c r="F19" i="1"/>
  <c r="C18" i="2"/>
  <c r="C34" i="2" s="1"/>
  <c r="D66" i="2"/>
  <c r="C54" i="2"/>
  <c r="C46" i="2"/>
  <c r="H19" i="1"/>
  <c r="H26" i="1"/>
  <c r="M24" i="1"/>
  <c r="M15" i="1"/>
  <c r="F68" i="2"/>
  <c r="E69" i="2"/>
  <c r="E17" i="1"/>
  <c r="E25" i="1"/>
  <c r="G24" i="1"/>
  <c r="G15" i="1"/>
  <c r="J20" i="1"/>
  <c r="B20" i="2"/>
  <c r="F23" i="2"/>
  <c r="F44" i="2" s="1"/>
  <c r="F42" i="2"/>
  <c r="H43" i="2"/>
  <c r="I25" i="1"/>
  <c r="I17" i="1"/>
  <c r="K26" i="1" l="1"/>
  <c r="K19" i="1"/>
  <c r="K20" i="1" s="1"/>
  <c r="D34" i="2"/>
  <c r="N20" i="1"/>
  <c r="O20" i="1"/>
  <c r="P26" i="1"/>
  <c r="P19" i="1"/>
  <c r="Q19" i="1"/>
  <c r="Q26" i="1"/>
  <c r="I43" i="2"/>
  <c r="E66" i="2"/>
  <c r="H20" i="1"/>
  <c r="C20" i="2"/>
  <c r="C41" i="2"/>
  <c r="M25" i="1"/>
  <c r="M17" i="1"/>
  <c r="G23" i="2"/>
  <c r="G44" i="2" s="1"/>
  <c r="G42" i="2"/>
  <c r="B37" i="2"/>
  <c r="B24" i="2"/>
  <c r="G17" i="1"/>
  <c r="G25" i="1"/>
  <c r="F20" i="1"/>
  <c r="L19" i="1"/>
  <c r="L26" i="1"/>
  <c r="E19" i="1"/>
  <c r="E26" i="1"/>
  <c r="D41" i="2"/>
  <c r="I26" i="1"/>
  <c r="I19" i="1"/>
  <c r="K44" i="1" s="1"/>
  <c r="G68" i="2"/>
  <c r="F69" i="2"/>
  <c r="D37" i="2"/>
  <c r="D24" i="2"/>
  <c r="P20" i="1" l="1"/>
  <c r="Q20" i="1"/>
  <c r="Q44" i="1"/>
  <c r="B26" i="2"/>
  <c r="B38" i="2"/>
  <c r="M26" i="1"/>
  <c r="M19" i="1"/>
  <c r="M20" i="1" s="1"/>
  <c r="L20" i="1"/>
  <c r="M44" i="1"/>
  <c r="F66" i="2"/>
  <c r="H68" i="2"/>
  <c r="G69" i="2"/>
  <c r="H42" i="2"/>
  <c r="H23" i="2"/>
  <c r="H44" i="2" s="1"/>
  <c r="J43" i="2"/>
  <c r="F65" i="2"/>
  <c r="I20" i="1"/>
  <c r="L44" i="1"/>
  <c r="E20" i="1"/>
  <c r="E44" i="1"/>
  <c r="C37" i="2"/>
  <c r="C24" i="2"/>
  <c r="D26" i="2"/>
  <c r="D38" i="2"/>
  <c r="G19" i="1"/>
  <c r="G26" i="1"/>
  <c r="N44" i="1" l="1"/>
  <c r="P44" i="1"/>
  <c r="O44" i="1"/>
  <c r="Q45" i="1"/>
  <c r="Q48" i="1"/>
  <c r="Q47" i="1"/>
  <c r="Q46" i="1"/>
  <c r="G65" i="2"/>
  <c r="J44" i="1"/>
  <c r="G20" i="1"/>
  <c r="I44" i="1"/>
  <c r="I68" i="2"/>
  <c r="J68" i="2" s="1"/>
  <c r="H69" i="2"/>
  <c r="G66" i="2"/>
  <c r="D28" i="2"/>
  <c r="D35" i="2" s="1"/>
  <c r="D39" i="2"/>
  <c r="B39" i="2"/>
  <c r="B28" i="2"/>
  <c r="B35" i="2" s="1"/>
  <c r="I42" i="2"/>
  <c r="I23" i="2"/>
  <c r="I44" i="2" s="1"/>
  <c r="K43" i="2"/>
  <c r="E48" i="1"/>
  <c r="E47" i="1"/>
  <c r="E46" i="1"/>
  <c r="E45" i="1"/>
  <c r="C38" i="2"/>
  <c r="C26" i="2"/>
  <c r="F20" i="2"/>
  <c r="M46" i="1"/>
  <c r="M45" i="1"/>
  <c r="M47" i="1"/>
  <c r="M48" i="1"/>
  <c r="J69" i="2" l="1"/>
  <c r="F37" i="2"/>
  <c r="G20" i="2" s="1"/>
  <c r="G19" i="2" s="1"/>
  <c r="F24" i="2"/>
  <c r="F19" i="2"/>
  <c r="E38" i="2"/>
  <c r="C28" i="2"/>
  <c r="C35" i="2" s="1"/>
  <c r="C39" i="2"/>
  <c r="I69" i="2"/>
  <c r="I48" i="1"/>
  <c r="I47" i="1"/>
  <c r="I45" i="1"/>
  <c r="I46" i="1"/>
  <c r="B29" i="2"/>
  <c r="B60" i="2"/>
  <c r="B59" i="2"/>
  <c r="B58" i="2"/>
  <c r="B57" i="2"/>
  <c r="D60" i="2"/>
  <c r="D29" i="2"/>
  <c r="D59" i="2"/>
  <c r="D58" i="2"/>
  <c r="D57" i="2"/>
  <c r="H66" i="2"/>
  <c r="H65" i="2"/>
  <c r="L43" i="2"/>
  <c r="J42" i="2"/>
  <c r="J23" i="2"/>
  <c r="J44" i="2" s="1"/>
  <c r="G34" i="2"/>
  <c r="G41" i="2"/>
  <c r="I66" i="2" l="1"/>
  <c r="J66" i="2"/>
  <c r="J65" i="2"/>
  <c r="K42" i="2"/>
  <c r="K23" i="2"/>
  <c r="K44" i="2" s="1"/>
  <c r="I65" i="2"/>
  <c r="C60" i="2"/>
  <c r="C59" i="2"/>
  <c r="C58" i="2"/>
  <c r="C57" i="2"/>
  <c r="C29" i="2"/>
  <c r="E39" i="2"/>
  <c r="F38" i="2"/>
  <c r="M43" i="2"/>
  <c r="H41" i="2"/>
  <c r="H34" i="2"/>
  <c r="G24" i="2"/>
  <c r="G37" i="2"/>
  <c r="H20" i="2" s="1"/>
  <c r="E28" i="2" l="1"/>
  <c r="H37" i="2"/>
  <c r="I20" i="2" s="1"/>
  <c r="I19" i="2" s="1"/>
  <c r="H24" i="2"/>
  <c r="H19" i="2"/>
  <c r="I41" i="2"/>
  <c r="I34" i="2"/>
  <c r="L42" i="2"/>
  <c r="L23" i="2"/>
  <c r="L44" i="2" s="1"/>
  <c r="G38" i="2"/>
  <c r="N43" i="2"/>
  <c r="P43" i="2" l="1"/>
  <c r="E29" i="2"/>
  <c r="E35" i="2"/>
  <c r="E58" i="2"/>
  <c r="E57" i="2"/>
  <c r="E59" i="2"/>
  <c r="E60" i="2"/>
  <c r="F25" i="2"/>
  <c r="F26" i="2" s="1"/>
  <c r="J41" i="2"/>
  <c r="K18" i="2"/>
  <c r="J34" i="2"/>
  <c r="H38" i="2"/>
  <c r="M42" i="2"/>
  <c r="M23" i="2"/>
  <c r="M44" i="2" s="1"/>
  <c r="I24" i="2"/>
  <c r="I37" i="2"/>
  <c r="J20" i="2" s="1"/>
  <c r="O43" i="2"/>
  <c r="Q43" i="2" l="1"/>
  <c r="J37" i="2"/>
  <c r="K20" i="2" s="1"/>
  <c r="J24" i="2"/>
  <c r="J19" i="2"/>
  <c r="N42" i="2"/>
  <c r="N23" i="2"/>
  <c r="N44" i="2" s="1"/>
  <c r="I38" i="2"/>
  <c r="K41" i="2"/>
  <c r="K34" i="2"/>
  <c r="L18" i="2"/>
  <c r="F27" i="2"/>
  <c r="F39" i="2" s="1"/>
  <c r="P23" i="2" l="1"/>
  <c r="P42" i="2"/>
  <c r="R43" i="2"/>
  <c r="L34" i="2"/>
  <c r="M18" i="2"/>
  <c r="L41" i="2"/>
  <c r="K24" i="2"/>
  <c r="K37" i="2"/>
  <c r="L20" i="2" s="1"/>
  <c r="J38" i="2"/>
  <c r="F28" i="2"/>
  <c r="F35" i="2" s="1"/>
  <c r="K19" i="2"/>
  <c r="O23" i="2"/>
  <c r="O44" i="2" s="1"/>
  <c r="O42" i="2"/>
  <c r="P44" i="2" l="1"/>
  <c r="S43" i="2"/>
  <c r="T43" i="2"/>
  <c r="Q42" i="2"/>
  <c r="Q23" i="2"/>
  <c r="Q44" i="2" s="1"/>
  <c r="L37" i="2"/>
  <c r="M20" i="2" s="1"/>
  <c r="M19" i="2" s="1"/>
  <c r="L24" i="2"/>
  <c r="L19" i="2"/>
  <c r="K38" i="2"/>
  <c r="M34" i="2"/>
  <c r="M41" i="2"/>
  <c r="N18" i="2"/>
  <c r="F29" i="2"/>
  <c r="F46" i="2"/>
  <c r="R23" i="2" l="1"/>
  <c r="R44" i="2" s="1"/>
  <c r="R42" i="2"/>
  <c r="G25" i="2"/>
  <c r="G26" i="2" s="1"/>
  <c r="N34" i="2"/>
  <c r="N41" i="2"/>
  <c r="O18" i="2"/>
  <c r="P18" i="2" s="1"/>
  <c r="L38" i="2"/>
  <c r="M37" i="2"/>
  <c r="N20" i="2" s="1"/>
  <c r="M24" i="2"/>
  <c r="S23" i="2" l="1"/>
  <c r="S44" i="2" s="1"/>
  <c r="S42" i="2"/>
  <c r="P41" i="2"/>
  <c r="Q18" i="2"/>
  <c r="P34" i="2"/>
  <c r="N24" i="2"/>
  <c r="N37" i="2"/>
  <c r="O20" i="2" s="1"/>
  <c r="N19" i="2"/>
  <c r="O34" i="2"/>
  <c r="O41" i="2"/>
  <c r="M38" i="2"/>
  <c r="G27" i="2"/>
  <c r="G39" i="2" s="1"/>
  <c r="T23" i="2" l="1"/>
  <c r="T44" i="2" s="1"/>
  <c r="T42" i="2"/>
  <c r="Q41" i="2"/>
  <c r="Q34" i="2"/>
  <c r="R18" i="2"/>
  <c r="G28" i="2"/>
  <c r="O37" i="2"/>
  <c r="P20" i="2" s="1"/>
  <c r="O24" i="2"/>
  <c r="O19" i="2"/>
  <c r="N38" i="2"/>
  <c r="P24" i="2" l="1"/>
  <c r="P37" i="2"/>
  <c r="Q20" i="2" s="1"/>
  <c r="P19" i="2"/>
  <c r="R34" i="2"/>
  <c r="S18" i="2"/>
  <c r="R41" i="2"/>
  <c r="G29" i="2"/>
  <c r="G46" i="2"/>
  <c r="H25" i="2" s="1"/>
  <c r="H26" i="2" s="1"/>
  <c r="G35" i="2"/>
  <c r="O38" i="2"/>
  <c r="Q19" i="2" l="1"/>
  <c r="Q37" i="2"/>
  <c r="R20" i="2" s="1"/>
  <c r="Q24" i="2"/>
  <c r="S41" i="2"/>
  <c r="S34" i="2"/>
  <c r="T18" i="2"/>
  <c r="P38" i="2"/>
  <c r="H27" i="2"/>
  <c r="H39" i="2" s="1"/>
  <c r="T41" i="2" l="1"/>
  <c r="T34" i="2"/>
  <c r="Q38" i="2"/>
  <c r="R37" i="2"/>
  <c r="S20" i="2" s="1"/>
  <c r="R24" i="2"/>
  <c r="R19" i="2"/>
  <c r="H28" i="2"/>
  <c r="R38" i="2" l="1"/>
  <c r="S24" i="2"/>
  <c r="S37" i="2"/>
  <c r="T20" i="2" s="1"/>
  <c r="S19" i="2"/>
  <c r="H29" i="2"/>
  <c r="H35" i="2"/>
  <c r="H46" i="2"/>
  <c r="T37" i="2" l="1"/>
  <c r="T24" i="2"/>
  <c r="T19" i="2"/>
  <c r="S38" i="2"/>
  <c r="I25" i="2"/>
  <c r="I26" i="2" s="1"/>
  <c r="T38" i="2" l="1"/>
  <c r="I27" i="2"/>
  <c r="I39" i="2" s="1"/>
  <c r="I28" i="2"/>
  <c r="I29" i="2" l="1"/>
  <c r="I35" i="2"/>
  <c r="I46" i="2"/>
  <c r="J25" i="2" l="1"/>
  <c r="J26" i="2" s="1"/>
  <c r="J27" i="2" l="1"/>
  <c r="J39" i="2" s="1"/>
  <c r="J28" i="2"/>
  <c r="J35" i="2" l="1"/>
  <c r="J29" i="2"/>
  <c r="J46" i="2"/>
  <c r="K25" i="2" l="1"/>
  <c r="K26" i="2" s="1"/>
  <c r="K27" i="2" l="1"/>
  <c r="K39" i="2" s="1"/>
  <c r="K28" i="2" l="1"/>
  <c r="K35" i="2"/>
  <c r="K29" i="2"/>
  <c r="K46" i="2"/>
  <c r="L25" i="2" l="1"/>
  <c r="L26" i="2" s="1"/>
  <c r="L27" i="2" l="1"/>
  <c r="L39" i="2" s="1"/>
  <c r="L28" i="2" l="1"/>
  <c r="L29" i="2"/>
  <c r="L35" i="2"/>
  <c r="L46" i="2"/>
  <c r="M25" i="2" l="1"/>
  <c r="M26" i="2" s="1"/>
  <c r="M27" i="2" l="1"/>
  <c r="M39" i="2" s="1"/>
  <c r="M28" i="2" l="1"/>
  <c r="M29" i="2"/>
  <c r="M35" i="2"/>
  <c r="M46" i="2"/>
  <c r="N25" i="2" l="1"/>
  <c r="N26" i="2" s="1"/>
  <c r="N27" i="2" l="1"/>
  <c r="N39" i="2" s="1"/>
  <c r="N28" i="2" l="1"/>
  <c r="N35" i="2"/>
  <c r="N29" i="2"/>
  <c r="N46" i="2"/>
  <c r="O25" i="2" l="1"/>
  <c r="O26" i="2" s="1"/>
  <c r="O27" i="2" l="1"/>
  <c r="O39" i="2" s="1"/>
  <c r="O28" i="2" l="1"/>
  <c r="O35" i="2" l="1"/>
  <c r="O29" i="2"/>
  <c r="O46" i="2"/>
  <c r="P25" i="2" l="1"/>
  <c r="P26" i="2" s="1"/>
  <c r="P27" i="2" l="1"/>
  <c r="P39" i="2" s="1"/>
  <c r="P28" i="2"/>
  <c r="P29" i="2" l="1"/>
  <c r="P35" i="2"/>
  <c r="P46" i="2"/>
  <c r="Q25" i="2" l="1"/>
  <c r="Q26" i="2" s="1"/>
  <c r="Q27" i="2" l="1"/>
  <c r="Q39" i="2" s="1"/>
  <c r="Q28" i="2"/>
  <c r="Q29" i="2" l="1"/>
  <c r="Q35" i="2"/>
  <c r="Q46" i="2"/>
  <c r="R25" i="2" l="1"/>
  <c r="R26" i="2" s="1"/>
  <c r="R27" i="2" l="1"/>
  <c r="R39" i="2" s="1"/>
  <c r="R28" i="2"/>
  <c r="R29" i="2" l="1"/>
  <c r="R35" i="2"/>
  <c r="R46" i="2"/>
  <c r="S25" i="2" l="1"/>
  <c r="S26" i="2" s="1"/>
  <c r="S27" i="2" l="1"/>
  <c r="S39" i="2" s="1"/>
  <c r="S28" i="2"/>
  <c r="S29" i="2" l="1"/>
  <c r="S35" i="2"/>
  <c r="S46" i="2"/>
  <c r="T25" i="2" l="1"/>
  <c r="T26" i="2" s="1"/>
  <c r="T27" i="2" l="1"/>
  <c r="T39" i="2" s="1"/>
  <c r="T28" i="2"/>
  <c r="T29" i="2" l="1"/>
  <c r="T35" i="2"/>
  <c r="U28" i="2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T46" i="2"/>
  <c r="AJ28" i="2" l="1"/>
  <c r="AK28" i="2" l="1"/>
  <c r="AL28" i="2" l="1"/>
  <c r="AM28" i="2" l="1"/>
  <c r="AN28" i="2" l="1"/>
  <c r="AO28" i="2" l="1"/>
  <c r="AP28" i="2" l="1"/>
  <c r="AQ28" i="2" l="1"/>
  <c r="AR28" i="2" l="1"/>
  <c r="AS28" i="2" l="1"/>
  <c r="AT28" i="2" l="1"/>
  <c r="AU28" i="2" l="1"/>
  <c r="AV28" i="2" l="1"/>
  <c r="AW28" i="2" l="1"/>
  <c r="AX28" i="2" l="1"/>
  <c r="AY28" i="2" l="1"/>
  <c r="AZ28" i="2" l="1"/>
  <c r="BA28" i="2" l="1"/>
  <c r="BB28" i="2" l="1"/>
  <c r="BC28" i="2" l="1"/>
  <c r="BD28" i="2" l="1"/>
  <c r="BE28" i="2" l="1"/>
  <c r="BF28" i="2" l="1"/>
  <c r="BG28" i="2" l="1"/>
  <c r="BH28" i="2" l="1"/>
  <c r="BI28" i="2" l="1"/>
  <c r="BJ28" i="2" l="1"/>
  <c r="BK28" i="2" l="1"/>
  <c r="BL28" i="2" l="1"/>
  <c r="BM28" i="2" l="1"/>
  <c r="BN28" i="2" l="1"/>
  <c r="BO28" i="2" l="1"/>
  <c r="BP28" i="2" l="1"/>
  <c r="BQ28" i="2" l="1"/>
  <c r="BR28" i="2" l="1"/>
  <c r="BS28" i="2" l="1"/>
  <c r="BT28" i="2" l="1"/>
  <c r="BU28" i="2" l="1"/>
  <c r="BV28" i="2" l="1"/>
  <c r="BW28" i="2" l="1"/>
  <c r="BX28" i="2" l="1"/>
  <c r="BY28" i="2" l="1"/>
  <c r="BZ28" i="2" l="1"/>
  <c r="CA28" i="2" l="1"/>
  <c r="CB28" i="2" l="1"/>
  <c r="CC28" i="2" l="1"/>
  <c r="CD28" i="2" l="1"/>
  <c r="CE28" i="2" l="1"/>
  <c r="CF28" i="2" l="1"/>
  <c r="CG28" i="2" l="1"/>
  <c r="CH28" i="2" l="1"/>
  <c r="CI28" i="2" l="1"/>
  <c r="CJ28" i="2" l="1"/>
  <c r="CK28" i="2" l="1"/>
  <c r="CL28" i="2" l="1"/>
  <c r="CM28" i="2" l="1"/>
  <c r="CN28" i="2" l="1"/>
  <c r="CO28" i="2" l="1"/>
  <c r="CP28" i="2" l="1"/>
  <c r="CQ28" i="2" l="1"/>
  <c r="CR28" i="2" l="1"/>
  <c r="CS28" i="2" l="1"/>
  <c r="CT28" i="2" l="1"/>
  <c r="CU28" i="2" l="1"/>
  <c r="CV28" i="2" l="1"/>
  <c r="CW28" i="2" l="1"/>
  <c r="CX28" i="2" l="1"/>
  <c r="CY28" i="2" l="1"/>
  <c r="CZ28" i="2" l="1"/>
  <c r="DA28" i="2" l="1"/>
  <c r="DB28" i="2" l="1"/>
  <c r="DC28" i="2" l="1"/>
  <c r="DD28" i="2" l="1"/>
  <c r="DE28" i="2" l="1"/>
  <c r="DF28" i="2" l="1"/>
  <c r="DG28" i="2" l="1"/>
  <c r="DH28" i="2" l="1"/>
  <c r="DI28" i="2" l="1"/>
  <c r="DJ28" i="2" l="1"/>
  <c r="DK28" i="2" l="1"/>
  <c r="DL28" i="2" l="1"/>
  <c r="DM28" i="2" l="1"/>
  <c r="DN28" i="2" l="1"/>
  <c r="DO28" i="2" l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6" i="2" s="1"/>
  <c r="F7" i="2" l="1"/>
  <c r="G7" i="2" s="1"/>
</calcChain>
</file>

<file path=xl/sharedStrings.xml><?xml version="1.0" encoding="utf-8"?>
<sst xmlns="http://schemas.openxmlformats.org/spreadsheetml/2006/main" count="166" uniqueCount="118">
  <si>
    <t>Q117</t>
  </si>
  <si>
    <t>Q217</t>
  </si>
  <si>
    <t>Q317</t>
  </si>
  <si>
    <t>Q417</t>
  </si>
  <si>
    <t>Revenue</t>
  </si>
  <si>
    <t>COGS</t>
  </si>
  <si>
    <t>Gross Profit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</si>
  <si>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</si>
  <si>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</si>
  <si>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</si>
  <si>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</si>
  <si>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</si>
  <si>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</si>
  <si>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</si>
  <si>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</si>
  <si>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</si>
  <si>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</si>
  <si>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</si>
  <si>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</si>
  <si>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</si>
  <si>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</si>
  <si>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</si>
  <si>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</si>
  <si>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</si>
  <si>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</si>
  <si>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</si>
  <si>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</si>
  <si>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</si>
  <si>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</si>
  <si>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</si>
  <si>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</si>
  <si>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</si>
  <si>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</si>
  <si>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</si>
  <si>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</si>
  <si>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</si>
  <si>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</si>
  <si>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</si>
  <si>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</si>
  <si>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</si>
  <si>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</si>
  <si>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</si>
  <si>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</si>
  <si>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</si>
  <si>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</si>
  <si>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</si>
  <si>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</si>
  <si>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</si>
  <si>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</si>
  <si>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R&amp;D y/y</t>
  </si>
  <si>
    <t>S&amp;M y/y</t>
  </si>
  <si>
    <t>G&amp;A y/y</t>
  </si>
  <si>
    <t>EDGAR</t>
  </si>
  <si>
    <t>CEO</t>
  </si>
  <si>
    <t>Founder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</si>
  <si>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</si>
  <si>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</si>
  <si>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</si>
  <si>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</si>
  <si>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</si>
  <si>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</si>
  <si>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</si>
  <si>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</si>
  <si>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</si>
  <si>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</si>
  <si>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</si>
  <si>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</si>
  <si>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</si>
  <si>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</si>
  <si>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</si>
  <si>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</si>
  <si>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</si>
  <si>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</si>
  <si>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</si>
  <si>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ARPU</t>
  </si>
  <si>
    <t>ARPU y/y</t>
  </si>
  <si>
    <t>MAU</t>
  </si>
  <si>
    <t>MAU y/y</t>
  </si>
  <si>
    <t>Tencent Music Entertainment Group (TME)</t>
  </si>
  <si>
    <t>QQ Music</t>
  </si>
  <si>
    <t>Kugou Music</t>
  </si>
  <si>
    <t>Kuwo Music</t>
  </si>
  <si>
    <t>WeSing</t>
  </si>
  <si>
    <t>Social entertainment</t>
  </si>
  <si>
    <t>Online music</t>
  </si>
  <si>
    <t>Paying users</t>
  </si>
  <si>
    <t>Online music streaming</t>
  </si>
  <si>
    <t xml:space="preserve">Music streaming and download service </t>
  </si>
  <si>
    <t>KTV streaming and tournaments</t>
  </si>
  <si>
    <t>Online social karaoke</t>
  </si>
  <si>
    <t>Online music y/y</t>
  </si>
  <si>
    <t>Social entertainment y/y</t>
  </si>
  <si>
    <t>Paying users y/y</t>
  </si>
  <si>
    <t>USD/RMB</t>
  </si>
  <si>
    <t>Kar Shun Pang</t>
  </si>
  <si>
    <t>Revenue USD</t>
  </si>
  <si>
    <t>Net Income USD</t>
  </si>
  <si>
    <t>ADS</t>
  </si>
  <si>
    <t>Price ADS</t>
  </si>
  <si>
    <t>Shares ADS</t>
  </si>
  <si>
    <t>Paying users/ MAU</t>
  </si>
  <si>
    <t>96 (Spotify)</t>
  </si>
  <si>
    <t>207 (Spotify)</t>
  </si>
  <si>
    <t>46% (Spotify)</t>
  </si>
  <si>
    <t>Risk-free rate + market premium (opportunity cost)</t>
  </si>
  <si>
    <t>http://www.worldgovernmentbonds.com/country/united-states/</t>
  </si>
  <si>
    <t>Net present value on future net income (terminal value)</t>
  </si>
  <si>
    <t>31/12/2019</t>
  </si>
  <si>
    <t>30/9/2019</t>
  </si>
  <si>
    <t>30/6/2019</t>
  </si>
  <si>
    <t>31/3/2019</t>
  </si>
  <si>
    <t>Q120</t>
  </si>
  <si>
    <t>Products</t>
  </si>
  <si>
    <t>https://y.qq.com/</t>
  </si>
  <si>
    <t>http://www.kugou.com/</t>
  </si>
  <si>
    <t>http://www.kuwo.cn/down</t>
  </si>
  <si>
    <t>https://play.google.com/store/apps/details?id=com.tencent.wesing&amp;hl=en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</si>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</sst>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0" fontId="6" fillId="0" borderId="1" xfId="0" applyFont="1" applyBorder="1"/>
    <xf numFmtId="4" fontId="6" fillId="0" borderId="0" xfId="0" applyNumberFormat="1" applyFont="1"/>
    <xf numFmtId="4" fontId="6" fillId="2" borderId="0" xfId="0" applyNumberFormat="1" applyFont="1" applyFill="1" applyBorder="1"/>
    <xf numFmtId="3" fontId="5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3" fontId="6" fillId="0" borderId="1" xfId="0" applyNumberFormat="1" applyFont="1" applyBorder="1"/>
    <xf numFmtId="3" fontId="7" fillId="0" borderId="0" xfId="0" applyNumberFormat="1" applyFont="1" applyBorder="1"/>
    <xf numFmtId="3" fontId="7" fillId="0" borderId="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4" fillId="0" borderId="0" xfId="4"/>
    <xf numFmtId="9" fontId="7" fillId="0" borderId="0" xfId="1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9</xdr:row>
      <xdr:rowOff>152400</xdr:rowOff>
    </xdr:from>
    <xdr:to>
      <xdr:col>5</xdr:col>
      <xdr:colOff>152400</xdr:colOff>
      <xdr:row>72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889500" y="1638300"/>
          <a:ext cx="0" cy="97663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1</xdr:row>
      <xdr:rowOff>0</xdr:rowOff>
    </xdr:from>
    <xdr:to>
      <xdr:col>18</xdr:col>
      <xdr:colOff>292100</xdr:colOff>
      <xdr:row>60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760700" y="165100"/>
          <a:ext cx="0" cy="9918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r.tencentmusic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744676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uwo.cn/down" TargetMode="External"/><Relationship Id="rId2" Type="http://schemas.openxmlformats.org/officeDocument/2006/relationships/hyperlink" Target="http://www.kugou.com/" TargetMode="External"/><Relationship Id="rId1" Type="http://schemas.openxmlformats.org/officeDocument/2006/relationships/hyperlink" Target="https://y.qq.com/" TargetMode="External"/><Relationship Id="rId4" Type="http://schemas.openxmlformats.org/officeDocument/2006/relationships/hyperlink" Target="https://play.google.com/store/apps/details?id=com.tencent.wesing&amp;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71"/>
  <sheetViews>
    <sheetView tabSelected="1" workbookViewId="0">
      <pane xSplit="1" ySplit="11" topLeftCell="D28" activePane="bottomRight" state="frozen"/>
      <selection pane="topRight" activeCell="B1" sqref="B1"/>
      <selection pane="bottomLeft" activeCell="A11" sqref="A11"/>
      <selection pane="bottomRight" activeCell="G52" sqref="G52"/>
    </sheetView>
  </sheetViews>
  <sheetFormatPr baseColWidth="10" defaultRowHeight="13" x14ac:dyDescent="0.15"/>
  <cols>
    <col min="1" max="1" width="18.83203125" style="2" bestFit="1" customWidth="1"/>
    <col min="2" max="16384" width="10.83203125" style="2"/>
  </cols>
  <sheetData>
    <row r="1" spans="1:120" x14ac:dyDescent="0.15">
      <c r="A1" s="61" t="s">
        <v>72</v>
      </c>
      <c r="B1" s="1" t="s">
        <v>78</v>
      </c>
    </row>
    <row r="2" spans="1:120" x14ac:dyDescent="0.15">
      <c r="B2" s="2" t="s">
        <v>98</v>
      </c>
      <c r="C2" s="3">
        <v>12.39</v>
      </c>
      <c r="D2" s="59">
        <v>43969</v>
      </c>
      <c r="E2" s="5" t="s">
        <v>36</v>
      </c>
      <c r="F2" s="6">
        <v>-0.02</v>
      </c>
      <c r="I2" s="15"/>
      <c r="K2" s="1"/>
    </row>
    <row r="3" spans="1:120" x14ac:dyDescent="0.15">
      <c r="A3" s="1" t="s">
        <v>53</v>
      </c>
      <c r="B3" s="2" t="s">
        <v>99</v>
      </c>
      <c r="C3" s="7">
        <f>'Reports RMB'!R21/2</f>
        <v>1675.4709375</v>
      </c>
      <c r="D3" s="60" t="s">
        <v>111</v>
      </c>
      <c r="E3" s="5" t="s">
        <v>37</v>
      </c>
      <c r="F3" s="6">
        <v>0.02</v>
      </c>
      <c r="G3" s="4" t="s">
        <v>73</v>
      </c>
      <c r="I3" s="15"/>
    </row>
    <row r="4" spans="1:120" x14ac:dyDescent="0.15">
      <c r="A4" s="2" t="s">
        <v>94</v>
      </c>
      <c r="B4" s="2" t="s">
        <v>55</v>
      </c>
      <c r="C4" s="9">
        <f>C2*C3</f>
        <v>20759.084915625001</v>
      </c>
      <c r="D4" s="60"/>
      <c r="E4" s="5" t="s">
        <v>38</v>
      </c>
      <c r="F4" s="6">
        <f>8%</f>
        <v>0.08</v>
      </c>
      <c r="G4" s="4" t="s">
        <v>104</v>
      </c>
      <c r="I4" s="25"/>
      <c r="L4" s="8" t="s">
        <v>105</v>
      </c>
    </row>
    <row r="5" spans="1:120" x14ac:dyDescent="0.15">
      <c r="B5" s="2" t="s">
        <v>32</v>
      </c>
      <c r="C5" s="7">
        <f>'Reports RMB'!R33/Main!C9</f>
        <v>3426.8635724331925</v>
      </c>
      <c r="D5" s="60" t="s">
        <v>111</v>
      </c>
      <c r="E5" s="5" t="s">
        <v>39</v>
      </c>
      <c r="F5" s="10">
        <f>NPV(F4,F28:FI28)</f>
        <v>199155.59929906175</v>
      </c>
      <c r="G5" s="4" t="s">
        <v>106</v>
      </c>
      <c r="I5" s="25"/>
    </row>
    <row r="6" spans="1:120" x14ac:dyDescent="0.15">
      <c r="A6" s="1" t="s">
        <v>54</v>
      </c>
      <c r="B6" s="2" t="s">
        <v>56</v>
      </c>
      <c r="C6" s="9">
        <f>C4-C5</f>
        <v>17332.221343191806</v>
      </c>
      <c r="D6" s="60"/>
      <c r="E6" s="11" t="s">
        <v>40</v>
      </c>
      <c r="F6" s="12">
        <f>F5/C9+C5</f>
        <v>31437.496385240753</v>
      </c>
      <c r="I6" s="25"/>
    </row>
    <row r="7" spans="1:120" x14ac:dyDescent="0.15">
      <c r="A7" s="8"/>
      <c r="B7" s="4" t="s">
        <v>57</v>
      </c>
      <c r="C7" s="53">
        <f>C6/C3</f>
        <v>10.34468635370872</v>
      </c>
      <c r="D7" s="60"/>
      <c r="E7" s="13" t="s">
        <v>57</v>
      </c>
      <c r="F7" s="50">
        <f>F6/C3</f>
        <v>18.763379108293694</v>
      </c>
      <c r="G7" s="25">
        <f>F7/C2-1</f>
        <v>0.5143970224611536</v>
      </c>
    </row>
    <row r="8" spans="1:120" x14ac:dyDescent="0.15">
      <c r="A8" s="8"/>
      <c r="B8" s="4"/>
      <c r="C8" s="4"/>
      <c r="D8" s="69"/>
      <c r="E8" s="4"/>
      <c r="F8" s="4"/>
      <c r="G8" s="4"/>
      <c r="H8" s="4"/>
    </row>
    <row r="9" spans="1:120" x14ac:dyDescent="0.15">
      <c r="A9" s="8"/>
      <c r="B9" s="1" t="s">
        <v>93</v>
      </c>
      <c r="C9" s="52">
        <v>7.11</v>
      </c>
      <c r="D9" s="59">
        <v>43970</v>
      </c>
    </row>
    <row r="10" spans="1:120" x14ac:dyDescent="0.15">
      <c r="A10" s="8"/>
      <c r="D10" s="5"/>
      <c r="E10" s="14"/>
    </row>
    <row r="11" spans="1:120" x14ac:dyDescent="0.15">
      <c r="B11" s="2">
        <v>2016</v>
      </c>
      <c r="C11" s="2">
        <v>2017</v>
      </c>
      <c r="D11" s="2">
        <f>C11+1</f>
        <v>2018</v>
      </c>
      <c r="E11" s="2">
        <f t="shared" ref="E11:T11" si="0">D11+1</f>
        <v>2019</v>
      </c>
      <c r="F11" s="2">
        <f t="shared" si="0"/>
        <v>2020</v>
      </c>
      <c r="G11" s="2">
        <f t="shared" si="0"/>
        <v>2021</v>
      </c>
      <c r="H11" s="2">
        <f t="shared" si="0"/>
        <v>2022</v>
      </c>
      <c r="I11" s="2">
        <f t="shared" si="0"/>
        <v>2023</v>
      </c>
      <c r="J11" s="2">
        <f t="shared" si="0"/>
        <v>2024</v>
      </c>
      <c r="K11" s="2">
        <f t="shared" si="0"/>
        <v>2025</v>
      </c>
      <c r="L11" s="2">
        <f t="shared" si="0"/>
        <v>2026</v>
      </c>
      <c r="M11" s="2">
        <f t="shared" si="0"/>
        <v>2027</v>
      </c>
      <c r="N11" s="2">
        <f t="shared" si="0"/>
        <v>2028</v>
      </c>
      <c r="O11" s="2">
        <f t="shared" si="0"/>
        <v>2029</v>
      </c>
      <c r="P11" s="2">
        <f t="shared" si="0"/>
        <v>2030</v>
      </c>
      <c r="Q11" s="2">
        <f t="shared" si="0"/>
        <v>2031</v>
      </c>
      <c r="R11" s="2">
        <f t="shared" si="0"/>
        <v>2032</v>
      </c>
      <c r="S11" s="2">
        <f t="shared" si="0"/>
        <v>2033</v>
      </c>
      <c r="T11" s="2">
        <f t="shared" si="0"/>
        <v>2034</v>
      </c>
    </row>
    <row r="12" spans="1:120" x14ac:dyDescent="0.15">
      <c r="A12" s="5" t="s">
        <v>84</v>
      </c>
      <c r="B12" s="7">
        <f>2144</f>
        <v>2144</v>
      </c>
      <c r="C12" s="15">
        <f>SUM('Reports RMB'!F3:I3)</f>
        <v>3149</v>
      </c>
      <c r="D12" s="15">
        <f>SUM('Reports RMB'!J3:M3)</f>
        <v>5536</v>
      </c>
      <c r="E12" s="15">
        <f>SUM('Reports RMB'!N3:Q3)</f>
        <v>7152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</row>
    <row r="13" spans="1:120" x14ac:dyDescent="0.15">
      <c r="A13" s="5" t="s">
        <v>83</v>
      </c>
      <c r="B13" s="7">
        <v>2217</v>
      </c>
      <c r="C13" s="15">
        <f>SUM('Reports RMB'!F4:I4)</f>
        <v>7832</v>
      </c>
      <c r="D13" s="15">
        <f>SUM('Reports RMB'!J4:M4)</f>
        <v>13449</v>
      </c>
      <c r="E13" s="15">
        <f>SUM('Reports RMB'!N4:Q4)</f>
        <v>18282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</row>
    <row r="14" spans="1:120" x14ac:dyDescent="0.15">
      <c r="A14" s="5"/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</row>
    <row r="15" spans="1:120" x14ac:dyDescent="0.15">
      <c r="A15" s="5" t="s">
        <v>85</v>
      </c>
      <c r="B15" s="7">
        <f>'Reports RMB'!E6</f>
        <v>17.7</v>
      </c>
      <c r="C15" s="15">
        <f>'Reports RMB'!I6</f>
        <v>27.7</v>
      </c>
      <c r="D15" s="15">
        <f>'Reports RMB'!M6</f>
        <v>37.200000000000003</v>
      </c>
      <c r="E15" s="15">
        <f>'Reports RMB'!Q6</f>
        <v>52.3</v>
      </c>
      <c r="F15" s="15">
        <f>E15*1.25</f>
        <v>65.375</v>
      </c>
      <c r="G15" s="15">
        <f t="shared" ref="G15:J15" si="1">F15*1.25</f>
        <v>81.71875</v>
      </c>
      <c r="H15" s="15">
        <f t="shared" si="1"/>
        <v>102.1484375</v>
      </c>
      <c r="I15" s="15">
        <f t="shared" si="1"/>
        <v>127.685546875</v>
      </c>
      <c r="J15" s="15">
        <f t="shared" si="1"/>
        <v>159.60693359375</v>
      </c>
    </row>
    <row r="16" spans="1:120" x14ac:dyDescent="0.15">
      <c r="A16" s="5" t="s">
        <v>74</v>
      </c>
      <c r="B16" s="9">
        <f>SUM(B12:B13)/B15</f>
        <v>246.38418079096047</v>
      </c>
      <c r="C16" s="9">
        <f>SUM(C12:C13)/C15</f>
        <v>396.42599277978343</v>
      </c>
      <c r="D16" s="9">
        <f>SUM(D12:D13)/D15</f>
        <v>510.34946236559136</v>
      </c>
      <c r="E16" s="9">
        <f>SUM(E12:E13)/E15</f>
        <v>486.30975143403447</v>
      </c>
      <c r="F16" s="15">
        <f>E16*0.95</f>
        <v>461.99426386233273</v>
      </c>
      <c r="G16" s="15">
        <f t="shared" ref="G16:J16" si="2">F16*0.95</f>
        <v>438.89455066921607</v>
      </c>
      <c r="H16" s="15">
        <f t="shared" si="2"/>
        <v>416.94982313575525</v>
      </c>
      <c r="I16" s="15">
        <f t="shared" si="2"/>
        <v>396.10233197896747</v>
      </c>
      <c r="J16" s="15">
        <f t="shared" si="2"/>
        <v>376.29721538001905</v>
      </c>
    </row>
    <row r="17" spans="1:165" x14ac:dyDescent="0.15">
      <c r="E17" s="15"/>
      <c r="F17" s="15"/>
      <c r="G17" s="15"/>
      <c r="H17" s="15"/>
    </row>
    <row r="18" spans="1:165" x14ac:dyDescent="0.15">
      <c r="A18" s="1" t="s">
        <v>4</v>
      </c>
      <c r="B18" s="16">
        <f>B15*B16</f>
        <v>4361</v>
      </c>
      <c r="C18" s="16">
        <f>C15*C16</f>
        <v>10981</v>
      </c>
      <c r="D18" s="16">
        <f>D15*D16</f>
        <v>18985</v>
      </c>
      <c r="E18" s="16">
        <f>E15*E16</f>
        <v>25434</v>
      </c>
      <c r="F18" s="17">
        <f>F15*F16</f>
        <v>30202.875000000004</v>
      </c>
      <c r="G18" s="17">
        <f t="shared" ref="G18:J18" si="3">G15*G16</f>
        <v>35865.9140625</v>
      </c>
      <c r="H18" s="17">
        <f t="shared" si="3"/>
        <v>42590.77294921875</v>
      </c>
      <c r="I18" s="17">
        <f t="shared" si="3"/>
        <v>50576.542877197266</v>
      </c>
      <c r="J18" s="17">
        <f t="shared" si="3"/>
        <v>60059.644666671746</v>
      </c>
      <c r="K18" s="17">
        <f t="shared" ref="K18:T18" si="4">J18*1.1</f>
        <v>66065.609133338919</v>
      </c>
      <c r="L18" s="17">
        <f t="shared" si="4"/>
        <v>72672.170046672822</v>
      </c>
      <c r="M18" s="17">
        <f t="shared" si="4"/>
        <v>79939.387051340105</v>
      </c>
      <c r="N18" s="17">
        <f t="shared" si="4"/>
        <v>87933.325756474122</v>
      </c>
      <c r="O18" s="17">
        <f t="shared" si="4"/>
        <v>96726.658332121544</v>
      </c>
      <c r="P18" s="17">
        <f t="shared" si="4"/>
        <v>106399.3241653337</v>
      </c>
      <c r="Q18" s="17">
        <f t="shared" si="4"/>
        <v>117039.25658186708</v>
      </c>
      <c r="R18" s="17">
        <f t="shared" si="4"/>
        <v>128743.18224005381</v>
      </c>
      <c r="S18" s="17">
        <f t="shared" si="4"/>
        <v>141617.50046405921</v>
      </c>
      <c r="T18" s="17">
        <f t="shared" si="4"/>
        <v>155779.25051046515</v>
      </c>
    </row>
    <row r="19" spans="1:165" x14ac:dyDescent="0.15">
      <c r="A19" s="2" t="s">
        <v>5</v>
      </c>
      <c r="B19" s="7">
        <v>3129</v>
      </c>
      <c r="C19" s="15">
        <f>SUM('Reports RMB'!F10:I10)</f>
        <v>7171</v>
      </c>
      <c r="D19" s="15">
        <f>SUM('Reports RMB'!J10:M10)</f>
        <v>11708</v>
      </c>
      <c r="E19" s="15">
        <f>SUM('Reports RMB'!N10:Q10)</f>
        <v>16761</v>
      </c>
      <c r="F19" s="7">
        <f t="shared" ref="F19:G19" si="5">F18-F20</f>
        <v>19903.6875</v>
      </c>
      <c r="G19" s="7">
        <f t="shared" si="5"/>
        <v>23635.62890625</v>
      </c>
      <c r="H19" s="7">
        <f t="shared" ref="H19:O19" si="6">H18-H20</f>
        <v>28067.309326171875</v>
      </c>
      <c r="I19" s="7">
        <f t="shared" si="6"/>
        <v>33329.929824829102</v>
      </c>
      <c r="J19" s="7">
        <f t="shared" si="6"/>
        <v>39579.291666984551</v>
      </c>
      <c r="K19" s="7">
        <f t="shared" si="6"/>
        <v>43537.220833683008</v>
      </c>
      <c r="L19" s="7">
        <f t="shared" si="6"/>
        <v>47890.942917051318</v>
      </c>
      <c r="M19" s="7">
        <f t="shared" si="6"/>
        <v>52680.037208756446</v>
      </c>
      <c r="N19" s="7">
        <f t="shared" si="6"/>
        <v>57948.040929632094</v>
      </c>
      <c r="O19" s="7">
        <f t="shared" si="6"/>
        <v>63742.845022595313</v>
      </c>
      <c r="P19" s="7">
        <f t="shared" ref="P19:T19" si="7">P18-P20</f>
        <v>70117.129524854856</v>
      </c>
      <c r="Q19" s="7">
        <f t="shared" si="7"/>
        <v>77128.842477340339</v>
      </c>
      <c r="R19" s="7">
        <f t="shared" si="7"/>
        <v>84841.72672507439</v>
      </c>
      <c r="S19" s="7">
        <f t="shared" si="7"/>
        <v>93325.899397581845</v>
      </c>
      <c r="T19" s="7">
        <f t="shared" si="7"/>
        <v>102658.48933734003</v>
      </c>
    </row>
    <row r="20" spans="1:165" x14ac:dyDescent="0.15">
      <c r="A20" s="2" t="s">
        <v>6</v>
      </c>
      <c r="B20" s="9">
        <f t="shared" ref="B20:E20" si="8">B18-B19</f>
        <v>1232</v>
      </c>
      <c r="C20" s="9">
        <f t="shared" si="8"/>
        <v>3810</v>
      </c>
      <c r="D20" s="9">
        <f t="shared" si="8"/>
        <v>7277</v>
      </c>
      <c r="E20" s="9">
        <f t="shared" si="8"/>
        <v>8673</v>
      </c>
      <c r="F20" s="7">
        <f>F18*E37</f>
        <v>10299.187500000002</v>
      </c>
      <c r="G20" s="7">
        <f>G18*F37</f>
        <v>12230.28515625</v>
      </c>
      <c r="H20" s="7">
        <f>H18*G37</f>
        <v>14523.463623046877</v>
      </c>
      <c r="I20" s="7">
        <f>I18*H37</f>
        <v>17246.613052368164</v>
      </c>
      <c r="J20" s="7">
        <f>J18*I37</f>
        <v>20480.352999687195</v>
      </c>
      <c r="K20" s="7">
        <f>K18*J37</f>
        <v>22528.388299655911</v>
      </c>
      <c r="L20" s="7">
        <f>L18*K37</f>
        <v>24781.227129621508</v>
      </c>
      <c r="M20" s="7">
        <f>M18*L37</f>
        <v>27259.349842583659</v>
      </c>
      <c r="N20" s="7">
        <f>N18*M37</f>
        <v>29985.284826842028</v>
      </c>
      <c r="O20" s="7">
        <f>O18*N37</f>
        <v>32983.813309526231</v>
      </c>
      <c r="P20" s="7">
        <f>P18*O37</f>
        <v>36282.194640478854</v>
      </c>
      <c r="Q20" s="7">
        <f>Q18*P37</f>
        <v>39910.414104526739</v>
      </c>
      <c r="R20" s="7">
        <f>R18*Q37</f>
        <v>43901.455514979418</v>
      </c>
      <c r="S20" s="7">
        <f>S18*R37</f>
        <v>48291.601066477371</v>
      </c>
      <c r="T20" s="7">
        <f>T18*S37</f>
        <v>53120.761173125116</v>
      </c>
    </row>
    <row r="21" spans="1:165" x14ac:dyDescent="0.15">
      <c r="A21" s="2" t="s">
        <v>7</v>
      </c>
      <c r="B21" s="7">
        <v>365</v>
      </c>
      <c r="C21" s="15">
        <f>SUM('Reports RMB'!F12:I12)</f>
        <v>913</v>
      </c>
      <c r="D21" s="15">
        <f>SUM('Reports RMB'!J12:M12)</f>
        <v>1714</v>
      </c>
      <c r="E21" s="15">
        <f>SUM('Reports RMB'!N12:Q12)</f>
        <v>2041</v>
      </c>
      <c r="F21" s="7">
        <f>E21*1.2</f>
        <v>2449.1999999999998</v>
      </c>
      <c r="G21" s="7">
        <f t="shared" ref="G21:J21" si="9">F21*1.2</f>
        <v>2939.0399999999995</v>
      </c>
      <c r="H21" s="7">
        <f t="shared" si="9"/>
        <v>3526.8479999999995</v>
      </c>
      <c r="I21" s="7">
        <f t="shared" si="9"/>
        <v>4232.217599999999</v>
      </c>
      <c r="J21" s="7">
        <f t="shared" si="9"/>
        <v>5078.6611199999988</v>
      </c>
      <c r="K21" s="7">
        <f>J21*1.1</f>
        <v>5586.5272319999995</v>
      </c>
      <c r="L21" s="7">
        <f t="shared" ref="L21:T21" si="10">K21*1.1</f>
        <v>6145.1799552000002</v>
      </c>
      <c r="M21" s="7">
        <f t="shared" si="10"/>
        <v>6759.6979507200012</v>
      </c>
      <c r="N21" s="7">
        <f t="shared" si="10"/>
        <v>7435.6677457920023</v>
      </c>
      <c r="O21" s="7">
        <f t="shared" si="10"/>
        <v>8179.234520371203</v>
      </c>
      <c r="P21" s="7">
        <f t="shared" si="10"/>
        <v>8997.157972408324</v>
      </c>
      <c r="Q21" s="7">
        <f t="shared" si="10"/>
        <v>9896.8737696491571</v>
      </c>
      <c r="R21" s="7">
        <f t="shared" si="10"/>
        <v>10886.561146614074</v>
      </c>
      <c r="S21" s="7">
        <f t="shared" si="10"/>
        <v>11975.217261275482</v>
      </c>
      <c r="T21" s="7">
        <f t="shared" si="10"/>
        <v>13172.73898740303</v>
      </c>
    </row>
    <row r="22" spans="1:165" x14ac:dyDescent="0.15">
      <c r="A22" s="2" t="s">
        <v>8</v>
      </c>
      <c r="B22" s="7">
        <v>783</v>
      </c>
      <c r="C22" s="15">
        <f>SUM('Reports RMB'!F13:I13)</f>
        <v>1521</v>
      </c>
      <c r="D22" s="15">
        <f>SUM('Reports RMB'!J13:M13)</f>
        <v>2258</v>
      </c>
      <c r="E22" s="15">
        <f>SUM('Reports RMB'!N13:Q13)</f>
        <v>2703</v>
      </c>
      <c r="F22" s="7">
        <f>E22*1.15</f>
        <v>3108.45</v>
      </c>
      <c r="G22" s="7">
        <f t="shared" ref="G22:J22" si="11">F22*1.15</f>
        <v>3574.7174999999993</v>
      </c>
      <c r="H22" s="7">
        <f t="shared" si="11"/>
        <v>4110.9251249999988</v>
      </c>
      <c r="I22" s="7">
        <f t="shared" si="11"/>
        <v>4727.563893749998</v>
      </c>
      <c r="J22" s="7">
        <f t="shared" si="11"/>
        <v>5436.698477812497</v>
      </c>
      <c r="K22" s="7">
        <f>J22*1.05</f>
        <v>5708.5334017031219</v>
      </c>
      <c r="L22" s="7">
        <f t="shared" ref="L22:T22" si="12">K22*1.05</f>
        <v>5993.9600717882786</v>
      </c>
      <c r="M22" s="7">
        <f t="shared" si="12"/>
        <v>6293.6580753776925</v>
      </c>
      <c r="N22" s="7">
        <f t="shared" si="12"/>
        <v>6608.3409791465774</v>
      </c>
      <c r="O22" s="7">
        <f t="shared" si="12"/>
        <v>6938.7580281039063</v>
      </c>
      <c r="P22" s="7">
        <f t="shared" si="12"/>
        <v>7285.6959295091019</v>
      </c>
      <c r="Q22" s="7">
        <f t="shared" si="12"/>
        <v>7649.9807259845575</v>
      </c>
      <c r="R22" s="7">
        <f t="shared" si="12"/>
        <v>8032.4797622837859</v>
      </c>
      <c r="S22" s="7">
        <f t="shared" si="12"/>
        <v>8434.1037503979751</v>
      </c>
      <c r="T22" s="7">
        <f t="shared" si="12"/>
        <v>8855.8089379178746</v>
      </c>
    </row>
    <row r="23" spans="1:165" x14ac:dyDescent="0.15">
      <c r="A23" s="2" t="s">
        <v>9</v>
      </c>
      <c r="B23" s="9">
        <f t="shared" ref="B23:O23" si="13">SUM(B21:B22)</f>
        <v>1148</v>
      </c>
      <c r="C23" s="9">
        <f t="shared" si="13"/>
        <v>2434</v>
      </c>
      <c r="D23" s="9">
        <f t="shared" si="13"/>
        <v>3972</v>
      </c>
      <c r="E23" s="9">
        <f t="shared" ref="E23" si="14">SUM(E21:E22)</f>
        <v>4744</v>
      </c>
      <c r="F23" s="7">
        <f t="shared" si="13"/>
        <v>5557.65</v>
      </c>
      <c r="G23" s="7">
        <f t="shared" si="13"/>
        <v>6513.7574999999988</v>
      </c>
      <c r="H23" s="7">
        <f t="shared" si="13"/>
        <v>7637.7731249999979</v>
      </c>
      <c r="I23" s="7">
        <f t="shared" si="13"/>
        <v>8959.781493749997</v>
      </c>
      <c r="J23" s="7">
        <f t="shared" si="13"/>
        <v>10515.359597812496</v>
      </c>
      <c r="K23" s="7">
        <f t="shared" si="13"/>
        <v>11295.06063370312</v>
      </c>
      <c r="L23" s="7">
        <f t="shared" si="13"/>
        <v>12139.14002698828</v>
      </c>
      <c r="M23" s="7">
        <f t="shared" si="13"/>
        <v>13053.356026097694</v>
      </c>
      <c r="N23" s="7">
        <f t="shared" si="13"/>
        <v>14044.00872493858</v>
      </c>
      <c r="O23" s="7">
        <f t="shared" si="13"/>
        <v>15117.992548475109</v>
      </c>
      <c r="P23" s="7">
        <f t="shared" ref="P23:T23" si="15">SUM(P21:P22)</f>
        <v>16282.853901917426</v>
      </c>
      <c r="Q23" s="7">
        <f t="shared" si="15"/>
        <v>17546.854495633714</v>
      </c>
      <c r="R23" s="7">
        <f t="shared" si="15"/>
        <v>18919.040908897859</v>
      </c>
      <c r="S23" s="7">
        <f t="shared" si="15"/>
        <v>20409.321011673455</v>
      </c>
      <c r="T23" s="7">
        <f t="shared" si="15"/>
        <v>22028.547925320905</v>
      </c>
    </row>
    <row r="24" spans="1:165" x14ac:dyDescent="0.15">
      <c r="A24" s="2" t="s">
        <v>10</v>
      </c>
      <c r="B24" s="9">
        <f>B20-B23</f>
        <v>84</v>
      </c>
      <c r="C24" s="9">
        <f>C20-C23</f>
        <v>1376</v>
      </c>
      <c r="D24" s="9">
        <f>D20-D23</f>
        <v>3305</v>
      </c>
      <c r="E24" s="9">
        <f>E20-E23</f>
        <v>3929</v>
      </c>
      <c r="F24" s="7">
        <f>F20-F23</f>
        <v>4741.5375000000022</v>
      </c>
      <c r="G24" s="7">
        <f>G20-G23</f>
        <v>5716.5276562500012</v>
      </c>
      <c r="H24" s="7">
        <f>H20-H23</f>
        <v>6885.6904980468789</v>
      </c>
      <c r="I24" s="7">
        <f>I20-I23</f>
        <v>8286.831558618167</v>
      </c>
      <c r="J24" s="7">
        <f>J20-J23</f>
        <v>9964.993401874699</v>
      </c>
      <c r="K24" s="7">
        <f>K20-K23</f>
        <v>11233.327665952791</v>
      </c>
      <c r="L24" s="7">
        <f>L20-L23</f>
        <v>12642.087102633228</v>
      </c>
      <c r="M24" s="7">
        <f>M20-M23</f>
        <v>14205.993816485965</v>
      </c>
      <c r="N24" s="7">
        <f>N20-N23</f>
        <v>15941.276101903448</v>
      </c>
      <c r="O24" s="7">
        <f>O20-O23</f>
        <v>17865.820761051124</v>
      </c>
      <c r="P24" s="7">
        <f>P20-P23</f>
        <v>19999.340738561426</v>
      </c>
      <c r="Q24" s="7">
        <f>Q20-Q23</f>
        <v>22363.559608893025</v>
      </c>
      <c r="R24" s="7">
        <f>R20-R23</f>
        <v>24982.414606081558</v>
      </c>
      <c r="S24" s="7">
        <f>S20-S23</f>
        <v>27882.280054803916</v>
      </c>
      <c r="T24" s="7">
        <f>T20-T23</f>
        <v>31092.213247804211</v>
      </c>
    </row>
    <row r="25" spans="1:165" x14ac:dyDescent="0.15">
      <c r="A25" s="2" t="s">
        <v>11</v>
      </c>
      <c r="B25" s="7">
        <f>32-13+11</f>
        <v>30</v>
      </c>
      <c r="C25" s="15">
        <f>SUM('Reports RMB'!F16:I16)</f>
        <v>221</v>
      </c>
      <c r="D25" s="15">
        <f>SUM('Reports RMB'!J16:M16)</f>
        <v>-1303</v>
      </c>
      <c r="E25" s="15">
        <f>SUM('Reports RMB'!N16:Q16)</f>
        <v>611</v>
      </c>
      <c r="F25" s="7">
        <f t="shared" ref="F25:T25" si="16">E46*$F$3</f>
        <v>463.74</v>
      </c>
      <c r="G25" s="7">
        <f t="shared" si="16"/>
        <v>552.22971750000011</v>
      </c>
      <c r="H25" s="7">
        <f t="shared" si="16"/>
        <v>658.79859285375005</v>
      </c>
      <c r="I25" s="7">
        <f t="shared" si="16"/>
        <v>787.05490739906077</v>
      </c>
      <c r="J25" s="7">
        <f t="shared" si="16"/>
        <v>941.31097732135356</v>
      </c>
      <c r="K25" s="7">
        <f t="shared" si="16"/>
        <v>1126.7181517676863</v>
      </c>
      <c r="L25" s="7">
        <f t="shared" si="16"/>
        <v>1336.8389306689346</v>
      </c>
      <c r="M25" s="7">
        <f t="shared" si="16"/>
        <v>1574.4806732350714</v>
      </c>
      <c r="N25" s="7">
        <f t="shared" si="16"/>
        <v>1842.7487395603289</v>
      </c>
      <c r="O25" s="7">
        <f t="shared" si="16"/>
        <v>2145.0771618652134</v>
      </c>
      <c r="P25" s="7">
        <f t="shared" si="16"/>
        <v>2485.2624265547911</v>
      </c>
      <c r="Q25" s="7">
        <f t="shared" si="16"/>
        <v>2867.5006803617666</v>
      </c>
      <c r="R25" s="7">
        <f t="shared" si="16"/>
        <v>3296.4287052790983</v>
      </c>
      <c r="S25" s="7">
        <f t="shared" si="16"/>
        <v>3777.1690415722296</v>
      </c>
      <c r="T25" s="7">
        <f t="shared" si="16"/>
        <v>4315.379676210624</v>
      </c>
    </row>
    <row r="26" spans="1:165" x14ac:dyDescent="0.15">
      <c r="A26" s="2" t="s">
        <v>12</v>
      </c>
      <c r="B26" s="9">
        <f t="shared" ref="B26:E26" si="17">B24+B25</f>
        <v>114</v>
      </c>
      <c r="C26" s="9">
        <f t="shared" si="17"/>
        <v>1597</v>
      </c>
      <c r="D26" s="9">
        <f t="shared" si="17"/>
        <v>2002</v>
      </c>
      <c r="E26" s="9">
        <f t="shared" si="17"/>
        <v>4540</v>
      </c>
      <c r="F26" s="7">
        <f t="shared" ref="F26:G26" si="18">F24+F25</f>
        <v>5205.277500000002</v>
      </c>
      <c r="G26" s="7">
        <f t="shared" si="18"/>
        <v>6268.7573737500015</v>
      </c>
      <c r="H26" s="7">
        <f t="shared" ref="H26" si="19">H24+H25</f>
        <v>7544.489090900629</v>
      </c>
      <c r="I26" s="7">
        <f t="shared" ref="I26" si="20">I24+I25</f>
        <v>9073.8864660172276</v>
      </c>
      <c r="J26" s="7">
        <f t="shared" ref="J26" si="21">J24+J25</f>
        <v>10906.304379196052</v>
      </c>
      <c r="K26" s="7">
        <f t="shared" ref="K26" si="22">K24+K25</f>
        <v>12360.045817720478</v>
      </c>
      <c r="L26" s="7">
        <f t="shared" ref="L26" si="23">L24+L25</f>
        <v>13978.926033302163</v>
      </c>
      <c r="M26" s="7">
        <f t="shared" ref="M26" si="24">M24+M25</f>
        <v>15780.474489721037</v>
      </c>
      <c r="N26" s="7">
        <f t="shared" ref="N26" si="25">N24+N25</f>
        <v>17784.024841463775</v>
      </c>
      <c r="O26" s="7">
        <f t="shared" ref="O26:P26" si="26">O24+O25</f>
        <v>20010.897922916338</v>
      </c>
      <c r="P26" s="7">
        <f t="shared" si="26"/>
        <v>22484.603165116219</v>
      </c>
      <c r="Q26" s="7">
        <f t="shared" ref="Q26:T26" si="27">Q24+Q25</f>
        <v>25231.06028925479</v>
      </c>
      <c r="R26" s="7">
        <f t="shared" si="27"/>
        <v>28278.843311360655</v>
      </c>
      <c r="S26" s="7">
        <f t="shared" si="27"/>
        <v>31659.449096376145</v>
      </c>
      <c r="T26" s="7">
        <f t="shared" si="27"/>
        <v>35407.592924014833</v>
      </c>
    </row>
    <row r="27" spans="1:165" x14ac:dyDescent="0.15">
      <c r="A27" s="2" t="s">
        <v>13</v>
      </c>
      <c r="B27" s="7">
        <v>29</v>
      </c>
      <c r="C27" s="15">
        <f>SUM('Reports RMB'!F18:I18)</f>
        <v>278</v>
      </c>
      <c r="D27" s="15">
        <f>SUM('Reports RMB'!J18:M18)</f>
        <v>171</v>
      </c>
      <c r="E27" s="15">
        <f>SUM('Reports RMB'!N18:Q18)</f>
        <v>563</v>
      </c>
      <c r="F27" s="7">
        <f t="shared" ref="F27:O27" si="28">F26*0.15</f>
        <v>780.79162500000029</v>
      </c>
      <c r="G27" s="7">
        <f t="shared" si="28"/>
        <v>940.31360606250018</v>
      </c>
      <c r="H27" s="7">
        <f t="shared" si="28"/>
        <v>1131.6733636350943</v>
      </c>
      <c r="I27" s="7">
        <f t="shared" si="28"/>
        <v>1361.0829699025842</v>
      </c>
      <c r="J27" s="7">
        <f t="shared" si="28"/>
        <v>1635.9456568794078</v>
      </c>
      <c r="K27" s="7">
        <f t="shared" si="28"/>
        <v>1854.0068726580716</v>
      </c>
      <c r="L27" s="7">
        <f t="shared" si="28"/>
        <v>2096.8389049953244</v>
      </c>
      <c r="M27" s="7">
        <f t="shared" si="28"/>
        <v>2367.0711734581555</v>
      </c>
      <c r="N27" s="7">
        <f t="shared" si="28"/>
        <v>2667.6037262195664</v>
      </c>
      <c r="O27" s="7">
        <f t="shared" si="28"/>
        <v>3001.6346884374507</v>
      </c>
      <c r="P27" s="7">
        <f t="shared" ref="P27:T27" si="29">P26*0.15</f>
        <v>3372.690474767433</v>
      </c>
      <c r="Q27" s="7">
        <f t="shared" si="29"/>
        <v>3784.6590433882184</v>
      </c>
      <c r="R27" s="7">
        <f t="shared" si="29"/>
        <v>4241.8264967040977</v>
      </c>
      <c r="S27" s="7">
        <f t="shared" si="29"/>
        <v>4748.9173644564216</v>
      </c>
      <c r="T27" s="7">
        <f t="shared" si="29"/>
        <v>5311.1389386022247</v>
      </c>
    </row>
    <row r="28" spans="1:165" s="1" customFormat="1" x14ac:dyDescent="0.15">
      <c r="A28" s="1" t="s">
        <v>14</v>
      </c>
      <c r="B28" s="16">
        <f t="shared" ref="B28:C28" si="30">B26-B27</f>
        <v>85</v>
      </c>
      <c r="C28" s="16">
        <f t="shared" si="30"/>
        <v>1319</v>
      </c>
      <c r="D28" s="16">
        <f>D26-D27</f>
        <v>1831</v>
      </c>
      <c r="E28" s="16">
        <f t="shared" ref="E28:G28" si="31">E26-E27</f>
        <v>3977</v>
      </c>
      <c r="F28" s="16">
        <f t="shared" si="31"/>
        <v>4424.4858750000021</v>
      </c>
      <c r="G28" s="16">
        <f t="shared" si="31"/>
        <v>5328.4437676875013</v>
      </c>
      <c r="H28" s="16">
        <f t="shared" ref="H28:O28" si="32">H26-H27</f>
        <v>6412.8157272655344</v>
      </c>
      <c r="I28" s="16">
        <f t="shared" si="32"/>
        <v>7712.8034961146432</v>
      </c>
      <c r="J28" s="16">
        <f t="shared" si="32"/>
        <v>9270.3587223166433</v>
      </c>
      <c r="K28" s="16">
        <f t="shared" si="32"/>
        <v>10506.038945062406</v>
      </c>
      <c r="L28" s="16">
        <f t="shared" si="32"/>
        <v>11882.087128306839</v>
      </c>
      <c r="M28" s="16">
        <f t="shared" si="32"/>
        <v>13413.40331626288</v>
      </c>
      <c r="N28" s="16">
        <f t="shared" si="32"/>
        <v>15116.421115244209</v>
      </c>
      <c r="O28" s="16">
        <f t="shared" si="32"/>
        <v>17009.263234478887</v>
      </c>
      <c r="P28" s="16">
        <f t="shared" ref="P28:T28" si="33">P26-P27</f>
        <v>19111.912690348785</v>
      </c>
      <c r="Q28" s="16">
        <f t="shared" si="33"/>
        <v>21446.401245866571</v>
      </c>
      <c r="R28" s="16">
        <f t="shared" si="33"/>
        <v>24037.016814656556</v>
      </c>
      <c r="S28" s="16">
        <f t="shared" si="33"/>
        <v>26910.531731919724</v>
      </c>
      <c r="T28" s="16">
        <f t="shared" si="33"/>
        <v>30096.453985412609</v>
      </c>
      <c r="U28" s="16">
        <f t="shared" ref="U28:AU28" si="34">T28*($F$2+1)</f>
        <v>29494.524905704355</v>
      </c>
      <c r="V28" s="16">
        <f t="shared" si="34"/>
        <v>28904.634407590267</v>
      </c>
      <c r="W28" s="16">
        <f t="shared" si="34"/>
        <v>28326.541719438461</v>
      </c>
      <c r="X28" s="16">
        <f t="shared" si="34"/>
        <v>27760.010885049691</v>
      </c>
      <c r="Y28" s="16">
        <f t="shared" si="34"/>
        <v>27204.810667348698</v>
      </c>
      <c r="Z28" s="16">
        <f t="shared" si="34"/>
        <v>26660.714454001725</v>
      </c>
      <c r="AA28" s="16">
        <f t="shared" si="34"/>
        <v>26127.50016492169</v>
      </c>
      <c r="AB28" s="16">
        <f t="shared" si="34"/>
        <v>25604.950161623256</v>
      </c>
      <c r="AC28" s="16">
        <f t="shared" si="34"/>
        <v>25092.851158390789</v>
      </c>
      <c r="AD28" s="16">
        <f t="shared" si="34"/>
        <v>24590.994135222973</v>
      </c>
      <c r="AE28" s="16">
        <f t="shared" si="34"/>
        <v>24099.174252518511</v>
      </c>
      <c r="AF28" s="16">
        <f t="shared" si="34"/>
        <v>23617.190767468139</v>
      </c>
      <c r="AG28" s="16">
        <f t="shared" si="34"/>
        <v>23144.846952118776</v>
      </c>
      <c r="AH28" s="16">
        <f t="shared" si="34"/>
        <v>22681.950013076399</v>
      </c>
      <c r="AI28" s="16">
        <f t="shared" si="34"/>
        <v>22228.311012814869</v>
      </c>
      <c r="AJ28" s="16">
        <f t="shared" si="34"/>
        <v>21783.744792558573</v>
      </c>
      <c r="AK28" s="16">
        <f t="shared" si="34"/>
        <v>21348.069896707402</v>
      </c>
      <c r="AL28" s="16">
        <f t="shared" si="34"/>
        <v>20921.108498773254</v>
      </c>
      <c r="AM28" s="16">
        <f t="shared" si="34"/>
        <v>20502.686328797787</v>
      </c>
      <c r="AN28" s="16">
        <f t="shared" si="34"/>
        <v>20092.632602221831</v>
      </c>
      <c r="AO28" s="16">
        <f t="shared" si="34"/>
        <v>19690.779950177395</v>
      </c>
      <c r="AP28" s="16">
        <f t="shared" si="34"/>
        <v>19296.964351173847</v>
      </c>
      <c r="AQ28" s="16">
        <f t="shared" si="34"/>
        <v>18911.02506415037</v>
      </c>
      <c r="AR28" s="16">
        <f t="shared" si="34"/>
        <v>18532.804562867361</v>
      </c>
      <c r="AS28" s="16">
        <f t="shared" si="34"/>
        <v>18162.148471610013</v>
      </c>
      <c r="AT28" s="16">
        <f t="shared" si="34"/>
        <v>17798.905502177811</v>
      </c>
      <c r="AU28" s="16">
        <f t="shared" si="34"/>
        <v>17442.927392134254</v>
      </c>
      <c r="AV28" s="16">
        <f t="shared" ref="AV28:CA28" si="35">AU28*($F$2+1)</f>
        <v>17094.068844291567</v>
      </c>
      <c r="AW28" s="16">
        <f t="shared" si="35"/>
        <v>16752.187467405736</v>
      </c>
      <c r="AX28" s="16">
        <f t="shared" si="35"/>
        <v>16417.143718057621</v>
      </c>
      <c r="AY28" s="16">
        <f t="shared" si="35"/>
        <v>16088.800843696468</v>
      </c>
      <c r="AZ28" s="16">
        <f t="shared" si="35"/>
        <v>15767.024826822539</v>
      </c>
      <c r="BA28" s="16">
        <f t="shared" si="35"/>
        <v>15451.684330286087</v>
      </c>
      <c r="BB28" s="16">
        <f t="shared" si="35"/>
        <v>15142.650643680365</v>
      </c>
      <c r="BC28" s="16">
        <f t="shared" si="35"/>
        <v>14839.797630806757</v>
      </c>
      <c r="BD28" s="16">
        <f t="shared" si="35"/>
        <v>14543.001678190622</v>
      </c>
      <c r="BE28" s="16">
        <f t="shared" si="35"/>
        <v>14252.141644626809</v>
      </c>
      <c r="BF28" s="16">
        <f t="shared" si="35"/>
        <v>13967.098811734271</v>
      </c>
      <c r="BG28" s="16">
        <f t="shared" si="35"/>
        <v>13687.756835499586</v>
      </c>
      <c r="BH28" s="16">
        <f t="shared" si="35"/>
        <v>13414.001698789594</v>
      </c>
      <c r="BI28" s="16">
        <f t="shared" si="35"/>
        <v>13145.721664813802</v>
      </c>
      <c r="BJ28" s="16">
        <f t="shared" si="35"/>
        <v>12882.807231517525</v>
      </c>
      <c r="BK28" s="16">
        <f t="shared" si="35"/>
        <v>12625.151086887174</v>
      </c>
      <c r="BL28" s="16">
        <f t="shared" si="35"/>
        <v>12372.648065149429</v>
      </c>
      <c r="BM28" s="16">
        <f t="shared" si="35"/>
        <v>12125.195103846441</v>
      </c>
      <c r="BN28" s="16">
        <f t="shared" si="35"/>
        <v>11882.691201769512</v>
      </c>
      <c r="BO28" s="16">
        <f t="shared" si="35"/>
        <v>11645.037377734121</v>
      </c>
      <c r="BP28" s="16">
        <f t="shared" si="35"/>
        <v>11412.136630179439</v>
      </c>
      <c r="BQ28" s="16">
        <f t="shared" si="35"/>
        <v>11183.89389757585</v>
      </c>
      <c r="BR28" s="16">
        <f t="shared" si="35"/>
        <v>10960.216019624333</v>
      </c>
      <c r="BS28" s="16">
        <f t="shared" si="35"/>
        <v>10741.011699231845</v>
      </c>
      <c r="BT28" s="16">
        <f t="shared" si="35"/>
        <v>10526.191465247208</v>
      </c>
      <c r="BU28" s="16">
        <f t="shared" si="35"/>
        <v>10315.667635942264</v>
      </c>
      <c r="BV28" s="16">
        <f t="shared" si="35"/>
        <v>10109.354283223418</v>
      </c>
      <c r="BW28" s="16">
        <f t="shared" si="35"/>
        <v>9907.1671975589488</v>
      </c>
      <c r="BX28" s="16">
        <f t="shared" si="35"/>
        <v>9709.0238536077704</v>
      </c>
      <c r="BY28" s="16">
        <f t="shared" si="35"/>
        <v>9514.8433765356149</v>
      </c>
      <c r="BZ28" s="16">
        <f t="shared" si="35"/>
        <v>9324.546509004902</v>
      </c>
      <c r="CA28" s="16">
        <f t="shared" si="35"/>
        <v>9138.0555788248039</v>
      </c>
      <c r="CB28" s="16">
        <f t="shared" ref="CB28:DG28" si="36">CA28*($F$2+1)</f>
        <v>8955.2944672483081</v>
      </c>
      <c r="CC28" s="16">
        <f t="shared" si="36"/>
        <v>8776.1885779033419</v>
      </c>
      <c r="CD28" s="16">
        <f t="shared" si="36"/>
        <v>8600.664806345274</v>
      </c>
      <c r="CE28" s="16">
        <f t="shared" si="36"/>
        <v>8428.6515102183675</v>
      </c>
      <c r="CF28" s="16">
        <f t="shared" si="36"/>
        <v>8260.0784800140009</v>
      </c>
      <c r="CG28" s="16">
        <f t="shared" si="36"/>
        <v>8094.8769104137209</v>
      </c>
      <c r="CH28" s="16">
        <f t="shared" si="36"/>
        <v>7932.9793722054465</v>
      </c>
      <c r="CI28" s="16">
        <f t="shared" si="36"/>
        <v>7774.3197847613374</v>
      </c>
      <c r="CJ28" s="16">
        <f t="shared" si="36"/>
        <v>7618.8333890661106</v>
      </c>
      <c r="CK28" s="16">
        <f t="shared" si="36"/>
        <v>7466.4567212847878</v>
      </c>
      <c r="CL28" s="16">
        <f t="shared" si="36"/>
        <v>7317.1275868590919</v>
      </c>
      <c r="CM28" s="16">
        <f t="shared" si="36"/>
        <v>7170.7850351219104</v>
      </c>
      <c r="CN28" s="16">
        <f t="shared" si="36"/>
        <v>7027.3693344194717</v>
      </c>
      <c r="CO28" s="16">
        <f t="shared" si="36"/>
        <v>6886.8219477310822</v>
      </c>
      <c r="CP28" s="16">
        <f t="shared" si="36"/>
        <v>6749.0855087764603</v>
      </c>
      <c r="CQ28" s="16">
        <f t="shared" si="36"/>
        <v>6614.1037986009305</v>
      </c>
      <c r="CR28" s="16">
        <f t="shared" si="36"/>
        <v>6481.8217226289116</v>
      </c>
      <c r="CS28" s="16">
        <f t="shared" si="36"/>
        <v>6352.1852881763334</v>
      </c>
      <c r="CT28" s="16">
        <f t="shared" si="36"/>
        <v>6225.1415824128062</v>
      </c>
      <c r="CU28" s="16">
        <f t="shared" si="36"/>
        <v>6100.6387507645495</v>
      </c>
      <c r="CV28" s="16">
        <f t="shared" si="36"/>
        <v>5978.625975749258</v>
      </c>
      <c r="CW28" s="16">
        <f t="shared" si="36"/>
        <v>5859.0534562342727</v>
      </c>
      <c r="CX28" s="16">
        <f t="shared" si="36"/>
        <v>5741.8723871095872</v>
      </c>
      <c r="CY28" s="16">
        <f t="shared" si="36"/>
        <v>5627.0349393673951</v>
      </c>
      <c r="CZ28" s="16">
        <f t="shared" si="36"/>
        <v>5514.4942405800466</v>
      </c>
      <c r="DA28" s="16">
        <f t="shared" si="36"/>
        <v>5404.2043557684456</v>
      </c>
      <c r="DB28" s="16">
        <f t="shared" si="36"/>
        <v>5296.1202686530769</v>
      </c>
      <c r="DC28" s="16">
        <f t="shared" si="36"/>
        <v>5190.1978632800156</v>
      </c>
      <c r="DD28" s="16">
        <f t="shared" si="36"/>
        <v>5086.3939060144148</v>
      </c>
      <c r="DE28" s="16">
        <f t="shared" si="36"/>
        <v>4984.6660278941263</v>
      </c>
      <c r="DF28" s="16">
        <f t="shared" si="36"/>
        <v>4884.9727073362437</v>
      </c>
      <c r="DG28" s="16">
        <f t="shared" si="36"/>
        <v>4787.273253189519</v>
      </c>
      <c r="DH28" s="16">
        <f t="shared" ref="DH28:DO28" si="37">DG28*($F$2+1)</f>
        <v>4691.5277881257289</v>
      </c>
      <c r="DI28" s="16">
        <f t="shared" si="37"/>
        <v>4597.6972323632144</v>
      </c>
      <c r="DJ28" s="16">
        <f t="shared" si="37"/>
        <v>4505.7432877159499</v>
      </c>
      <c r="DK28" s="16">
        <f t="shared" si="37"/>
        <v>4415.6284219616309</v>
      </c>
      <c r="DL28" s="16">
        <f t="shared" si="37"/>
        <v>4327.3158535223984</v>
      </c>
      <c r="DM28" s="16">
        <f t="shared" si="37"/>
        <v>4240.7695364519504</v>
      </c>
      <c r="DN28" s="16">
        <f t="shared" si="37"/>
        <v>4155.9541457229116</v>
      </c>
      <c r="DO28" s="16">
        <f t="shared" si="37"/>
        <v>4072.8350628084531</v>
      </c>
      <c r="DP28" s="16">
        <f>DO28*($F$2+1)</f>
        <v>3991.3783615522839</v>
      </c>
      <c r="DQ28" s="16">
        <f t="shared" ref="DQ28:FI28" si="38">DP28*($F$2+1)</f>
        <v>3911.5507943212383</v>
      </c>
      <c r="DR28" s="16">
        <f t="shared" si="38"/>
        <v>3833.3197784348135</v>
      </c>
      <c r="DS28" s="16">
        <f t="shared" si="38"/>
        <v>3756.6533828661172</v>
      </c>
      <c r="DT28" s="16">
        <f t="shared" si="38"/>
        <v>3681.5203152087947</v>
      </c>
      <c r="DU28" s="16">
        <f t="shared" si="38"/>
        <v>3607.8899089046186</v>
      </c>
      <c r="DV28" s="16">
        <f t="shared" si="38"/>
        <v>3535.7321107265261</v>
      </c>
      <c r="DW28" s="16">
        <f t="shared" si="38"/>
        <v>3465.0174685119955</v>
      </c>
      <c r="DX28" s="16">
        <f t="shared" si="38"/>
        <v>3395.7171191417556</v>
      </c>
      <c r="DY28" s="16">
        <f t="shared" si="38"/>
        <v>3327.8027767589206</v>
      </c>
      <c r="DZ28" s="16">
        <f t="shared" si="38"/>
        <v>3261.246721223742</v>
      </c>
      <c r="EA28" s="16">
        <f t="shared" si="38"/>
        <v>3196.0217867992669</v>
      </c>
      <c r="EB28" s="16">
        <f t="shared" si="38"/>
        <v>3132.1013510632815</v>
      </c>
      <c r="EC28" s="16">
        <f t="shared" si="38"/>
        <v>3069.4593240420159</v>
      </c>
      <c r="ED28" s="16">
        <f t="shared" si="38"/>
        <v>3008.0701375611757</v>
      </c>
      <c r="EE28" s="16">
        <f t="shared" si="38"/>
        <v>2947.908734809952</v>
      </c>
      <c r="EF28" s="16">
        <f t="shared" si="38"/>
        <v>2888.950560113753</v>
      </c>
      <c r="EG28" s="16">
        <f t="shared" si="38"/>
        <v>2831.1715489114781</v>
      </c>
      <c r="EH28" s="16">
        <f t="shared" si="38"/>
        <v>2774.5481179332487</v>
      </c>
      <c r="EI28" s="16">
        <f t="shared" si="38"/>
        <v>2719.0571555745837</v>
      </c>
      <c r="EJ28" s="16">
        <f t="shared" si="38"/>
        <v>2664.6760124630919</v>
      </c>
      <c r="EK28" s="16">
        <f t="shared" si="38"/>
        <v>2611.3824922138301</v>
      </c>
      <c r="EL28" s="16">
        <f t="shared" si="38"/>
        <v>2559.1548423695535</v>
      </c>
      <c r="EM28" s="16">
        <f t="shared" si="38"/>
        <v>2507.9717455221626</v>
      </c>
      <c r="EN28" s="16">
        <f t="shared" si="38"/>
        <v>2457.8123106117191</v>
      </c>
      <c r="EO28" s="16">
        <f t="shared" si="38"/>
        <v>2408.6560643994849</v>
      </c>
      <c r="EP28" s="16">
        <f t="shared" si="38"/>
        <v>2360.4829431114949</v>
      </c>
      <c r="EQ28" s="16">
        <f t="shared" si="38"/>
        <v>2313.2732842492651</v>
      </c>
      <c r="ER28" s="16">
        <f t="shared" si="38"/>
        <v>2267.0078185642797</v>
      </c>
      <c r="ES28" s="16">
        <f t="shared" si="38"/>
        <v>2221.6676621929942</v>
      </c>
      <c r="ET28" s="16">
        <f t="shared" si="38"/>
        <v>2177.2343089491342</v>
      </c>
      <c r="EU28" s="16">
        <f t="shared" si="38"/>
        <v>2133.6896227701513</v>
      </c>
      <c r="EV28" s="16">
        <f t="shared" si="38"/>
        <v>2091.0158303147482</v>
      </c>
      <c r="EW28" s="16">
        <f t="shared" si="38"/>
        <v>2049.1955137084533</v>
      </c>
      <c r="EX28" s="16">
        <f t="shared" si="38"/>
        <v>2008.2116034342841</v>
      </c>
      <c r="EY28" s="16">
        <f t="shared" si="38"/>
        <v>1968.0473713655983</v>
      </c>
      <c r="EZ28" s="16">
        <f t="shared" si="38"/>
        <v>1928.6864239382862</v>
      </c>
      <c r="FA28" s="16">
        <f t="shared" si="38"/>
        <v>1890.1126954595204</v>
      </c>
      <c r="FB28" s="16">
        <f t="shared" si="38"/>
        <v>1852.3104415503299</v>
      </c>
      <c r="FC28" s="16">
        <f t="shared" si="38"/>
        <v>1815.2642327193232</v>
      </c>
      <c r="FD28" s="16">
        <f t="shared" si="38"/>
        <v>1778.9589480649367</v>
      </c>
      <c r="FE28" s="16">
        <f t="shared" si="38"/>
        <v>1743.379769103638</v>
      </c>
      <c r="FF28" s="16">
        <f t="shared" si="38"/>
        <v>1708.5121737215652</v>
      </c>
      <c r="FG28" s="16">
        <f t="shared" si="38"/>
        <v>1674.3419302471339</v>
      </c>
      <c r="FH28" s="16">
        <f t="shared" si="38"/>
        <v>1640.8550916421912</v>
      </c>
      <c r="FI28" s="16">
        <f t="shared" si="38"/>
        <v>1608.0379898093472</v>
      </c>
    </row>
    <row r="29" spans="1:165" x14ac:dyDescent="0.15">
      <c r="A29" s="2" t="s">
        <v>15</v>
      </c>
      <c r="B29" s="18">
        <f t="shared" ref="B29:E29" si="39">B28/B30</f>
        <v>4.4750506908076526E-2</v>
      </c>
      <c r="C29" s="18">
        <f t="shared" si="39"/>
        <v>0.48446970364594483</v>
      </c>
      <c r="D29" s="18">
        <f t="shared" si="39"/>
        <v>0.58556115650575991</v>
      </c>
      <c r="E29" s="18">
        <f t="shared" si="39"/>
        <v>1.1874791758566789</v>
      </c>
      <c r="F29" s="19">
        <f t="shared" ref="F29:G29" si="40">F28/F30</f>
        <v>1.3210924919372693</v>
      </c>
      <c r="G29" s="19">
        <f t="shared" si="40"/>
        <v>1.5910022664954016</v>
      </c>
      <c r="H29" s="19">
        <f t="shared" ref="H29:O29" si="41">H28/H30</f>
        <v>1.9147812760206253</v>
      </c>
      <c r="I29" s="19">
        <f t="shared" si="41"/>
        <v>2.3029402914535404</v>
      </c>
      <c r="J29" s="19">
        <f t="shared" si="41"/>
        <v>2.7680055155826864</v>
      </c>
      <c r="K29" s="19">
        <f t="shared" si="41"/>
        <v>3.1369631551422881</v>
      </c>
      <c r="L29" s="19">
        <f t="shared" si="41"/>
        <v>3.5478327962230476</v>
      </c>
      <c r="M29" s="19">
        <f t="shared" si="41"/>
        <v>4.0050633933691451</v>
      </c>
      <c r="N29" s="19">
        <f t="shared" si="41"/>
        <v>4.5135618023215223</v>
      </c>
      <c r="O29" s="19">
        <f t="shared" si="41"/>
        <v>5.0787392224310537</v>
      </c>
      <c r="P29" s="19">
        <f t="shared" ref="P29:T29" si="42">P28/P30</f>
        <v>5.7065623159618255</v>
      </c>
      <c r="Q29" s="19">
        <f t="shared" si="42"/>
        <v>6.4036094736065605</v>
      </c>
      <c r="R29" s="19">
        <f t="shared" si="42"/>
        <v>7.1771327425500386</v>
      </c>
      <c r="S29" s="19">
        <f t="shared" si="42"/>
        <v>8.0351259851357923</v>
      </c>
      <c r="T29" s="19">
        <f t="shared" si="42"/>
        <v>8.9863998930868068</v>
      </c>
    </row>
    <row r="30" spans="1:165" x14ac:dyDescent="0.15">
      <c r="A30" s="2" t="s">
        <v>16</v>
      </c>
      <c r="B30" s="7">
        <f>'Reports RMB'!E21</f>
        <v>1899.4198249999999</v>
      </c>
      <c r="C30" s="7">
        <f>'Reports RMB'!I21</f>
        <v>2722.5644659999998</v>
      </c>
      <c r="D30" s="7">
        <f>'Reports RMB'!M21</f>
        <v>3126.915062</v>
      </c>
      <c r="E30" s="7">
        <f>'Reports RMB'!Q21</f>
        <v>3349.1113620000001</v>
      </c>
      <c r="F30" s="7">
        <f t="shared" ref="F30" si="43">E30</f>
        <v>3349.1113620000001</v>
      </c>
      <c r="G30" s="7">
        <f t="shared" ref="G30" si="44">F30</f>
        <v>3349.1113620000001</v>
      </c>
      <c r="H30" s="7">
        <f t="shared" ref="H30" si="45">G30</f>
        <v>3349.1113620000001</v>
      </c>
      <c r="I30" s="7">
        <f t="shared" ref="I30" si="46">H30</f>
        <v>3349.1113620000001</v>
      </c>
      <c r="J30" s="7">
        <f t="shared" ref="J30" si="47">I30</f>
        <v>3349.1113620000001</v>
      </c>
      <c r="K30" s="7">
        <f t="shared" ref="K30" si="48">J30</f>
        <v>3349.1113620000001</v>
      </c>
      <c r="L30" s="7">
        <f t="shared" ref="L30" si="49">K30</f>
        <v>3349.1113620000001</v>
      </c>
      <c r="M30" s="7">
        <f t="shared" ref="M30" si="50">L30</f>
        <v>3349.1113620000001</v>
      </c>
      <c r="N30" s="7">
        <f t="shared" ref="N30" si="51">M30</f>
        <v>3349.1113620000001</v>
      </c>
      <c r="O30" s="7">
        <f t="shared" ref="O30:T30" si="52">N30</f>
        <v>3349.1113620000001</v>
      </c>
      <c r="P30" s="7">
        <f t="shared" si="52"/>
        <v>3349.1113620000001</v>
      </c>
      <c r="Q30" s="7">
        <f t="shared" si="52"/>
        <v>3349.1113620000001</v>
      </c>
      <c r="R30" s="7">
        <f t="shared" si="52"/>
        <v>3349.1113620000001</v>
      </c>
      <c r="S30" s="7">
        <f t="shared" si="52"/>
        <v>3349.1113620000001</v>
      </c>
      <c r="T30" s="7">
        <f t="shared" si="52"/>
        <v>3349.1113620000001</v>
      </c>
    </row>
    <row r="31" spans="1:165" s="4" customFormat="1" x14ac:dyDescent="0.15">
      <c r="A31" s="4" t="s">
        <v>97</v>
      </c>
      <c r="B31" s="57">
        <f>B30/2</f>
        <v>949.70991249999997</v>
      </c>
      <c r="C31" s="57">
        <f>C30/2</f>
        <v>1361.2822329999999</v>
      </c>
      <c r="D31" s="57">
        <f>D30/2</f>
        <v>1563.457531</v>
      </c>
      <c r="E31" s="57">
        <f>E30/2</f>
        <v>1674.555681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165" x14ac:dyDescent="0.1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15">
      <c r="A33" s="2" t="s">
        <v>93</v>
      </c>
      <c r="B33" s="3">
        <v>6.94</v>
      </c>
      <c r="C33" s="3">
        <v>6.48</v>
      </c>
      <c r="D33" s="3">
        <v>6.8784999999999998</v>
      </c>
      <c r="E33" s="3">
        <v>6.9622999999999999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s="1" customFormat="1" x14ac:dyDescent="0.15">
      <c r="A34" s="1" t="s">
        <v>95</v>
      </c>
      <c r="B34" s="16">
        <f>B18/B33</f>
        <v>628.386167146974</v>
      </c>
      <c r="C34" s="16">
        <f>C18/C33</f>
        <v>1694.5987654320986</v>
      </c>
      <c r="D34" s="16">
        <f>D18/D33</f>
        <v>2760.0494293814058</v>
      </c>
      <c r="E34" s="16">
        <f>E18/E33</f>
        <v>3653.1031412033381</v>
      </c>
      <c r="F34" s="16">
        <f>F18/$C$9</f>
        <v>4247.9430379746836</v>
      </c>
      <c r="G34" s="16">
        <f>G18/$C$9</f>
        <v>5044.4323575949365</v>
      </c>
      <c r="H34" s="16">
        <f>H18/$C$9</f>
        <v>5990.2634246439875</v>
      </c>
      <c r="I34" s="16">
        <f>I18/$C$9</f>
        <v>7113.4378167647346</v>
      </c>
      <c r="J34" s="16">
        <f>J18/$C$9</f>
        <v>8447.2074074081211</v>
      </c>
      <c r="K34" s="16">
        <f>K18/$C$9</f>
        <v>9291.9281481489343</v>
      </c>
      <c r="L34" s="16">
        <f>L18/$C$9</f>
        <v>10221.120962963829</v>
      </c>
      <c r="M34" s="16">
        <f>M18/$C$9</f>
        <v>11243.233059260212</v>
      </c>
      <c r="N34" s="16">
        <f>N18/$C$9</f>
        <v>12367.556365186234</v>
      </c>
      <c r="O34" s="16">
        <f>O18/$C$9</f>
        <v>13604.312001704859</v>
      </c>
      <c r="P34" s="16">
        <f>P18/$C$9</f>
        <v>14964.743201875344</v>
      </c>
      <c r="Q34" s="16">
        <f>Q18/$C$9</f>
        <v>16461.217522062881</v>
      </c>
      <c r="R34" s="16">
        <f>R18/$C$9</f>
        <v>18107.339274269172</v>
      </c>
      <c r="S34" s="16">
        <f>S18/$C$9</f>
        <v>19918.07320169609</v>
      </c>
      <c r="T34" s="16">
        <f>T18/$C$9</f>
        <v>21909.880521865703</v>
      </c>
    </row>
    <row r="35" spans="1:20" s="1" customFormat="1" x14ac:dyDescent="0.15">
      <c r="A35" s="1" t="s">
        <v>96</v>
      </c>
      <c r="B35" s="16">
        <f>B28/B33</f>
        <v>12.247838616714697</v>
      </c>
      <c r="C35" s="16">
        <f>C28/C33</f>
        <v>203.54938271604937</v>
      </c>
      <c r="D35" s="16">
        <f>D28/D33</f>
        <v>266.1917569237479</v>
      </c>
      <c r="E35" s="16">
        <f>E28/E33</f>
        <v>571.21928098473211</v>
      </c>
      <c r="F35" s="16">
        <f>F28/$C$9</f>
        <v>622.29055907173017</v>
      </c>
      <c r="G35" s="16">
        <f t="shared" ref="G35:O35" si="53">G28/$C$9</f>
        <v>749.42950319092847</v>
      </c>
      <c r="H35" s="16">
        <f t="shared" si="53"/>
        <v>901.94314026238169</v>
      </c>
      <c r="I35" s="16">
        <f t="shared" si="53"/>
        <v>1084.782488905013</v>
      </c>
      <c r="J35" s="16">
        <f t="shared" si="53"/>
        <v>1303.8479215635223</v>
      </c>
      <c r="K35" s="16">
        <f t="shared" si="53"/>
        <v>1477.6426083069487</v>
      </c>
      <c r="L35" s="16">
        <f t="shared" si="53"/>
        <v>1671.1796242344358</v>
      </c>
      <c r="M35" s="16">
        <f t="shared" si="53"/>
        <v>1886.5546155081406</v>
      </c>
      <c r="N35" s="16">
        <f t="shared" si="53"/>
        <v>2126.0789191623358</v>
      </c>
      <c r="O35" s="16">
        <f t="shared" si="53"/>
        <v>2392.3014394485072</v>
      </c>
      <c r="P35" s="16">
        <f t="shared" ref="P35:T35" si="54">P28/$C$9</f>
        <v>2688.0327271939218</v>
      </c>
      <c r="Q35" s="16">
        <f t="shared" si="54"/>
        <v>3016.3714832442433</v>
      </c>
      <c r="R35" s="16">
        <f t="shared" si="54"/>
        <v>3380.7337292062666</v>
      </c>
      <c r="S35" s="16">
        <f t="shared" si="54"/>
        <v>3784.8849130688782</v>
      </c>
      <c r="T35" s="16">
        <f t="shared" si="54"/>
        <v>4232.975244080535</v>
      </c>
    </row>
    <row r="36" spans="1:20" x14ac:dyDescent="0.1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15">
      <c r="A37" s="2" t="s">
        <v>18</v>
      </c>
      <c r="B37" s="22">
        <f>IFERROR(B20/B18,0)</f>
        <v>0.2825040128410915</v>
      </c>
      <c r="C37" s="22">
        <f>IFERROR(C20/C18,0)</f>
        <v>0.34696293598032968</v>
      </c>
      <c r="D37" s="22">
        <f>IFERROR(D20/D18,0)</f>
        <v>0.38330260732156968</v>
      </c>
      <c r="E37" s="22">
        <f>IFERROR(E20/E18,0)</f>
        <v>0.34100023590469453</v>
      </c>
      <c r="F37" s="22">
        <f>IFERROR(F20/F18,0)</f>
        <v>0.34100023590469453</v>
      </c>
      <c r="G37" s="22">
        <f>IFERROR(G20/G18,0)</f>
        <v>0.34100023590469453</v>
      </c>
      <c r="H37" s="22">
        <f>IFERROR(H20/H18,0)</f>
        <v>0.34100023590469453</v>
      </c>
      <c r="I37" s="22">
        <f>IFERROR(I20/I18,0)</f>
        <v>0.34100023590469453</v>
      </c>
      <c r="J37" s="22">
        <f>IFERROR(J20/J18,0)</f>
        <v>0.34100023590469453</v>
      </c>
      <c r="K37" s="22">
        <f>IFERROR(K20/K18,0)</f>
        <v>0.34100023590469453</v>
      </c>
      <c r="L37" s="22">
        <f>IFERROR(L20/L18,0)</f>
        <v>0.34100023590469453</v>
      </c>
      <c r="M37" s="22">
        <f>IFERROR(M20/M18,0)</f>
        <v>0.34100023590469453</v>
      </c>
      <c r="N37" s="22">
        <f>IFERROR(N20/N18,0)</f>
        <v>0.34100023590469453</v>
      </c>
      <c r="O37" s="22">
        <f>IFERROR(O20/O18,0)</f>
        <v>0.34100023590469453</v>
      </c>
      <c r="P37" s="22">
        <f>IFERROR(P20/P18,0)</f>
        <v>0.34100023590469447</v>
      </c>
      <c r="Q37" s="22">
        <f>IFERROR(Q20/Q18,0)</f>
        <v>0.34100023590469447</v>
      </c>
      <c r="R37" s="22">
        <f>IFERROR(R20/R18,0)</f>
        <v>0.34100023590469447</v>
      </c>
      <c r="S37" s="22">
        <f>IFERROR(S20/S18,0)</f>
        <v>0.34100023590469447</v>
      </c>
      <c r="T37" s="22">
        <f>IFERROR(T20/T18,0)</f>
        <v>0.34100023590469447</v>
      </c>
    </row>
    <row r="38" spans="1:20" x14ac:dyDescent="0.15">
      <c r="A38" s="2" t="s">
        <v>19</v>
      </c>
      <c r="B38" s="21">
        <f>IFERROR(B24/B18,0)</f>
        <v>1.9261637239165328E-2</v>
      </c>
      <c r="C38" s="21">
        <f>IFERROR(C24/C18,0)</f>
        <v>0.12530734905746288</v>
      </c>
      <c r="D38" s="21">
        <f>IFERROR(D24/D18,0)</f>
        <v>0.17408480379246774</v>
      </c>
      <c r="E38" s="21">
        <f>IFERROR(E24/E18,0)</f>
        <v>0.1544782574506566</v>
      </c>
      <c r="F38" s="21">
        <f>IFERROR(F24/F18,0)</f>
        <v>0.15698960777740534</v>
      </c>
      <c r="G38" s="21">
        <f>IFERROR(G24/G18,0)</f>
        <v>0.15938608580526822</v>
      </c>
      <c r="H38" s="21">
        <f>IFERROR(H24/H18,0)</f>
        <v>0.16167094469632498</v>
      </c>
      <c r="I38" s="21">
        <f>IFERROR(I24/I18,0)</f>
        <v>0.16384733094033468</v>
      </c>
      <c r="J38" s="21">
        <f>IFERROR(J24/J18,0)</f>
        <v>0.16591828768185279</v>
      </c>
      <c r="K38" s="21">
        <f>IFERROR(K24/K18,0)</f>
        <v>0.1700329083968754</v>
      </c>
      <c r="L38" s="21">
        <f>IFERROR(L24/L18,0)</f>
        <v>0.17396050089757881</v>
      </c>
      <c r="M38" s="21">
        <f>IFERROR(M24/M18,0)</f>
        <v>0.1777095664664321</v>
      </c>
      <c r="N38" s="21">
        <f>IFERROR(N24/N18,0)</f>
        <v>0.18128821996397385</v>
      </c>
      <c r="O38" s="21">
        <f>IFERROR(O24/O18,0)</f>
        <v>0.18470420739344554</v>
      </c>
      <c r="P38" s="21">
        <f>IFERROR(P24/P18,0)</f>
        <v>0.18796492266703207</v>
      </c>
      <c r="Q38" s="21">
        <f>IFERROR(Q24/Q18,0)</f>
        <v>0.1910774236100011</v>
      </c>
      <c r="R38" s="21">
        <f>IFERROR(R24/R18,0)</f>
        <v>0.19404844723738063</v>
      </c>
      <c r="S38" s="21">
        <f>IFERROR(S24/S18,0)</f>
        <v>0.19688442433624295</v>
      </c>
      <c r="T38" s="21">
        <f>IFERROR(T24/T18,0)</f>
        <v>0.19959149338515694</v>
      </c>
    </row>
    <row r="39" spans="1:20" x14ac:dyDescent="0.15">
      <c r="A39" s="2" t="s">
        <v>20</v>
      </c>
      <c r="B39" s="21">
        <f t="shared" ref="B39:O39" si="55">IFERROR(B27/B26,0)</f>
        <v>0.25438596491228072</v>
      </c>
      <c r="C39" s="21">
        <f t="shared" si="55"/>
        <v>0.17407639323731997</v>
      </c>
      <c r="D39" s="21">
        <f t="shared" si="55"/>
        <v>8.5414585414585409E-2</v>
      </c>
      <c r="E39" s="21">
        <f t="shared" si="55"/>
        <v>0.12400881057268723</v>
      </c>
      <c r="F39" s="21">
        <f t="shared" si="55"/>
        <v>0.15</v>
      </c>
      <c r="G39" s="21">
        <f t="shared" si="55"/>
        <v>0.15</v>
      </c>
      <c r="H39" s="21">
        <f t="shared" si="55"/>
        <v>0.15</v>
      </c>
      <c r="I39" s="21">
        <f t="shared" si="55"/>
        <v>0.15</v>
      </c>
      <c r="J39" s="21">
        <f t="shared" si="55"/>
        <v>0.15</v>
      </c>
      <c r="K39" s="21">
        <f t="shared" si="55"/>
        <v>0.15</v>
      </c>
      <c r="L39" s="21">
        <f t="shared" si="55"/>
        <v>0.15</v>
      </c>
      <c r="M39" s="21">
        <f t="shared" si="55"/>
        <v>0.15</v>
      </c>
      <c r="N39" s="21">
        <f t="shared" si="55"/>
        <v>0.15</v>
      </c>
      <c r="O39" s="21">
        <f t="shared" si="55"/>
        <v>0.15</v>
      </c>
      <c r="P39" s="21">
        <f t="shared" ref="P39:T39" si="56">IFERROR(P27/P26,0)</f>
        <v>0.15</v>
      </c>
      <c r="Q39" s="21">
        <f t="shared" si="56"/>
        <v>0.15</v>
      </c>
      <c r="R39" s="21">
        <f t="shared" si="56"/>
        <v>0.15</v>
      </c>
      <c r="S39" s="21">
        <f t="shared" si="56"/>
        <v>0.15</v>
      </c>
      <c r="T39" s="21">
        <f t="shared" si="56"/>
        <v>0.15</v>
      </c>
    </row>
    <row r="40" spans="1:20" x14ac:dyDescent="0.1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 x14ac:dyDescent="0.15">
      <c r="A41" s="1" t="s">
        <v>17</v>
      </c>
      <c r="B41" s="20"/>
      <c r="C41" s="20">
        <f>C18/B18-1</f>
        <v>1.5180004586104103</v>
      </c>
      <c r="D41" s="20">
        <f>D18/C18-1</f>
        <v>0.72889536472088157</v>
      </c>
      <c r="E41" s="20">
        <f>E18/D18-1</f>
        <v>0.33968922833816162</v>
      </c>
      <c r="F41" s="20">
        <f>F18/E18-1</f>
        <v>0.18750000000000022</v>
      </c>
      <c r="G41" s="20">
        <f>G18/F18-1</f>
        <v>0.18749999999999978</v>
      </c>
      <c r="H41" s="20">
        <f>H18/G18-1</f>
        <v>0.1875</v>
      </c>
      <c r="I41" s="20">
        <f>I18/H18-1</f>
        <v>0.1875</v>
      </c>
      <c r="J41" s="20">
        <f>J18/I18-1</f>
        <v>0.18749999999999978</v>
      </c>
      <c r="K41" s="20">
        <f>K18/J18-1</f>
        <v>0.10000000000000009</v>
      </c>
      <c r="L41" s="20">
        <f>L18/K18-1</f>
        <v>0.10000000000000009</v>
      </c>
      <c r="M41" s="20">
        <f>M18/L18-1</f>
        <v>0.10000000000000009</v>
      </c>
      <c r="N41" s="20">
        <f>N18/M18-1</f>
        <v>0.10000000000000009</v>
      </c>
      <c r="O41" s="20">
        <f>O18/N18-1</f>
        <v>0.10000000000000009</v>
      </c>
      <c r="P41" s="20">
        <f>P18/O18-1</f>
        <v>0.10000000000000009</v>
      </c>
      <c r="Q41" s="20">
        <f>Q18/P18-1</f>
        <v>0.10000000000000009</v>
      </c>
      <c r="R41" s="20">
        <f>R18/Q18-1</f>
        <v>0.10000000000000009</v>
      </c>
      <c r="S41" s="20">
        <f>S18/R18-1</f>
        <v>0.10000000000000009</v>
      </c>
      <c r="T41" s="20">
        <f>T18/S18-1</f>
        <v>0.10000000000000009</v>
      </c>
    </row>
    <row r="42" spans="1:20" x14ac:dyDescent="0.15">
      <c r="A42" s="2" t="s">
        <v>50</v>
      </c>
      <c r="B42" s="21"/>
      <c r="C42" s="21">
        <f t="shared" ref="C42:T42" si="57">C21/B21-1</f>
        <v>1.5013698630136987</v>
      </c>
      <c r="D42" s="21">
        <f t="shared" si="57"/>
        <v>0.8773274917853231</v>
      </c>
      <c r="E42" s="21">
        <f t="shared" si="57"/>
        <v>0.19078179696616093</v>
      </c>
      <c r="F42" s="21">
        <f t="shared" si="57"/>
        <v>0.19999999999999996</v>
      </c>
      <c r="G42" s="21">
        <f t="shared" si="57"/>
        <v>0.19999999999999996</v>
      </c>
      <c r="H42" s="21">
        <f t="shared" si="57"/>
        <v>0.19999999999999996</v>
      </c>
      <c r="I42" s="21">
        <f t="shared" si="57"/>
        <v>0.19999999999999996</v>
      </c>
      <c r="J42" s="21">
        <f t="shared" si="57"/>
        <v>0.19999999999999996</v>
      </c>
      <c r="K42" s="21">
        <f t="shared" si="57"/>
        <v>0.10000000000000009</v>
      </c>
      <c r="L42" s="21">
        <f t="shared" si="57"/>
        <v>0.10000000000000009</v>
      </c>
      <c r="M42" s="21">
        <f t="shared" si="57"/>
        <v>0.10000000000000009</v>
      </c>
      <c r="N42" s="21">
        <f t="shared" si="57"/>
        <v>0.10000000000000009</v>
      </c>
      <c r="O42" s="21">
        <f t="shared" si="57"/>
        <v>0.10000000000000009</v>
      </c>
      <c r="P42" s="21">
        <f t="shared" si="57"/>
        <v>0.10000000000000009</v>
      </c>
      <c r="Q42" s="21">
        <f t="shared" si="57"/>
        <v>0.10000000000000009</v>
      </c>
      <c r="R42" s="21">
        <f t="shared" si="57"/>
        <v>0.10000000000000009</v>
      </c>
      <c r="S42" s="21">
        <f t="shared" si="57"/>
        <v>0.10000000000000009</v>
      </c>
      <c r="T42" s="21">
        <f t="shared" si="57"/>
        <v>0.10000000000000009</v>
      </c>
    </row>
    <row r="43" spans="1:20" x14ac:dyDescent="0.15">
      <c r="A43" s="2" t="s">
        <v>51</v>
      </c>
      <c r="B43" s="21"/>
      <c r="C43" s="21">
        <f t="shared" ref="C43:T43" si="58">C22/B22-1</f>
        <v>0.94252873563218387</v>
      </c>
      <c r="D43" s="21">
        <f t="shared" si="58"/>
        <v>0.48454963839579235</v>
      </c>
      <c r="E43" s="21">
        <f t="shared" si="58"/>
        <v>0.19707705934455277</v>
      </c>
      <c r="F43" s="21">
        <f t="shared" si="58"/>
        <v>0.14999999999999991</v>
      </c>
      <c r="G43" s="21">
        <f t="shared" si="58"/>
        <v>0.14999999999999991</v>
      </c>
      <c r="H43" s="21">
        <f t="shared" si="58"/>
        <v>0.14999999999999991</v>
      </c>
      <c r="I43" s="21">
        <f t="shared" si="58"/>
        <v>0.14999999999999991</v>
      </c>
      <c r="J43" s="21">
        <f t="shared" si="58"/>
        <v>0.14999999999999991</v>
      </c>
      <c r="K43" s="21">
        <f t="shared" si="58"/>
        <v>5.0000000000000044E-2</v>
      </c>
      <c r="L43" s="21">
        <f t="shared" si="58"/>
        <v>5.0000000000000044E-2</v>
      </c>
      <c r="M43" s="21">
        <f t="shared" si="58"/>
        <v>5.0000000000000044E-2</v>
      </c>
      <c r="N43" s="21">
        <f t="shared" si="58"/>
        <v>5.0000000000000044E-2</v>
      </c>
      <c r="O43" s="21">
        <f t="shared" si="58"/>
        <v>5.0000000000000044E-2</v>
      </c>
      <c r="P43" s="21">
        <f t="shared" si="58"/>
        <v>5.0000000000000044E-2</v>
      </c>
      <c r="Q43" s="21">
        <f t="shared" si="58"/>
        <v>5.0000000000000044E-2</v>
      </c>
      <c r="R43" s="21">
        <f t="shared" si="58"/>
        <v>5.0000000000000044E-2</v>
      </c>
      <c r="S43" s="21">
        <f t="shared" si="58"/>
        <v>5.0000000000000044E-2</v>
      </c>
      <c r="T43" s="21">
        <f t="shared" si="58"/>
        <v>5.0000000000000044E-2</v>
      </c>
    </row>
    <row r="44" spans="1:20" s="4" customFormat="1" x14ac:dyDescent="0.15">
      <c r="A44" s="4" t="s">
        <v>117</v>
      </c>
      <c r="B44" s="71"/>
      <c r="C44" s="71">
        <f>C23/B23-1</f>
        <v>1.1202090592334493</v>
      </c>
      <c r="D44" s="71">
        <f t="shared" ref="D44:T44" si="59">D23/C23-1</f>
        <v>0.63188167625308145</v>
      </c>
      <c r="E44" s="71">
        <f t="shared" si="59"/>
        <v>0.19436052366565959</v>
      </c>
      <c r="F44" s="71">
        <f t="shared" si="59"/>
        <v>0.17151138279932532</v>
      </c>
      <c r="G44" s="71">
        <f t="shared" si="59"/>
        <v>0.17203449299614038</v>
      </c>
      <c r="H44" s="71">
        <f t="shared" si="59"/>
        <v>0.17256025036240596</v>
      </c>
      <c r="I44" s="71">
        <f t="shared" si="59"/>
        <v>0.17308819561853639</v>
      </c>
      <c r="J44" s="71">
        <f t="shared" si="59"/>
        <v>0.17361786167973081</v>
      </c>
      <c r="K44" s="71">
        <f t="shared" si="59"/>
        <v>7.4148775287991686E-2</v>
      </c>
      <c r="L44" s="71">
        <f t="shared" si="59"/>
        <v>7.4729956806652842E-2</v>
      </c>
      <c r="M44" s="71">
        <f t="shared" si="59"/>
        <v>7.5311430387728251E-2</v>
      </c>
      <c r="N44" s="71">
        <f t="shared" si="59"/>
        <v>7.5892567157462398E-2</v>
      </c>
      <c r="O44" s="71">
        <f t="shared" si="59"/>
        <v>7.6472739697847736E-2</v>
      </c>
      <c r="P44" s="71">
        <f t="shared" si="59"/>
        <v>7.7051324751434169E-2</v>
      </c>
      <c r="Q44" s="71">
        <f t="shared" si="59"/>
        <v>7.7627705888059451E-2</v>
      </c>
      <c r="R44" s="71">
        <f t="shared" si="59"/>
        <v>7.8201276109378659E-2</v>
      </c>
      <c r="S44" s="71">
        <f t="shared" si="59"/>
        <v>7.877144036803152E-2</v>
      </c>
      <c r="T44" s="71">
        <f t="shared" si="59"/>
        <v>7.9337617979613695E-2</v>
      </c>
    </row>
    <row r="45" spans="1:20" x14ac:dyDescent="0.1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15">
      <c r="A46" s="1" t="s">
        <v>32</v>
      </c>
      <c r="B46" s="16">
        <f>B47-B48</f>
        <v>3634</v>
      </c>
      <c r="C46" s="16">
        <f>C47-C48</f>
        <v>9292</v>
      </c>
      <c r="D46" s="16">
        <f>D47-D48</f>
        <v>21221</v>
      </c>
      <c r="E46" s="16">
        <f>E47-E48</f>
        <v>23187</v>
      </c>
      <c r="F46" s="43">
        <f t="shared" ref="F46:T46" si="60">E46+F28</f>
        <v>27611.485875000002</v>
      </c>
      <c r="G46" s="43">
        <f t="shared" si="60"/>
        <v>32939.929642687501</v>
      </c>
      <c r="H46" s="43">
        <f t="shared" si="60"/>
        <v>39352.745369953038</v>
      </c>
      <c r="I46" s="43">
        <f t="shared" si="60"/>
        <v>47065.548866067678</v>
      </c>
      <c r="J46" s="43">
        <f t="shared" si="60"/>
        <v>56335.907588384318</v>
      </c>
      <c r="K46" s="43">
        <f t="shared" si="60"/>
        <v>66841.946533446724</v>
      </c>
      <c r="L46" s="43">
        <f t="shared" si="60"/>
        <v>78724.033661753565</v>
      </c>
      <c r="M46" s="43">
        <f t="shared" si="60"/>
        <v>92137.436978016442</v>
      </c>
      <c r="N46" s="43">
        <f t="shared" si="60"/>
        <v>107253.85809326066</v>
      </c>
      <c r="O46" s="43">
        <f t="shared" si="60"/>
        <v>124263.12132773954</v>
      </c>
      <c r="P46" s="43">
        <f t="shared" si="60"/>
        <v>143375.03401808834</v>
      </c>
      <c r="Q46" s="43">
        <f t="shared" si="60"/>
        <v>164821.43526395492</v>
      </c>
      <c r="R46" s="43">
        <f t="shared" si="60"/>
        <v>188858.45207861147</v>
      </c>
      <c r="S46" s="43">
        <f t="shared" si="60"/>
        <v>215768.98381053121</v>
      </c>
      <c r="T46" s="43">
        <f t="shared" si="60"/>
        <v>245865.43779594381</v>
      </c>
    </row>
    <row r="47" spans="1:20" x14ac:dyDescent="0.15">
      <c r="A47" s="2" t="s">
        <v>33</v>
      </c>
      <c r="B47" s="45">
        <f>'Reports RMB'!E34</f>
        <v>3634</v>
      </c>
      <c r="C47" s="45">
        <f>'Reports RMB'!I34</f>
        <v>9292</v>
      </c>
      <c r="D47" s="45">
        <f>'Reports RMB'!M34</f>
        <v>21221</v>
      </c>
      <c r="E47" s="45">
        <f>'Reports RMB'!Q34</f>
        <v>23187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</row>
    <row r="48" spans="1:20" x14ac:dyDescent="0.15">
      <c r="A48" s="2" t="s">
        <v>34</v>
      </c>
      <c r="B48" s="45">
        <f>'Reports RMB'!E35</f>
        <v>0</v>
      </c>
      <c r="C48" s="45">
        <f>'Reports RMB'!I35</f>
        <v>0</v>
      </c>
      <c r="D48" s="45">
        <f>'Reports RMB'!M35</f>
        <v>0</v>
      </c>
      <c r="E48" s="45">
        <f>'Reports RMB'!Q35</f>
        <v>0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1:120" x14ac:dyDescent="0.1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spans="1:120" x14ac:dyDescent="0.15">
      <c r="A50" s="2" t="s">
        <v>62</v>
      </c>
      <c r="B50" s="45">
        <f>'Reports RMB'!E37</f>
        <v>17769</v>
      </c>
      <c r="C50" s="45">
        <f>'Reports RMB'!I37</f>
        <v>17979</v>
      </c>
      <c r="D50" s="45">
        <f>'Reports RMB'!M37</f>
        <v>18851</v>
      </c>
      <c r="E50" s="45">
        <f>'Reports RMB'!Q37</f>
        <v>18762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x14ac:dyDescent="0.15">
      <c r="A51" s="2" t="s">
        <v>63</v>
      </c>
      <c r="B51" s="45">
        <f>'Reports RMB'!E38</f>
        <v>23535</v>
      </c>
      <c r="C51" s="45">
        <f>'Reports RMB'!I38</f>
        <v>30000</v>
      </c>
      <c r="D51" s="45">
        <f>'Reports RMB'!M38</f>
        <v>44605</v>
      </c>
      <c r="E51" s="45">
        <f>'Reports RMB'!Q38</f>
        <v>52678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x14ac:dyDescent="0.15">
      <c r="A52" s="2" t="s">
        <v>64</v>
      </c>
      <c r="B52" s="45">
        <f>'Reports RMB'!E39</f>
        <v>2901</v>
      </c>
      <c r="C52" s="45">
        <f>'Reports RMB'!I39</f>
        <v>3852</v>
      </c>
      <c r="D52" s="45">
        <f>'Reports RMB'!M39</f>
        <v>6833</v>
      </c>
      <c r="E52" s="45">
        <f>'Reports RMB'!Q39</f>
        <v>9000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4" spans="1:120" x14ac:dyDescent="0.15">
      <c r="A54" s="2" t="s">
        <v>65</v>
      </c>
      <c r="B54" s="46">
        <f>B51-B50-B47</f>
        <v>2132</v>
      </c>
      <c r="C54" s="46">
        <f>C51-C50-C47</f>
        <v>2729</v>
      </c>
      <c r="D54" s="46">
        <f>D51-D50-D47</f>
        <v>4533</v>
      </c>
      <c r="E54" s="46">
        <f>E51-E50-E47</f>
        <v>10729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x14ac:dyDescent="0.15">
      <c r="A55" s="2" t="s">
        <v>66</v>
      </c>
      <c r="B55" s="46">
        <f>B51-B52</f>
        <v>20634</v>
      </c>
      <c r="C55" s="46">
        <f>C51-C52</f>
        <v>26148</v>
      </c>
      <c r="D55" s="46">
        <f>D51-D52</f>
        <v>37772</v>
      </c>
      <c r="E55" s="46">
        <f>E51-E52</f>
        <v>43678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7" spans="1:120" x14ac:dyDescent="0.15">
      <c r="A57" s="24" t="s">
        <v>68</v>
      </c>
      <c r="B57" s="25">
        <f>B28/B55</f>
        <v>4.1194145584956864E-3</v>
      </c>
      <c r="C57" s="25">
        <f>C28/C55</f>
        <v>5.0443628575799294E-2</v>
      </c>
      <c r="D57" s="25">
        <f>D28/D55</f>
        <v>4.8475060891665783E-2</v>
      </c>
      <c r="E57" s="25">
        <f>E28/E55</f>
        <v>9.1052703878382713E-2</v>
      </c>
    </row>
    <row r="58" spans="1:120" x14ac:dyDescent="0.15">
      <c r="A58" s="24" t="s">
        <v>69</v>
      </c>
      <c r="B58" s="25">
        <f>B28/B51</f>
        <v>3.6116422349691947E-3</v>
      </c>
      <c r="C58" s="25">
        <f>C28/C51</f>
        <v>4.3966666666666668E-2</v>
      </c>
      <c r="D58" s="25">
        <f>D28/D51</f>
        <v>4.1049209729850912E-2</v>
      </c>
      <c r="E58" s="25">
        <f>E28/E51</f>
        <v>7.5496412164470936E-2</v>
      </c>
    </row>
    <row r="59" spans="1:120" x14ac:dyDescent="0.15">
      <c r="A59" s="24" t="s">
        <v>70</v>
      </c>
      <c r="B59" s="25">
        <f>B28/(B55-B50)</f>
        <v>2.9668411867364748E-2</v>
      </c>
      <c r="C59" s="25">
        <f>C28/(C55-C50)</f>
        <v>0.16146407148977843</v>
      </c>
      <c r="D59" s="25">
        <f>D28/(D55-D50)</f>
        <v>9.67707837852122E-2</v>
      </c>
      <c r="E59" s="25">
        <f>E28/(E55-E50)</f>
        <v>0.15961631080430247</v>
      </c>
    </row>
    <row r="60" spans="1:120" x14ac:dyDescent="0.15">
      <c r="A60" s="24" t="s">
        <v>71</v>
      </c>
      <c r="B60" s="25">
        <f>B28/B54</f>
        <v>3.9868667917448405E-2</v>
      </c>
      <c r="C60" s="25">
        <f>C28/C54</f>
        <v>0.48332722609014289</v>
      </c>
      <c r="D60" s="25">
        <f>D28/D54</f>
        <v>0.40392675932053829</v>
      </c>
      <c r="E60" s="25">
        <f>E28/E54</f>
        <v>0.37067760275887779</v>
      </c>
    </row>
    <row r="62" spans="1:120" x14ac:dyDescent="0.15">
      <c r="A62" s="5" t="s">
        <v>90</v>
      </c>
      <c r="B62" s="25"/>
      <c r="C62" s="25">
        <f>C12/B12-1</f>
        <v>0.46875</v>
      </c>
      <c r="D62" s="25">
        <f>D12/C12-1</f>
        <v>0.75801841854557006</v>
      </c>
      <c r="E62" s="25">
        <f>E12/D12-1</f>
        <v>0.29190751445086716</v>
      </c>
      <c r="F62" s="25"/>
      <c r="G62" s="25"/>
      <c r="H62" s="25"/>
    </row>
    <row r="63" spans="1:120" x14ac:dyDescent="0.15">
      <c r="A63" s="5" t="s">
        <v>91</v>
      </c>
      <c r="B63" s="25"/>
      <c r="C63" s="25">
        <f>C13/B13-1</f>
        <v>2.5327018493459632</v>
      </c>
      <c r="D63" s="25">
        <f>D13/C13-1</f>
        <v>0.71718590398365678</v>
      </c>
      <c r="E63" s="25">
        <f>E13/D13-1</f>
        <v>0.35935757305375859</v>
      </c>
      <c r="F63" s="25"/>
      <c r="G63" s="25"/>
      <c r="H63" s="25"/>
    </row>
    <row r="64" spans="1:120" x14ac:dyDescent="0.15">
      <c r="A64" s="5"/>
      <c r="B64" s="25"/>
      <c r="C64" s="25"/>
      <c r="D64" s="25"/>
      <c r="E64" s="25"/>
      <c r="F64" s="25"/>
      <c r="G64" s="25"/>
      <c r="H64" s="25"/>
    </row>
    <row r="65" spans="1:120" x14ac:dyDescent="0.15">
      <c r="A65" s="5" t="s">
        <v>92</v>
      </c>
      <c r="B65" s="25"/>
      <c r="C65" s="25">
        <f>C15/B15-1</f>
        <v>0.5649717514124295</v>
      </c>
      <c r="D65" s="25">
        <f>D15/C15-1</f>
        <v>0.34296028880866447</v>
      </c>
      <c r="E65" s="25">
        <f>E15/D15-1</f>
        <v>0.40591397849462352</v>
      </c>
      <c r="F65" s="25">
        <f>F15/E15-1</f>
        <v>0.25</v>
      </c>
      <c r="G65" s="25">
        <f>G15/F15-1</f>
        <v>0.25</v>
      </c>
      <c r="H65" s="25">
        <f>H15/G15-1</f>
        <v>0.25</v>
      </c>
      <c r="I65" s="25">
        <f>I15/H15-1</f>
        <v>0.25</v>
      </c>
      <c r="J65" s="25">
        <f>J15/I15-1</f>
        <v>0.25</v>
      </c>
    </row>
    <row r="66" spans="1:120" x14ac:dyDescent="0.15">
      <c r="A66" s="5" t="s">
        <v>75</v>
      </c>
      <c r="B66" s="25"/>
      <c r="C66" s="25">
        <f>C16/B16-1</f>
        <v>0.60897502228896272</v>
      </c>
      <c r="D66" s="25">
        <f>D16/C16-1</f>
        <v>0.28737638717119385</v>
      </c>
      <c r="E66" s="25">
        <f>E16/D16-1</f>
        <v>-4.7104411201154384E-2</v>
      </c>
      <c r="F66" s="25">
        <f>F16/E16-1</f>
        <v>-5.0000000000000044E-2</v>
      </c>
      <c r="G66" s="25">
        <f>G16/F16-1</f>
        <v>-5.0000000000000044E-2</v>
      </c>
      <c r="H66" s="25">
        <f>H16/G16-1</f>
        <v>-5.0000000000000044E-2</v>
      </c>
      <c r="I66" s="25">
        <f>I16/H16-1</f>
        <v>-5.0000000000000044E-2</v>
      </c>
      <c r="J66" s="25">
        <f>J16/I16-1</f>
        <v>-5.0000000000000155E-2</v>
      </c>
    </row>
    <row r="67" spans="1:120" x14ac:dyDescent="0.15">
      <c r="A67" s="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</row>
    <row r="68" spans="1:120" s="15" customFormat="1" x14ac:dyDescent="0.15">
      <c r="A68" s="7" t="s">
        <v>76</v>
      </c>
      <c r="B68" s="15">
        <f>'Reports RMB'!E56</f>
        <v>740</v>
      </c>
      <c r="C68" s="15">
        <f>'Reports RMB'!I56</f>
        <v>812</v>
      </c>
      <c r="D68" s="15">
        <f>'Reports RMB'!M56</f>
        <v>872</v>
      </c>
      <c r="E68" s="15">
        <f>D68*1.05</f>
        <v>915.6</v>
      </c>
      <c r="F68" s="15">
        <f t="shared" ref="F68:J68" si="61">E68*1.05</f>
        <v>961.38000000000011</v>
      </c>
      <c r="G68" s="15">
        <f t="shared" si="61"/>
        <v>1009.4490000000002</v>
      </c>
      <c r="H68" s="15">
        <f t="shared" si="61"/>
        <v>1059.9214500000003</v>
      </c>
      <c r="I68" s="15">
        <f t="shared" si="61"/>
        <v>1112.9175225000004</v>
      </c>
      <c r="J68" s="15">
        <f t="shared" si="61"/>
        <v>1168.5633986250004</v>
      </c>
    </row>
    <row r="69" spans="1:120" x14ac:dyDescent="0.15">
      <c r="A69" s="22" t="s">
        <v>77</v>
      </c>
      <c r="B69" s="25"/>
      <c r="C69" s="25">
        <f>C68/B68-1</f>
        <v>9.7297297297297192E-2</v>
      </c>
      <c r="D69" s="25">
        <f>D68/C68-1</f>
        <v>7.3891625615763568E-2</v>
      </c>
      <c r="E69" s="25">
        <f t="shared" ref="E69:J69" si="62">E68/D68-1</f>
        <v>5.0000000000000044E-2</v>
      </c>
      <c r="F69" s="25">
        <f t="shared" si="62"/>
        <v>5.0000000000000044E-2</v>
      </c>
      <c r="G69" s="25">
        <f t="shared" si="62"/>
        <v>5.0000000000000044E-2</v>
      </c>
      <c r="H69" s="25">
        <f t="shared" si="62"/>
        <v>5.0000000000000044E-2</v>
      </c>
      <c r="I69" s="25">
        <f t="shared" si="62"/>
        <v>5.0000000000000044E-2</v>
      </c>
      <c r="J69" s="25">
        <f t="shared" si="62"/>
        <v>5.0000000000000044E-2</v>
      </c>
    </row>
    <row r="70" spans="1:120" x14ac:dyDescent="0.15">
      <c r="E70" s="55"/>
    </row>
    <row r="71" spans="1:120" s="25" customFormat="1" x14ac:dyDescent="0.15">
      <c r="A71" s="25" t="s">
        <v>100</v>
      </c>
      <c r="B71" s="25">
        <f>B15/B68</f>
        <v>2.3918918918918917E-2</v>
      </c>
      <c r="C71" s="25">
        <f>C15/C68</f>
        <v>3.4113300492610833E-2</v>
      </c>
      <c r="D71" s="25">
        <f>D15/D68</f>
        <v>4.2660550458715599E-2</v>
      </c>
      <c r="E71" s="25">
        <v>0.05</v>
      </c>
      <c r="F71" s="25">
        <v>0.06</v>
      </c>
      <c r="G71" s="25">
        <v>7.0000000000000007E-2</v>
      </c>
      <c r="H71" s="25">
        <v>0.08</v>
      </c>
      <c r="I71" s="25">
        <v>0.09</v>
      </c>
      <c r="J71" s="25">
        <v>0.09</v>
      </c>
    </row>
  </sheetData>
  <hyperlinks>
    <hyperlink ref="A1" r:id="rId1" xr:uid="{00000000-0004-0000-0000-000000000000}"/>
    <hyperlink ref="L4" r:id="rId2" xr:uid="{7F7E87D0-2485-EC40-98FA-D786A405803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33" sqref="P33"/>
    </sheetView>
  </sheetViews>
  <sheetFormatPr baseColWidth="10" defaultRowHeight="13" x14ac:dyDescent="0.15"/>
  <cols>
    <col min="1" max="1" width="19.83203125" style="5" bestFit="1" customWidth="1"/>
    <col min="2" max="2" width="10.83203125" style="27" customWidth="1"/>
    <col min="3" max="4" width="10.83203125" style="26" customWidth="1"/>
    <col min="5" max="5" width="10.83203125" style="26"/>
    <col min="6" max="6" width="10.83203125" style="27"/>
    <col min="7" max="9" width="10.83203125" style="26"/>
    <col min="10" max="10" width="10.83203125" style="27"/>
    <col min="11" max="13" width="10.83203125" style="26"/>
    <col min="14" max="14" width="10.83203125" style="27"/>
    <col min="15" max="17" width="10.83203125" style="26"/>
    <col min="18" max="18" width="10.83203125" style="51"/>
    <col min="19" max="16384" width="10.83203125" style="5"/>
  </cols>
  <sheetData>
    <row r="1" spans="1:18" s="26" customFormat="1" x14ac:dyDescent="0.15">
      <c r="A1" s="63" t="s">
        <v>52</v>
      </c>
      <c r="B1" s="27" t="s">
        <v>21</v>
      </c>
      <c r="C1" s="26" t="s">
        <v>22</v>
      </c>
      <c r="D1" s="26" t="s">
        <v>23</v>
      </c>
      <c r="E1" s="26" t="s">
        <v>24</v>
      </c>
      <c r="F1" s="28" t="s">
        <v>0</v>
      </c>
      <c r="G1" s="29" t="s">
        <v>1</v>
      </c>
      <c r="H1" s="29" t="s">
        <v>2</v>
      </c>
      <c r="I1" s="29" t="s">
        <v>3</v>
      </c>
      <c r="J1" s="28" t="s">
        <v>41</v>
      </c>
      <c r="K1" s="29" t="s">
        <v>42</v>
      </c>
      <c r="L1" s="29" t="s">
        <v>43</v>
      </c>
      <c r="M1" s="29" t="s">
        <v>44</v>
      </c>
      <c r="N1" s="28" t="s">
        <v>58</v>
      </c>
      <c r="O1" s="29" t="s">
        <v>59</v>
      </c>
      <c r="P1" s="29" t="s">
        <v>60</v>
      </c>
      <c r="Q1" s="29" t="s">
        <v>61</v>
      </c>
      <c r="R1" s="27" t="s">
        <v>111</v>
      </c>
    </row>
    <row r="2" spans="1:18" s="26" customFormat="1" x14ac:dyDescent="0.15">
      <c r="A2" s="62"/>
      <c r="B2" s="27" t="s">
        <v>28</v>
      </c>
      <c r="C2" s="26" t="s">
        <v>27</v>
      </c>
      <c r="D2" s="26" t="s">
        <v>26</v>
      </c>
      <c r="E2" s="26" t="s">
        <v>31</v>
      </c>
      <c r="F2" s="27" t="s">
        <v>30</v>
      </c>
      <c r="G2" s="26" t="s">
        <v>29</v>
      </c>
      <c r="H2" s="26" t="s">
        <v>25</v>
      </c>
      <c r="I2" s="26" t="s">
        <v>35</v>
      </c>
      <c r="J2" s="27" t="s">
        <v>45</v>
      </c>
      <c r="K2" s="26" t="s">
        <v>46</v>
      </c>
      <c r="L2" s="26" t="s">
        <v>47</v>
      </c>
      <c r="M2" s="26" t="s">
        <v>48</v>
      </c>
      <c r="N2" s="27" t="s">
        <v>110</v>
      </c>
      <c r="O2" s="26" t="s">
        <v>109</v>
      </c>
      <c r="P2" s="26" t="s">
        <v>108</v>
      </c>
      <c r="Q2" s="26" t="s">
        <v>107</v>
      </c>
      <c r="R2" s="68">
        <v>43921</v>
      </c>
    </row>
    <row r="3" spans="1:18" s="7" customFormat="1" x14ac:dyDescent="0.15">
      <c r="A3" s="7" t="s">
        <v>84</v>
      </c>
      <c r="B3" s="28"/>
      <c r="C3" s="29"/>
      <c r="D3" s="29"/>
      <c r="E3" s="29">
        <v>749</v>
      </c>
      <c r="F3" s="28">
        <v>719</v>
      </c>
      <c r="G3" s="29">
        <v>645</v>
      </c>
      <c r="H3" s="29">
        <v>737</v>
      </c>
      <c r="I3" s="29">
        <v>1048</v>
      </c>
      <c r="J3" s="28">
        <v>1254</v>
      </c>
      <c r="K3" s="29">
        <v>1299</v>
      </c>
      <c r="L3" s="29">
        <v>1463</v>
      </c>
      <c r="M3" s="29">
        <v>1520</v>
      </c>
      <c r="N3" s="28">
        <v>1605</v>
      </c>
      <c r="O3" s="29">
        <v>1562</v>
      </c>
      <c r="P3" s="29">
        <v>1846</v>
      </c>
      <c r="Q3" s="29">
        <v>2139</v>
      </c>
      <c r="R3" s="56">
        <v>2044</v>
      </c>
    </row>
    <row r="4" spans="1:18" s="7" customFormat="1" x14ac:dyDescent="0.15">
      <c r="A4" s="7" t="s">
        <v>83</v>
      </c>
      <c r="B4" s="28"/>
      <c r="C4" s="29"/>
      <c r="D4" s="29"/>
      <c r="E4" s="29">
        <v>1252</v>
      </c>
      <c r="F4" s="28">
        <v>1386</v>
      </c>
      <c r="G4" s="29">
        <v>1735</v>
      </c>
      <c r="H4" s="29">
        <v>2173</v>
      </c>
      <c r="I4" s="29">
        <v>2538</v>
      </c>
      <c r="J4" s="28">
        <v>2862</v>
      </c>
      <c r="K4" s="29">
        <v>3204</v>
      </c>
      <c r="L4" s="29">
        <v>3506</v>
      </c>
      <c r="M4" s="29">
        <v>3877</v>
      </c>
      <c r="N4" s="28">
        <v>4131</v>
      </c>
      <c r="O4" s="29">
        <v>4336</v>
      </c>
      <c r="P4" s="29">
        <v>4661</v>
      </c>
      <c r="Q4" s="29">
        <v>5154</v>
      </c>
      <c r="R4" s="56">
        <v>4267</v>
      </c>
    </row>
    <row r="5" spans="1:18" s="7" customFormat="1" x14ac:dyDescent="0.15">
      <c r="B5" s="28"/>
      <c r="C5" s="29"/>
      <c r="D5" s="29"/>
      <c r="E5" s="29"/>
      <c r="F5" s="28"/>
      <c r="G5" s="29"/>
      <c r="H5" s="29"/>
      <c r="I5" s="29"/>
      <c r="J5" s="28"/>
      <c r="K5" s="29"/>
      <c r="L5" s="29"/>
      <c r="M5" s="48" t="s">
        <v>101</v>
      </c>
      <c r="N5" s="28"/>
      <c r="O5" s="29"/>
      <c r="P5" s="29"/>
      <c r="Q5" s="48"/>
      <c r="R5" s="56"/>
    </row>
    <row r="6" spans="1:18" s="7" customFormat="1" x14ac:dyDescent="0.15">
      <c r="A6" s="7" t="s">
        <v>85</v>
      </c>
      <c r="B6" s="28"/>
      <c r="C6" s="29"/>
      <c r="D6" s="29"/>
      <c r="E6" s="29">
        <f>13.5+4.2</f>
        <v>17.7</v>
      </c>
      <c r="F6" s="28">
        <f>15.3+6.2</f>
        <v>21.5</v>
      </c>
      <c r="G6" s="29">
        <f>16.6+7.1</f>
        <v>23.700000000000003</v>
      </c>
      <c r="H6" s="29">
        <f>18.3+8</f>
        <v>26.3</v>
      </c>
      <c r="I6" s="29">
        <f>19.4+8.3</f>
        <v>27.7</v>
      </c>
      <c r="J6" s="28">
        <f>22.3+9.6</f>
        <v>31.9</v>
      </c>
      <c r="K6" s="29">
        <f>23.3+9.5</f>
        <v>32.799999999999997</v>
      </c>
      <c r="L6" s="29">
        <f>24.9+9.9</f>
        <v>34.799999999999997</v>
      </c>
      <c r="M6" s="29">
        <f>27+10.2</f>
        <v>37.200000000000003</v>
      </c>
      <c r="N6" s="28">
        <f>28.4+10.8</f>
        <v>39.200000000000003</v>
      </c>
      <c r="O6" s="29">
        <f>31+11.1</f>
        <v>42.1</v>
      </c>
      <c r="P6" s="29">
        <f>35.4+12.2</f>
        <v>47.599999999999994</v>
      </c>
      <c r="Q6" s="29">
        <f>39.9+12.4</f>
        <v>52.3</v>
      </c>
      <c r="R6" s="56">
        <f>42.7+12.8</f>
        <v>55.5</v>
      </c>
    </row>
    <row r="7" spans="1:18" s="7" customFormat="1" x14ac:dyDescent="0.15">
      <c r="A7" s="7" t="s">
        <v>74</v>
      </c>
      <c r="B7" s="28"/>
      <c r="C7" s="29"/>
      <c r="D7" s="29"/>
      <c r="E7" s="32">
        <f>SUM(E3:E4)/E6</f>
        <v>113.05084745762713</v>
      </c>
      <c r="F7" s="33">
        <f t="shared" ref="F7:M7" si="0">SUM(F3:F4)/F6</f>
        <v>97.906976744186053</v>
      </c>
      <c r="G7" s="32">
        <f t="shared" si="0"/>
        <v>100.42194092827003</v>
      </c>
      <c r="H7" s="32">
        <f t="shared" si="0"/>
        <v>110.64638783269962</v>
      </c>
      <c r="I7" s="32">
        <f t="shared" si="0"/>
        <v>129.45848375451263</v>
      </c>
      <c r="J7" s="33">
        <f t="shared" si="0"/>
        <v>129.02821316614421</v>
      </c>
      <c r="K7" s="32">
        <f t="shared" si="0"/>
        <v>137.28658536585368</v>
      </c>
      <c r="L7" s="32">
        <f t="shared" si="0"/>
        <v>142.7873563218391</v>
      </c>
      <c r="M7" s="32">
        <f t="shared" si="0"/>
        <v>145.08064516129031</v>
      </c>
      <c r="N7" s="33">
        <f t="shared" ref="N7" si="1">SUM(N3:N4)/N6</f>
        <v>146.32653061224488</v>
      </c>
      <c r="O7" s="32">
        <f t="shared" ref="O7" si="2">SUM(O3:O4)/O6</f>
        <v>140.09501187648456</v>
      </c>
      <c r="P7" s="32">
        <f t="shared" ref="P7" si="3">SUM(P3:P4)/P6</f>
        <v>136.70168067226894</v>
      </c>
      <c r="Q7" s="32">
        <f>SUM(Q3:Q4)/Q6</f>
        <v>139.44550669216062</v>
      </c>
      <c r="R7" s="33">
        <f>SUM(R3:R4)/R6</f>
        <v>113.71171171171171</v>
      </c>
    </row>
    <row r="8" spans="1:18" s="7" customFormat="1" x14ac:dyDescent="0.15">
      <c r="B8" s="28"/>
      <c r="C8" s="29"/>
      <c r="D8" s="29"/>
      <c r="E8" s="29"/>
      <c r="F8" s="28"/>
      <c r="G8" s="29"/>
      <c r="H8" s="29"/>
      <c r="I8" s="29"/>
      <c r="J8" s="28"/>
      <c r="K8" s="29"/>
      <c r="L8" s="29"/>
      <c r="M8" s="48"/>
      <c r="N8" s="28"/>
      <c r="O8" s="29"/>
      <c r="P8" s="29"/>
      <c r="Q8" s="48"/>
      <c r="R8" s="56"/>
    </row>
    <row r="9" spans="1:18" s="17" customFormat="1" x14ac:dyDescent="0.15">
      <c r="A9" s="17" t="s">
        <v>4</v>
      </c>
      <c r="B9" s="28"/>
      <c r="C9" s="29"/>
      <c r="D9" s="29"/>
      <c r="E9" s="30">
        <f t="shared" ref="E9:M9" si="4">SUM(E3:E4)</f>
        <v>2001</v>
      </c>
      <c r="F9" s="31">
        <f t="shared" si="4"/>
        <v>2105</v>
      </c>
      <c r="G9" s="30">
        <f t="shared" si="4"/>
        <v>2380</v>
      </c>
      <c r="H9" s="30">
        <f t="shared" si="4"/>
        <v>2910</v>
      </c>
      <c r="I9" s="30">
        <f t="shared" si="4"/>
        <v>3586</v>
      </c>
      <c r="J9" s="31">
        <f t="shared" si="4"/>
        <v>4116</v>
      </c>
      <c r="K9" s="30">
        <f t="shared" si="4"/>
        <v>4503</v>
      </c>
      <c r="L9" s="30">
        <f t="shared" si="4"/>
        <v>4969</v>
      </c>
      <c r="M9" s="30">
        <f t="shared" si="4"/>
        <v>5397</v>
      </c>
      <c r="N9" s="31">
        <f t="shared" ref="N9" si="5">SUM(N3:N4)</f>
        <v>5736</v>
      </c>
      <c r="O9" s="30">
        <f t="shared" ref="O9" si="6">SUM(O3:O4)</f>
        <v>5898</v>
      </c>
      <c r="P9" s="30">
        <f t="shared" ref="P9" si="7">SUM(P3:P4)</f>
        <v>6507</v>
      </c>
      <c r="Q9" s="30">
        <f t="shared" ref="Q9:R9" si="8">SUM(Q3:Q4)</f>
        <v>7293</v>
      </c>
      <c r="R9" s="31">
        <f t="shared" si="8"/>
        <v>6311</v>
      </c>
    </row>
    <row r="10" spans="1:18" s="7" customFormat="1" x14ac:dyDescent="0.15">
      <c r="A10" s="7" t="s">
        <v>5</v>
      </c>
      <c r="B10" s="28"/>
      <c r="C10" s="29"/>
      <c r="D10" s="29"/>
      <c r="E10" s="29">
        <v>1317</v>
      </c>
      <c r="F10" s="28">
        <v>1426</v>
      </c>
      <c r="G10" s="29">
        <v>1677</v>
      </c>
      <c r="H10" s="29">
        <v>1876</v>
      </c>
      <c r="I10" s="29">
        <v>2192</v>
      </c>
      <c r="J10" s="28">
        <v>2433</v>
      </c>
      <c r="K10" s="29">
        <v>2708</v>
      </c>
      <c r="L10" s="29">
        <v>3006</v>
      </c>
      <c r="M10" s="29">
        <v>3561</v>
      </c>
      <c r="N10" s="28">
        <v>3703</v>
      </c>
      <c r="O10" s="29">
        <v>3957</v>
      </c>
      <c r="P10" s="29">
        <v>4296</v>
      </c>
      <c r="Q10" s="29">
        <v>4805</v>
      </c>
      <c r="R10" s="56">
        <v>4334</v>
      </c>
    </row>
    <row r="11" spans="1:18" s="7" customFormat="1" x14ac:dyDescent="0.15">
      <c r="A11" s="7" t="s">
        <v>6</v>
      </c>
      <c r="B11" s="28"/>
      <c r="C11" s="29"/>
      <c r="D11" s="29"/>
      <c r="E11" s="32">
        <f t="shared" ref="E11:H11" si="9">E9-E10</f>
        <v>684</v>
      </c>
      <c r="F11" s="33">
        <f t="shared" si="9"/>
        <v>679</v>
      </c>
      <c r="G11" s="32">
        <f t="shared" si="9"/>
        <v>703</v>
      </c>
      <c r="H11" s="32">
        <f t="shared" si="9"/>
        <v>1034</v>
      </c>
      <c r="I11" s="32">
        <f t="shared" ref="I11" si="10">I9-I10</f>
        <v>1394</v>
      </c>
      <c r="J11" s="33">
        <f>J9-J10</f>
        <v>1683</v>
      </c>
      <c r="K11" s="32">
        <f>K9-K10</f>
        <v>1795</v>
      </c>
      <c r="L11" s="32">
        <f t="shared" ref="L11:M11" si="11">L9-L10</f>
        <v>1963</v>
      </c>
      <c r="M11" s="32">
        <f t="shared" si="11"/>
        <v>1836</v>
      </c>
      <c r="N11" s="33">
        <f>N9-N10</f>
        <v>2033</v>
      </c>
      <c r="O11" s="32">
        <f>O9-O10</f>
        <v>1941</v>
      </c>
      <c r="P11" s="32">
        <f t="shared" ref="P11" si="12">P9-P10</f>
        <v>2211</v>
      </c>
      <c r="Q11" s="32">
        <f t="shared" ref="Q11:R11" si="13">Q9-Q10</f>
        <v>2488</v>
      </c>
      <c r="R11" s="33">
        <f t="shared" si="13"/>
        <v>1977</v>
      </c>
    </row>
    <row r="12" spans="1:18" s="7" customFormat="1" x14ac:dyDescent="0.15">
      <c r="A12" s="7" t="s">
        <v>7</v>
      </c>
      <c r="B12" s="28"/>
      <c r="C12" s="29"/>
      <c r="D12" s="29"/>
      <c r="E12" s="29">
        <v>164</v>
      </c>
      <c r="F12" s="28">
        <v>130</v>
      </c>
      <c r="G12" s="29">
        <v>168</v>
      </c>
      <c r="H12" s="29">
        <v>257</v>
      </c>
      <c r="I12" s="29">
        <v>358</v>
      </c>
      <c r="J12" s="28">
        <v>364</v>
      </c>
      <c r="K12" s="29">
        <v>374</v>
      </c>
      <c r="L12" s="29">
        <v>434</v>
      </c>
      <c r="M12" s="29">
        <v>542</v>
      </c>
      <c r="N12" s="28">
        <v>437</v>
      </c>
      <c r="O12" s="29">
        <v>416</v>
      </c>
      <c r="P12" s="29">
        <v>517</v>
      </c>
      <c r="Q12" s="29">
        <v>671</v>
      </c>
      <c r="R12" s="56">
        <v>481</v>
      </c>
    </row>
    <row r="13" spans="1:18" s="7" customFormat="1" x14ac:dyDescent="0.15">
      <c r="A13" s="7" t="s">
        <v>8</v>
      </c>
      <c r="B13" s="28"/>
      <c r="C13" s="29"/>
      <c r="D13" s="29"/>
      <c r="E13" s="29">
        <v>326</v>
      </c>
      <c r="F13" s="28">
        <v>326</v>
      </c>
      <c r="G13" s="29">
        <v>356</v>
      </c>
      <c r="H13" s="29">
        <v>342</v>
      </c>
      <c r="I13" s="29">
        <v>497</v>
      </c>
      <c r="J13" s="28">
        <v>446</v>
      </c>
      <c r="K13" s="29">
        <v>459</v>
      </c>
      <c r="L13" s="29">
        <v>543</v>
      </c>
      <c r="M13" s="29">
        <v>810</v>
      </c>
      <c r="N13" s="28">
        <v>602</v>
      </c>
      <c r="O13" s="29">
        <v>634</v>
      </c>
      <c r="P13" s="29">
        <v>720</v>
      </c>
      <c r="Q13" s="29">
        <v>747</v>
      </c>
      <c r="R13" s="56">
        <v>681</v>
      </c>
    </row>
    <row r="14" spans="1:18" s="7" customFormat="1" x14ac:dyDescent="0.15">
      <c r="A14" s="7" t="s">
        <v>9</v>
      </c>
      <c r="B14" s="28"/>
      <c r="C14" s="29"/>
      <c r="D14" s="29"/>
      <c r="E14" s="32">
        <f>SUM(E12:E13)</f>
        <v>490</v>
      </c>
      <c r="F14" s="33">
        <f>SUM(F12:F13)</f>
        <v>456</v>
      </c>
      <c r="G14" s="32">
        <f>SUM(G12:G13)</f>
        <v>524</v>
      </c>
      <c r="H14" s="32">
        <f>SUM(H12:H13)</f>
        <v>599</v>
      </c>
      <c r="I14" s="32">
        <f>SUM(I12:I13)</f>
        <v>855</v>
      </c>
      <c r="J14" s="33">
        <f>SUM(J12:J13)</f>
        <v>810</v>
      </c>
      <c r="K14" s="32">
        <f>SUM(K12:K13)</f>
        <v>833</v>
      </c>
      <c r="L14" s="32">
        <f>SUM(L12:L13)</f>
        <v>977</v>
      </c>
      <c r="M14" s="32">
        <f>SUM(M12:M13)</f>
        <v>1352</v>
      </c>
      <c r="N14" s="33">
        <f>SUM(N12:N13)</f>
        <v>1039</v>
      </c>
      <c r="O14" s="32">
        <f>SUM(O12:O13)</f>
        <v>1050</v>
      </c>
      <c r="P14" s="32">
        <f>SUM(P12:P13)</f>
        <v>1237</v>
      </c>
      <c r="Q14" s="32">
        <f>SUM(Q12:Q13)</f>
        <v>1418</v>
      </c>
      <c r="R14" s="33">
        <f>SUM(R12:R13)</f>
        <v>1162</v>
      </c>
    </row>
    <row r="15" spans="1:18" s="7" customFormat="1" x14ac:dyDescent="0.15">
      <c r="A15" s="7" t="s">
        <v>10</v>
      </c>
      <c r="B15" s="28"/>
      <c r="C15" s="29"/>
      <c r="D15" s="29"/>
      <c r="E15" s="32">
        <f>E11-E14</f>
        <v>194</v>
      </c>
      <c r="F15" s="33">
        <f>F11-F14</f>
        <v>223</v>
      </c>
      <c r="G15" s="32">
        <f>G11-G14</f>
        <v>179</v>
      </c>
      <c r="H15" s="32">
        <f>H11-H14</f>
        <v>435</v>
      </c>
      <c r="I15" s="32">
        <f>I11-I14</f>
        <v>539</v>
      </c>
      <c r="J15" s="33">
        <f>J11-J14</f>
        <v>873</v>
      </c>
      <c r="K15" s="32">
        <f>K11-K14</f>
        <v>962</v>
      </c>
      <c r="L15" s="32">
        <f>L11-L14</f>
        <v>986</v>
      </c>
      <c r="M15" s="32">
        <f>M11-M14</f>
        <v>484</v>
      </c>
      <c r="N15" s="33">
        <f>N11-N14</f>
        <v>994</v>
      </c>
      <c r="O15" s="32">
        <f>O11-O14</f>
        <v>891</v>
      </c>
      <c r="P15" s="32">
        <f>P11-P14</f>
        <v>974</v>
      </c>
      <c r="Q15" s="32">
        <f>Q11-Q14</f>
        <v>1070</v>
      </c>
      <c r="R15" s="33">
        <f>R11-R14</f>
        <v>815</v>
      </c>
    </row>
    <row r="16" spans="1:18" s="7" customFormat="1" x14ac:dyDescent="0.15">
      <c r="A16" s="7" t="s">
        <v>11</v>
      </c>
      <c r="B16" s="28"/>
      <c r="C16" s="29"/>
      <c r="D16" s="29"/>
      <c r="E16" s="29">
        <f>26-17-3</f>
        <v>6</v>
      </c>
      <c r="F16" s="28">
        <f>21+7</f>
        <v>28</v>
      </c>
      <c r="G16" s="29">
        <f>20+29-1</f>
        <v>48</v>
      </c>
      <c r="H16" s="29">
        <f>28+1+8</f>
        <v>37</v>
      </c>
      <c r="I16" s="29">
        <f>24+87-3</f>
        <v>108</v>
      </c>
      <c r="J16" s="28">
        <f>37+23-8</f>
        <v>52</v>
      </c>
      <c r="K16" s="29">
        <f>63-11-7-9</f>
        <v>36</v>
      </c>
      <c r="L16" s="29">
        <f>82-6-4-9</f>
        <v>63</v>
      </c>
      <c r="M16" s="29">
        <f>100-35-1519</f>
        <v>-1454</v>
      </c>
      <c r="N16" s="28">
        <f>144+9-5-17</f>
        <v>131</v>
      </c>
      <c r="O16" s="29">
        <f>144+50-3-22</f>
        <v>169</v>
      </c>
      <c r="P16" s="29">
        <f>154+60-2-18</f>
        <v>194</v>
      </c>
      <c r="Q16" s="29">
        <f>173-41-8-7</f>
        <v>117</v>
      </c>
      <c r="R16" s="56">
        <f>174+58-11-20</f>
        <v>201</v>
      </c>
    </row>
    <row r="17" spans="1:18" s="7" customFormat="1" x14ac:dyDescent="0.15">
      <c r="A17" s="7" t="s">
        <v>12</v>
      </c>
      <c r="B17" s="28"/>
      <c r="C17" s="29"/>
      <c r="D17" s="29"/>
      <c r="E17" s="32">
        <f t="shared" ref="E17" si="14">E15+E16</f>
        <v>200</v>
      </c>
      <c r="F17" s="33">
        <f t="shared" ref="F17:G17" si="15">F15+F16</f>
        <v>251</v>
      </c>
      <c r="G17" s="32">
        <f t="shared" si="15"/>
        <v>227</v>
      </c>
      <c r="H17" s="32">
        <f t="shared" ref="H17:J17" si="16">H15+H16</f>
        <v>472</v>
      </c>
      <c r="I17" s="32">
        <f>I15+I16</f>
        <v>647</v>
      </c>
      <c r="J17" s="33">
        <f t="shared" si="16"/>
        <v>925</v>
      </c>
      <c r="K17" s="32">
        <f t="shared" ref="K17" si="17">K15+K16</f>
        <v>998</v>
      </c>
      <c r="L17" s="32">
        <f>L15+L16</f>
        <v>1049</v>
      </c>
      <c r="M17" s="32">
        <f>M15+M16</f>
        <v>-970</v>
      </c>
      <c r="N17" s="33">
        <f t="shared" ref="N17" si="18">N15+N16</f>
        <v>1125</v>
      </c>
      <c r="O17" s="32">
        <f t="shared" ref="O17" si="19">O15+O16</f>
        <v>1060</v>
      </c>
      <c r="P17" s="32">
        <f>P15+P16</f>
        <v>1168</v>
      </c>
      <c r="Q17" s="32">
        <f>Q15+Q16</f>
        <v>1187</v>
      </c>
      <c r="R17" s="33">
        <f>R15+R16</f>
        <v>1016</v>
      </c>
    </row>
    <row r="18" spans="1:18" s="7" customFormat="1" x14ac:dyDescent="0.15">
      <c r="A18" s="7" t="s">
        <v>13</v>
      </c>
      <c r="B18" s="28"/>
      <c r="C18" s="29"/>
      <c r="D18" s="29"/>
      <c r="E18" s="29">
        <v>41</v>
      </c>
      <c r="F18" s="28">
        <v>44</v>
      </c>
      <c r="G18" s="29">
        <v>39</v>
      </c>
      <c r="H18" s="29">
        <v>82</v>
      </c>
      <c r="I18" s="29">
        <v>113</v>
      </c>
      <c r="J18" s="28">
        <v>85</v>
      </c>
      <c r="K18" s="29">
        <v>95</v>
      </c>
      <c r="L18" s="29">
        <v>85</v>
      </c>
      <c r="M18" s="29">
        <v>-94</v>
      </c>
      <c r="N18" s="28">
        <v>139</v>
      </c>
      <c r="O18" s="29">
        <v>132</v>
      </c>
      <c r="P18" s="29">
        <v>145</v>
      </c>
      <c r="Q18" s="29">
        <v>147</v>
      </c>
      <c r="R18" s="56">
        <v>130</v>
      </c>
    </row>
    <row r="19" spans="1:18" s="17" customFormat="1" x14ac:dyDescent="0.15">
      <c r="A19" s="17" t="s">
        <v>14</v>
      </c>
      <c r="B19" s="28"/>
      <c r="C19" s="29"/>
      <c r="D19" s="29"/>
      <c r="E19" s="30">
        <f t="shared" ref="E19:M19" si="20">E17-E18</f>
        <v>159</v>
      </c>
      <c r="F19" s="31">
        <f t="shared" si="20"/>
        <v>207</v>
      </c>
      <c r="G19" s="30">
        <f t="shared" si="20"/>
        <v>188</v>
      </c>
      <c r="H19" s="30">
        <f t="shared" si="20"/>
        <v>390</v>
      </c>
      <c r="I19" s="30">
        <f t="shared" si="20"/>
        <v>534</v>
      </c>
      <c r="J19" s="31">
        <f t="shared" si="20"/>
        <v>840</v>
      </c>
      <c r="K19" s="30">
        <f t="shared" si="20"/>
        <v>903</v>
      </c>
      <c r="L19" s="30">
        <f>L17-L18</f>
        <v>964</v>
      </c>
      <c r="M19" s="30">
        <f t="shared" si="20"/>
        <v>-876</v>
      </c>
      <c r="N19" s="31">
        <f t="shared" ref="N19" si="21">N17-N18</f>
        <v>986</v>
      </c>
      <c r="O19" s="30">
        <f t="shared" ref="O19" si="22">O17-O18</f>
        <v>928</v>
      </c>
      <c r="P19" s="30">
        <f>P17-P18</f>
        <v>1023</v>
      </c>
      <c r="Q19" s="30">
        <f t="shared" ref="Q19:R19" si="23">Q17-Q18</f>
        <v>1040</v>
      </c>
      <c r="R19" s="31">
        <f t="shared" si="23"/>
        <v>886</v>
      </c>
    </row>
    <row r="20" spans="1:18" s="3" customFormat="1" x14ac:dyDescent="0.15">
      <c r="A20" s="3" t="s">
        <v>15</v>
      </c>
      <c r="B20" s="64"/>
      <c r="C20" s="65"/>
      <c r="D20" s="65"/>
      <c r="E20" s="66">
        <f t="shared" ref="E20:H20" si="24">IFERROR(E19/E21,0)</f>
        <v>8.370977174569609E-2</v>
      </c>
      <c r="F20" s="67">
        <f t="shared" si="24"/>
        <v>0</v>
      </c>
      <c r="G20" s="66">
        <f t="shared" si="24"/>
        <v>0</v>
      </c>
      <c r="H20" s="66">
        <f t="shared" si="24"/>
        <v>0</v>
      </c>
      <c r="I20" s="66">
        <f t="shared" ref="I20" si="25">IFERROR(I19/I21,0)</f>
        <v>0.19613860632822938</v>
      </c>
      <c r="J20" s="67">
        <f t="shared" ref="J20:Q20" si="26">IFERROR(J19/J21,0)</f>
        <v>0</v>
      </c>
      <c r="K20" s="66">
        <f t="shared" si="26"/>
        <v>0</v>
      </c>
      <c r="L20" s="66">
        <f t="shared" si="26"/>
        <v>0</v>
      </c>
      <c r="M20" s="66">
        <f t="shared" si="26"/>
        <v>-0.2801483195516361</v>
      </c>
      <c r="N20" s="67">
        <f t="shared" si="26"/>
        <v>0.29461085492936051</v>
      </c>
      <c r="O20" s="66">
        <f t="shared" si="26"/>
        <v>0.2770366438055461</v>
      </c>
      <c r="P20" s="66">
        <f t="shared" si="26"/>
        <v>0.30704059960151264</v>
      </c>
      <c r="Q20" s="66">
        <f t="shared" si="26"/>
        <v>0.31053013399319745</v>
      </c>
      <c r="R20" s="67">
        <f t="shared" ref="R20" si="27">IFERROR(R19/R21,0)</f>
        <v>0.26440327318419987</v>
      </c>
    </row>
    <row r="21" spans="1:18" s="7" customFormat="1" x14ac:dyDescent="0.15">
      <c r="A21" s="7" t="s">
        <v>16</v>
      </c>
      <c r="B21" s="28"/>
      <c r="C21" s="29"/>
      <c r="D21" s="29"/>
      <c r="E21" s="29">
        <v>1899.4198249999999</v>
      </c>
      <c r="F21" s="28"/>
      <c r="G21" s="29"/>
      <c r="H21" s="29"/>
      <c r="I21" s="29">
        <v>2722.5644659999998</v>
      </c>
      <c r="J21" s="28"/>
      <c r="K21" s="29"/>
      <c r="L21" s="29"/>
      <c r="M21" s="29">
        <v>3126.915062</v>
      </c>
      <c r="N21" s="28">
        <v>3346.7877490000001</v>
      </c>
      <c r="O21" s="29">
        <v>3349.7373750000002</v>
      </c>
      <c r="P21" s="29">
        <v>3331.8069380000002</v>
      </c>
      <c r="Q21" s="29">
        <v>3349.1113620000001</v>
      </c>
      <c r="R21" s="56">
        <v>3350.941875</v>
      </c>
    </row>
    <row r="22" spans="1:18" s="57" customFormat="1" x14ac:dyDescent="0.15">
      <c r="A22" s="57" t="s">
        <v>97</v>
      </c>
      <c r="B22" s="58"/>
      <c r="C22" s="48"/>
      <c r="D22" s="48"/>
      <c r="E22" s="48"/>
      <c r="F22" s="58"/>
      <c r="G22" s="48"/>
      <c r="H22" s="48"/>
      <c r="I22" s="48"/>
      <c r="J22" s="58"/>
      <c r="K22" s="48"/>
      <c r="L22" s="48"/>
      <c r="M22" s="48">
        <v>1610.1884110000001</v>
      </c>
      <c r="N22" s="58">
        <f>N21/2</f>
        <v>1673.3938745</v>
      </c>
      <c r="O22" s="48">
        <f>O21/2</f>
        <v>1674.8686875000001</v>
      </c>
      <c r="P22" s="48">
        <f>P21/2</f>
        <v>1665.9034690000001</v>
      </c>
      <c r="Q22" s="48">
        <f>Q21/2</f>
        <v>1674.555681</v>
      </c>
      <c r="R22" s="58">
        <f>R21/2</f>
        <v>1675.4709375</v>
      </c>
    </row>
    <row r="23" spans="1:18" x14ac:dyDescent="0.15">
      <c r="A23" s="13"/>
      <c r="B23" s="28"/>
      <c r="C23" s="29"/>
      <c r="D23" s="29"/>
      <c r="E23" s="29"/>
      <c r="F23" s="28"/>
      <c r="G23" s="29"/>
      <c r="H23" s="29"/>
      <c r="I23" s="29"/>
      <c r="M23" s="29"/>
      <c r="Q23" s="29"/>
    </row>
    <row r="24" spans="1:18" x14ac:dyDescent="0.15">
      <c r="A24" s="5" t="s">
        <v>18</v>
      </c>
      <c r="B24" s="28"/>
      <c r="C24" s="29"/>
      <c r="D24" s="29"/>
      <c r="E24" s="38">
        <f>IFERROR(E11/E9,0)</f>
        <v>0.34182908545727136</v>
      </c>
      <c r="F24" s="39">
        <f>IFERROR(F11/F9,0)</f>
        <v>0.32256532066508314</v>
      </c>
      <c r="G24" s="38">
        <f>IFERROR(G11/G9,0)</f>
        <v>0.29537815126050421</v>
      </c>
      <c r="H24" s="38">
        <f>IFERROR(H11/H9,0)</f>
        <v>0.35532646048109967</v>
      </c>
      <c r="I24" s="38">
        <f>IFERROR(I11/I9,0)</f>
        <v>0.38873396542108196</v>
      </c>
      <c r="J24" s="39">
        <f>IFERROR(J11/J9,0)</f>
        <v>0.40889212827988336</v>
      </c>
      <c r="K24" s="38">
        <f>IFERROR(K11/K9,0)</f>
        <v>0.39862314012880301</v>
      </c>
      <c r="L24" s="38">
        <f>IFERROR(L11/L9,0)</f>
        <v>0.39504930569531094</v>
      </c>
      <c r="M24" s="38">
        <f>IFERROR(M11/M9,0)</f>
        <v>0.34018899388549195</v>
      </c>
      <c r="N24" s="39">
        <f>IFERROR(N11/N9,0)</f>
        <v>0.35442817294281731</v>
      </c>
      <c r="O24" s="38">
        <f>IFERROR(O11/O9,0)</f>
        <v>0.32909460834181076</v>
      </c>
      <c r="P24" s="38">
        <f>IFERROR(P11/P9,0)</f>
        <v>0.33978792070078379</v>
      </c>
      <c r="Q24" s="38">
        <f>IFERROR(Q11/Q9,0)</f>
        <v>0.34114904703139998</v>
      </c>
      <c r="R24" s="39">
        <f>IFERROR(R11/R9,0)</f>
        <v>0.31326255743939152</v>
      </c>
    </row>
    <row r="25" spans="1:18" x14ac:dyDescent="0.15">
      <c r="A25" s="5" t="s">
        <v>19</v>
      </c>
      <c r="B25" s="28"/>
      <c r="C25" s="29"/>
      <c r="D25" s="29"/>
      <c r="E25" s="40">
        <f>IFERROR(E15/E9,0)</f>
        <v>9.6951524237881059E-2</v>
      </c>
      <c r="F25" s="41">
        <f>IFERROR(F15/F9,0)</f>
        <v>0.10593824228028503</v>
      </c>
      <c r="G25" s="40">
        <f>IFERROR(G15/G9,0)</f>
        <v>7.5210084033613442E-2</v>
      </c>
      <c r="H25" s="40">
        <f>IFERROR(H15/H9,0)</f>
        <v>0.14948453608247422</v>
      </c>
      <c r="I25" s="40">
        <f>IFERROR(I15/I9,0)</f>
        <v>0.15030674846625766</v>
      </c>
      <c r="J25" s="41">
        <f>IFERROR(J15/J9,0)</f>
        <v>0.21209912536443148</v>
      </c>
      <c r="K25" s="40">
        <f>IFERROR(K15/K9,0)</f>
        <v>0.21363535420830557</v>
      </c>
      <c r="L25" s="40">
        <f>IFERROR(L15/L9,0)</f>
        <v>0.19843026765948882</v>
      </c>
      <c r="M25" s="40">
        <f>IFERROR(M15/M9,0)</f>
        <v>8.9679451547155828E-2</v>
      </c>
      <c r="N25" s="41">
        <f>IFERROR(N15/N9,0)</f>
        <v>0.17329149232914923</v>
      </c>
      <c r="O25" s="40">
        <f>IFERROR(O15/O9,0)</f>
        <v>0.15106815869786369</v>
      </c>
      <c r="P25" s="40">
        <f>IFERROR(P15/P9,0)</f>
        <v>0.14968495466420778</v>
      </c>
      <c r="Q25" s="40">
        <f>IFERROR(Q15/Q9,0)</f>
        <v>0.14671602906897024</v>
      </c>
      <c r="R25" s="41">
        <f>IFERROR(R15/R9,0)</f>
        <v>0.12913959752812548</v>
      </c>
    </row>
    <row r="26" spans="1:18" x14ac:dyDescent="0.15">
      <c r="A26" s="5" t="s">
        <v>20</v>
      </c>
      <c r="B26" s="28"/>
      <c r="C26" s="29"/>
      <c r="D26" s="29"/>
      <c r="E26" s="40">
        <f t="shared" ref="E26:M26" si="28">IFERROR(E18/E17,0)</f>
        <v>0.20499999999999999</v>
      </c>
      <c r="F26" s="41">
        <f t="shared" si="28"/>
        <v>0.1752988047808765</v>
      </c>
      <c r="G26" s="40">
        <f t="shared" si="28"/>
        <v>0.17180616740088106</v>
      </c>
      <c r="H26" s="40">
        <f t="shared" si="28"/>
        <v>0.17372881355932204</v>
      </c>
      <c r="I26" s="40">
        <f t="shared" si="28"/>
        <v>0.17465224111282843</v>
      </c>
      <c r="J26" s="41">
        <f t="shared" si="28"/>
        <v>9.1891891891891897E-2</v>
      </c>
      <c r="K26" s="40">
        <f t="shared" si="28"/>
        <v>9.5190380761523044E-2</v>
      </c>
      <c r="L26" s="40">
        <f t="shared" si="28"/>
        <v>8.1029551954242135E-2</v>
      </c>
      <c r="M26" s="40">
        <f t="shared" si="28"/>
        <v>9.6907216494845363E-2</v>
      </c>
      <c r="N26" s="41">
        <f t="shared" ref="N26" si="29">IFERROR(N18/N17,0)</f>
        <v>0.12355555555555556</v>
      </c>
      <c r="O26" s="40">
        <f t="shared" ref="O26" si="30">IFERROR(O18/O17,0)</f>
        <v>0.12452830188679245</v>
      </c>
      <c r="P26" s="40">
        <f t="shared" ref="P26" si="31">IFERROR(P18/P17,0)</f>
        <v>0.12414383561643835</v>
      </c>
      <c r="Q26" s="40">
        <f t="shared" ref="Q26:R26" si="32">IFERROR(Q18/Q17,0)</f>
        <v>0.12384161752316765</v>
      </c>
      <c r="R26" s="41">
        <f t="shared" si="32"/>
        <v>0.12795275590551181</v>
      </c>
    </row>
    <row r="27" spans="1:18" x14ac:dyDescent="0.15">
      <c r="B27" s="28"/>
      <c r="C27" s="29"/>
      <c r="D27" s="29"/>
      <c r="E27" s="29"/>
      <c r="F27" s="28"/>
      <c r="G27" s="29"/>
      <c r="H27" s="29"/>
      <c r="I27" s="29"/>
      <c r="M27" s="29"/>
      <c r="Q27" s="29"/>
      <c r="R27" s="28"/>
    </row>
    <row r="28" spans="1:18" s="11" customFormat="1" x14ac:dyDescent="0.15">
      <c r="A28" s="11" t="s">
        <v>17</v>
      </c>
      <c r="B28" s="35"/>
      <c r="C28" s="34"/>
      <c r="D28" s="34"/>
      <c r="E28" s="34"/>
      <c r="F28" s="35"/>
      <c r="G28" s="34"/>
      <c r="H28" s="34"/>
      <c r="I28" s="34">
        <f>IFERROR((I9/E9)-1,0)</f>
        <v>0.79210394802598705</v>
      </c>
      <c r="J28" s="35">
        <f>IFERROR((J9/F9)-1,0)</f>
        <v>0.95534441805225656</v>
      </c>
      <c r="K28" s="34">
        <f>IFERROR((K9/G9)-1,0)</f>
        <v>0.89201680672268902</v>
      </c>
      <c r="L28" s="34">
        <f>IFERROR((L9/H9)-1,0)</f>
        <v>0.7075601374570446</v>
      </c>
      <c r="M28" s="34">
        <f>IFERROR((M9/I9)-1,0)</f>
        <v>0.50501952035694364</v>
      </c>
      <c r="N28" s="35">
        <f>IFERROR((N9/J9)-1,0)</f>
        <v>0.39358600583090375</v>
      </c>
      <c r="O28" s="34">
        <f>IFERROR((O9/K9)-1,0)</f>
        <v>0.30979347101932042</v>
      </c>
      <c r="P28" s="34">
        <f>IFERROR((P9/L9)-1,0)</f>
        <v>0.30951901791104852</v>
      </c>
      <c r="Q28" s="34">
        <f>IFERROR((Q9/M9)-1,0)</f>
        <v>0.35130628126737085</v>
      </c>
      <c r="R28" s="35">
        <f>IFERROR((R9/N9)-1,0)</f>
        <v>0.10024407252440715</v>
      </c>
    </row>
    <row r="29" spans="1:18" s="11" customFormat="1" x14ac:dyDescent="0.15">
      <c r="A29" s="5" t="s">
        <v>49</v>
      </c>
      <c r="B29" s="37"/>
      <c r="C29" s="36"/>
      <c r="D29" s="36"/>
      <c r="E29" s="36"/>
      <c r="F29" s="37"/>
      <c r="G29" s="36"/>
      <c r="H29" s="36"/>
      <c r="I29" s="36"/>
      <c r="J29" s="37"/>
      <c r="K29" s="36"/>
      <c r="L29" s="36"/>
      <c r="M29" s="36"/>
      <c r="N29" s="37"/>
      <c r="O29" s="36"/>
      <c r="P29" s="36"/>
      <c r="Q29" s="36"/>
      <c r="R29" s="37"/>
    </row>
    <row r="30" spans="1:18" s="11" customFormat="1" x14ac:dyDescent="0.15">
      <c r="A30" s="5" t="s">
        <v>50</v>
      </c>
      <c r="B30" s="37"/>
      <c r="C30" s="36"/>
      <c r="D30" s="36"/>
      <c r="E30" s="36"/>
      <c r="F30" s="37"/>
      <c r="G30" s="36"/>
      <c r="H30" s="36"/>
      <c r="I30" s="36">
        <f t="shared" ref="I30:R31" si="33">I12/E12-1</f>
        <v>1.1829268292682928</v>
      </c>
      <c r="J30" s="37">
        <f t="shared" si="33"/>
        <v>1.7999999999999998</v>
      </c>
      <c r="K30" s="36">
        <f t="shared" si="33"/>
        <v>1.2261904761904763</v>
      </c>
      <c r="L30" s="36">
        <f t="shared" si="33"/>
        <v>0.68871595330739299</v>
      </c>
      <c r="M30" s="36">
        <f t="shared" si="33"/>
        <v>0.51396648044692728</v>
      </c>
      <c r="N30" s="37">
        <f t="shared" si="33"/>
        <v>0.2005494505494505</v>
      </c>
      <c r="O30" s="36">
        <f t="shared" si="33"/>
        <v>0.11229946524064172</v>
      </c>
      <c r="P30" s="36">
        <f t="shared" si="33"/>
        <v>0.1912442396313363</v>
      </c>
      <c r="Q30" s="36">
        <f t="shared" si="33"/>
        <v>0.23800738007380073</v>
      </c>
      <c r="R30" s="37">
        <f t="shared" si="33"/>
        <v>0.10068649885583514</v>
      </c>
    </row>
    <row r="31" spans="1:18" s="11" customFormat="1" x14ac:dyDescent="0.15">
      <c r="A31" s="5" t="s">
        <v>51</v>
      </c>
      <c r="B31" s="37"/>
      <c r="C31" s="36"/>
      <c r="D31" s="36"/>
      <c r="E31" s="36"/>
      <c r="F31" s="37"/>
      <c r="G31" s="36"/>
      <c r="H31" s="36"/>
      <c r="I31" s="36">
        <f t="shared" si="33"/>
        <v>0.52453987730061358</v>
      </c>
      <c r="J31" s="37">
        <f t="shared" si="33"/>
        <v>0.36809815950920255</v>
      </c>
      <c r="K31" s="36">
        <f t="shared" si="33"/>
        <v>0.2893258426966292</v>
      </c>
      <c r="L31" s="36">
        <f t="shared" si="33"/>
        <v>0.58771929824561409</v>
      </c>
      <c r="M31" s="36">
        <f t="shared" si="33"/>
        <v>0.62977867203219318</v>
      </c>
      <c r="N31" s="37">
        <f t="shared" si="33"/>
        <v>0.34977578475336313</v>
      </c>
      <c r="O31" s="36">
        <f t="shared" si="33"/>
        <v>0.38126361655773411</v>
      </c>
      <c r="P31" s="36">
        <f t="shared" si="33"/>
        <v>0.32596685082872923</v>
      </c>
      <c r="Q31" s="36">
        <f t="shared" si="33"/>
        <v>-7.7777777777777724E-2</v>
      </c>
      <c r="R31" s="37">
        <f t="shared" si="33"/>
        <v>0.13122923588039859</v>
      </c>
    </row>
    <row r="33" spans="1:18" s="17" customFormat="1" x14ac:dyDescent="0.15">
      <c r="A33" s="17" t="s">
        <v>32</v>
      </c>
      <c r="B33" s="47"/>
      <c r="C33" s="54"/>
      <c r="D33" s="54"/>
      <c r="E33" s="30">
        <f t="shared" ref="E33" si="34">E34-E35</f>
        <v>3634</v>
      </c>
      <c r="F33" s="47"/>
      <c r="G33" s="54"/>
      <c r="H33" s="54"/>
      <c r="I33" s="30">
        <f t="shared" ref="I33" si="35">I34-I35</f>
        <v>9292</v>
      </c>
      <c r="J33" s="47"/>
      <c r="K33" s="54"/>
      <c r="L33" s="54"/>
      <c r="M33" s="30">
        <f t="shared" ref="M33" si="36">M34-M35</f>
        <v>21221</v>
      </c>
      <c r="N33" s="47"/>
      <c r="O33" s="54"/>
      <c r="P33" s="54"/>
      <c r="Q33" s="30">
        <f t="shared" ref="Q33:R33" si="37">Q34-Q35</f>
        <v>23187</v>
      </c>
      <c r="R33" s="31">
        <f t="shared" si="37"/>
        <v>24365</v>
      </c>
    </row>
    <row r="34" spans="1:18" s="7" customFormat="1" x14ac:dyDescent="0.15">
      <c r="A34" s="7" t="s">
        <v>33</v>
      </c>
      <c r="B34" s="28"/>
      <c r="C34" s="29"/>
      <c r="D34" s="29"/>
      <c r="E34" s="29">
        <f>292+10+261+3071</f>
        <v>3634</v>
      </c>
      <c r="F34" s="28"/>
      <c r="G34" s="29"/>
      <c r="H34" s="29"/>
      <c r="I34" s="29">
        <f>378+3740+5174</f>
        <v>9292</v>
      </c>
      <c r="J34" s="28"/>
      <c r="K34" s="29"/>
      <c r="L34" s="29"/>
      <c r="M34" s="29">
        <f>17356+42+39+217+3331+236</f>
        <v>21221</v>
      </c>
      <c r="N34" s="28"/>
      <c r="O34" s="29"/>
      <c r="P34" s="29"/>
      <c r="Q34" s="29">
        <f>15426+7000+6+38+500+217</f>
        <v>23187</v>
      </c>
      <c r="R34" s="56">
        <f>12266+8626+10+1010+2236+217</f>
        <v>24365</v>
      </c>
    </row>
    <row r="35" spans="1:18" s="7" customFormat="1" x14ac:dyDescent="0.15">
      <c r="A35" s="7" t="s">
        <v>34</v>
      </c>
      <c r="B35" s="28"/>
      <c r="C35" s="29"/>
      <c r="D35" s="29"/>
      <c r="E35" s="29">
        <v>0</v>
      </c>
      <c r="F35" s="28"/>
      <c r="G35" s="29"/>
      <c r="H35" s="29"/>
      <c r="I35" s="29">
        <v>0</v>
      </c>
      <c r="J35" s="28"/>
      <c r="K35" s="29"/>
      <c r="L35" s="29"/>
      <c r="M35" s="29">
        <v>0</v>
      </c>
      <c r="N35" s="28"/>
      <c r="O35" s="29"/>
      <c r="P35" s="29"/>
      <c r="Q35" s="29">
        <v>0</v>
      </c>
      <c r="R35" s="56">
        <v>0</v>
      </c>
    </row>
    <row r="36" spans="1:18" s="7" customFormat="1" x14ac:dyDescent="0.15">
      <c r="B36" s="28"/>
      <c r="C36" s="29"/>
      <c r="D36" s="29"/>
      <c r="E36" s="29"/>
      <c r="F36" s="28"/>
      <c r="G36" s="29"/>
      <c r="H36" s="29"/>
      <c r="I36" s="29"/>
      <c r="J36" s="28"/>
      <c r="K36" s="29"/>
      <c r="L36" s="29"/>
      <c r="M36" s="29"/>
      <c r="N36" s="28"/>
      <c r="O36" s="29"/>
      <c r="P36" s="29"/>
      <c r="Q36" s="29"/>
      <c r="R36" s="56"/>
    </row>
    <row r="37" spans="1:18" s="7" customFormat="1" x14ac:dyDescent="0.15">
      <c r="A37" s="45" t="s">
        <v>62</v>
      </c>
      <c r="B37" s="28"/>
      <c r="C37" s="29"/>
      <c r="D37" s="29"/>
      <c r="E37" s="42">
        <f>2007+15762</f>
        <v>17769</v>
      </c>
      <c r="F37" s="28"/>
      <c r="G37" s="29"/>
      <c r="H37" s="29"/>
      <c r="I37" s="42">
        <f>1717+16262</f>
        <v>17979</v>
      </c>
      <c r="J37" s="28"/>
      <c r="K37" s="29"/>
      <c r="L37" s="29"/>
      <c r="M37" s="42">
        <f>1763+17088</f>
        <v>18851</v>
      </c>
      <c r="N37" s="28"/>
      <c r="O37" s="29"/>
      <c r="P37" s="29"/>
      <c r="Q37" s="42">
        <f>17140+1622</f>
        <v>18762</v>
      </c>
      <c r="R37" s="56">
        <f>1615+17140</f>
        <v>18755</v>
      </c>
    </row>
    <row r="38" spans="1:18" s="7" customFormat="1" x14ac:dyDescent="0.15">
      <c r="A38" s="45" t="s">
        <v>63</v>
      </c>
      <c r="B38" s="28"/>
      <c r="C38" s="29"/>
      <c r="D38" s="29"/>
      <c r="E38" s="42">
        <v>23535</v>
      </c>
      <c r="F38" s="28"/>
      <c r="G38" s="29"/>
      <c r="H38" s="29"/>
      <c r="I38" s="42">
        <v>30000</v>
      </c>
      <c r="J38" s="28"/>
      <c r="K38" s="29"/>
      <c r="L38" s="29"/>
      <c r="M38" s="42">
        <v>44605</v>
      </c>
      <c r="N38" s="28"/>
      <c r="O38" s="29"/>
      <c r="P38" s="29"/>
      <c r="Q38" s="42">
        <v>52678</v>
      </c>
      <c r="R38" s="56">
        <v>52456</v>
      </c>
    </row>
    <row r="39" spans="1:18" s="7" customFormat="1" x14ac:dyDescent="0.15">
      <c r="A39" s="45" t="s">
        <v>64</v>
      </c>
      <c r="B39" s="28"/>
      <c r="C39" s="29"/>
      <c r="D39" s="29"/>
      <c r="E39" s="42">
        <v>2901</v>
      </c>
      <c r="F39" s="28"/>
      <c r="G39" s="29"/>
      <c r="H39" s="29"/>
      <c r="I39" s="42">
        <v>3852</v>
      </c>
      <c r="J39" s="28"/>
      <c r="K39" s="29"/>
      <c r="L39" s="29"/>
      <c r="M39" s="42">
        <v>6833</v>
      </c>
      <c r="N39" s="28"/>
      <c r="O39" s="29"/>
      <c r="P39" s="29"/>
      <c r="Q39" s="42">
        <v>9000</v>
      </c>
      <c r="R39" s="56">
        <v>8502</v>
      </c>
    </row>
    <row r="40" spans="1:18" s="7" customFormat="1" x14ac:dyDescent="0.15">
      <c r="B40" s="28"/>
      <c r="C40" s="29"/>
      <c r="D40" s="29"/>
      <c r="E40" s="42"/>
      <c r="F40" s="28"/>
      <c r="G40" s="29"/>
      <c r="H40" s="29"/>
      <c r="I40" s="42"/>
      <c r="J40" s="28"/>
      <c r="K40" s="29"/>
      <c r="L40" s="29"/>
      <c r="M40" s="42"/>
      <c r="N40" s="28"/>
      <c r="O40" s="29"/>
      <c r="P40" s="29"/>
      <c r="Q40" s="42"/>
      <c r="R40" s="56"/>
    </row>
    <row r="41" spans="1:18" s="7" customFormat="1" x14ac:dyDescent="0.15">
      <c r="A41" s="45" t="s">
        <v>65</v>
      </c>
      <c r="B41" s="28"/>
      <c r="C41" s="29"/>
      <c r="D41" s="29"/>
      <c r="E41" s="32">
        <f>E38-E34-E37</f>
        <v>2132</v>
      </c>
      <c r="F41" s="28"/>
      <c r="G41" s="29"/>
      <c r="H41" s="29"/>
      <c r="I41" s="32">
        <f t="shared" ref="I41" si="38">I38-I34-I37</f>
        <v>2729</v>
      </c>
      <c r="J41" s="28"/>
      <c r="K41" s="29"/>
      <c r="L41" s="29"/>
      <c r="M41" s="32">
        <f t="shared" ref="M41" si="39">M38-M34-M37</f>
        <v>4533</v>
      </c>
      <c r="N41" s="28"/>
      <c r="O41" s="29"/>
      <c r="P41" s="29"/>
      <c r="Q41" s="32">
        <f t="shared" ref="Q41:R41" si="40">Q38-Q34-Q37</f>
        <v>10729</v>
      </c>
      <c r="R41" s="33">
        <f t="shared" si="40"/>
        <v>9336</v>
      </c>
    </row>
    <row r="42" spans="1:18" s="7" customFormat="1" x14ac:dyDescent="0.15">
      <c r="A42" s="45" t="s">
        <v>66</v>
      </c>
      <c r="B42" s="28"/>
      <c r="C42" s="29"/>
      <c r="D42" s="29"/>
      <c r="E42" s="32">
        <f>E38-E39</f>
        <v>20634</v>
      </c>
      <c r="F42" s="28"/>
      <c r="G42" s="29"/>
      <c r="H42" s="29"/>
      <c r="I42" s="32">
        <f t="shared" ref="I42" si="41">I38-I39</f>
        <v>26148</v>
      </c>
      <c r="J42" s="28"/>
      <c r="K42" s="29"/>
      <c r="L42" s="29"/>
      <c r="M42" s="32">
        <f t="shared" ref="M42" si="42">M38-M39</f>
        <v>37772</v>
      </c>
      <c r="N42" s="28"/>
      <c r="O42" s="29"/>
      <c r="P42" s="29"/>
      <c r="Q42" s="32">
        <f t="shared" ref="Q42:R42" si="43">Q38-Q39</f>
        <v>43678</v>
      </c>
      <c r="R42" s="33">
        <f t="shared" si="43"/>
        <v>43954</v>
      </c>
    </row>
    <row r="43" spans="1:18" s="7" customFormat="1" x14ac:dyDescent="0.15">
      <c r="B43" s="28"/>
      <c r="C43" s="29"/>
      <c r="D43" s="29"/>
      <c r="E43" s="42"/>
      <c r="F43" s="28"/>
      <c r="G43" s="29"/>
      <c r="H43" s="29"/>
      <c r="I43" s="42"/>
      <c r="J43" s="28"/>
      <c r="K43" s="29"/>
      <c r="L43" s="29"/>
      <c r="M43" s="42"/>
      <c r="N43" s="28"/>
      <c r="O43" s="29"/>
      <c r="P43" s="29"/>
      <c r="Q43" s="42"/>
      <c r="R43" s="56"/>
    </row>
    <row r="44" spans="1:18" s="17" customFormat="1" x14ac:dyDescent="0.15">
      <c r="A44" s="43" t="s">
        <v>67</v>
      </c>
      <c r="B44" s="28"/>
      <c r="C44" s="29"/>
      <c r="D44" s="29"/>
      <c r="E44" s="30">
        <f t="shared" ref="E44" si="44">SUM(B19:E19)</f>
        <v>159</v>
      </c>
      <c r="F44" s="28"/>
      <c r="G44" s="29"/>
      <c r="H44" s="29"/>
      <c r="I44" s="30">
        <f t="shared" ref="I44:N44" si="45">SUM(F19:I19)</f>
        <v>1319</v>
      </c>
      <c r="J44" s="31">
        <f t="shared" si="45"/>
        <v>1952</v>
      </c>
      <c r="K44" s="30">
        <f>SUM(H19:K19)</f>
        <v>2667</v>
      </c>
      <c r="L44" s="30">
        <f>SUM(I19:L19)</f>
        <v>3241</v>
      </c>
      <c r="M44" s="30">
        <f t="shared" si="45"/>
        <v>1831</v>
      </c>
      <c r="N44" s="31">
        <f t="shared" si="45"/>
        <v>1977</v>
      </c>
      <c r="O44" s="30">
        <f>SUM(L19:O19)</f>
        <v>2002</v>
      </c>
      <c r="P44" s="30">
        <f>SUM(M19:P19)</f>
        <v>2061</v>
      </c>
      <c r="Q44" s="30">
        <f t="shared" ref="Q44:R44" si="46">SUM(N19:Q19)</f>
        <v>3977</v>
      </c>
      <c r="R44" s="31">
        <f t="shared" si="46"/>
        <v>3877</v>
      </c>
    </row>
    <row r="45" spans="1:18" x14ac:dyDescent="0.15">
      <c r="A45" s="24" t="s">
        <v>68</v>
      </c>
      <c r="E45" s="38">
        <f t="shared" ref="E45" si="47">E44/E42</f>
        <v>7.7057284094213434E-3</v>
      </c>
      <c r="I45" s="38">
        <f t="shared" ref="I45" si="48">I44/I42</f>
        <v>5.0443628575799294E-2</v>
      </c>
      <c r="J45" s="39"/>
      <c r="K45" s="38"/>
      <c r="L45" s="38"/>
      <c r="M45" s="38">
        <f t="shared" ref="M45" si="49">M44/M42</f>
        <v>4.8475060891665783E-2</v>
      </c>
      <c r="N45" s="39"/>
      <c r="O45" s="38"/>
      <c r="P45" s="38"/>
      <c r="Q45" s="38">
        <f t="shared" ref="Q45:R45" si="50">Q44/Q42</f>
        <v>9.1052703878382713E-2</v>
      </c>
      <c r="R45" s="39">
        <f t="shared" si="50"/>
        <v>8.8205851572098107E-2</v>
      </c>
    </row>
    <row r="46" spans="1:18" x14ac:dyDescent="0.15">
      <c r="A46" s="24" t="s">
        <v>69</v>
      </c>
      <c r="E46" s="38">
        <f t="shared" ref="E46" si="51">E44/E38</f>
        <v>6.7558954748247295E-3</v>
      </c>
      <c r="I46" s="38">
        <f t="shared" ref="I46" si="52">I44/I38</f>
        <v>4.3966666666666668E-2</v>
      </c>
      <c r="J46" s="39"/>
      <c r="K46" s="38"/>
      <c r="L46" s="38"/>
      <c r="M46" s="38">
        <f t="shared" ref="M46" si="53">M44/M38</f>
        <v>4.1049209729850912E-2</v>
      </c>
      <c r="N46" s="39"/>
      <c r="O46" s="38"/>
      <c r="P46" s="38"/>
      <c r="Q46" s="38">
        <f t="shared" ref="Q46:R46" si="54">Q44/Q38</f>
        <v>7.5496412164470936E-2</v>
      </c>
      <c r="R46" s="39">
        <f t="shared" si="54"/>
        <v>7.390956229983224E-2</v>
      </c>
    </row>
    <row r="47" spans="1:18" x14ac:dyDescent="0.15">
      <c r="A47" s="24" t="s">
        <v>70</v>
      </c>
      <c r="E47" s="38">
        <f t="shared" ref="E47" si="55">E44/(E42-E37)</f>
        <v>5.549738219895288E-2</v>
      </c>
      <c r="I47" s="38">
        <f t="shared" ref="I47" si="56">I44/(I42-I37)</f>
        <v>0.16146407148977843</v>
      </c>
      <c r="J47" s="39"/>
      <c r="K47" s="38"/>
      <c r="L47" s="38"/>
      <c r="M47" s="38">
        <f t="shared" ref="M47" si="57">M44/(M42-M37)</f>
        <v>9.67707837852122E-2</v>
      </c>
      <c r="N47" s="39"/>
      <c r="O47" s="38"/>
      <c r="P47" s="38"/>
      <c r="Q47" s="38">
        <f t="shared" ref="Q47:R47" si="58">Q44/(Q42-Q37)</f>
        <v>0.15961631080430247</v>
      </c>
      <c r="R47" s="39">
        <f t="shared" si="58"/>
        <v>0.153855311718719</v>
      </c>
    </row>
    <row r="48" spans="1:18" x14ac:dyDescent="0.15">
      <c r="A48" s="24" t="s">
        <v>71</v>
      </c>
      <c r="E48" s="38">
        <f t="shared" ref="E48" si="59">E44/E41</f>
        <v>7.4577861163227011E-2</v>
      </c>
      <c r="I48" s="38">
        <f t="shared" ref="I48" si="60">I44/I41</f>
        <v>0.48332722609014289</v>
      </c>
      <c r="J48" s="39"/>
      <c r="K48" s="38"/>
      <c r="L48" s="38"/>
      <c r="M48" s="38">
        <f t="shared" ref="M48" si="61">M44/M41</f>
        <v>0.40392675932053829</v>
      </c>
      <c r="N48" s="39"/>
      <c r="O48" s="38"/>
      <c r="P48" s="38"/>
      <c r="Q48" s="38">
        <f t="shared" ref="Q48:R48" si="62">Q44/Q41</f>
        <v>0.37067760275887779</v>
      </c>
      <c r="R48" s="39">
        <f t="shared" si="62"/>
        <v>0.41527420736932302</v>
      </c>
    </row>
    <row r="50" spans="1:18" x14ac:dyDescent="0.15">
      <c r="A50" s="5" t="s">
        <v>90</v>
      </c>
      <c r="I50" s="38">
        <f>I3/E3-1</f>
        <v>0.39919893190921218</v>
      </c>
      <c r="J50" s="39">
        <f>J3/F3-1</f>
        <v>0.74408901251738535</v>
      </c>
      <c r="K50" s="38">
        <f>K3/G3-1</f>
        <v>1.0139534883720929</v>
      </c>
      <c r="L50" s="38">
        <f>L3/H3-1</f>
        <v>0.9850746268656716</v>
      </c>
      <c r="M50" s="38">
        <f>M3/I3-1</f>
        <v>0.45038167938931295</v>
      </c>
      <c r="N50" s="39">
        <f>N3/J3-1</f>
        <v>0.27990430622009566</v>
      </c>
      <c r="O50" s="38">
        <f>O3/K3-1</f>
        <v>0.2024634334103157</v>
      </c>
      <c r="P50" s="38">
        <f>P3/L3-1</f>
        <v>0.26179084073820924</v>
      </c>
      <c r="Q50" s="38">
        <f>Q3/M3-1</f>
        <v>0.40723684210526323</v>
      </c>
      <c r="R50" s="39">
        <f>R3/N3-1</f>
        <v>0.2735202492211839</v>
      </c>
    </row>
    <row r="51" spans="1:18" x14ac:dyDescent="0.15">
      <c r="A51" s="5" t="s">
        <v>91</v>
      </c>
      <c r="I51" s="38">
        <f>I4/E4-1</f>
        <v>1.0271565495207668</v>
      </c>
      <c r="J51" s="39">
        <f>J4/F4-1</f>
        <v>1.0649350649350651</v>
      </c>
      <c r="K51" s="38">
        <f>K4/G4-1</f>
        <v>0.846685878962536</v>
      </c>
      <c r="L51" s="38">
        <f>L4/H4-1</f>
        <v>0.61343764381040033</v>
      </c>
      <c r="M51" s="38">
        <f>M4/I4-1</f>
        <v>0.52758077226162325</v>
      </c>
      <c r="N51" s="39">
        <f>N4/J4-1</f>
        <v>0.44339622641509435</v>
      </c>
      <c r="O51" s="38">
        <f>O4/K4-1</f>
        <v>0.35330836454431958</v>
      </c>
      <c r="P51" s="38">
        <f>P4/L4-1</f>
        <v>0.32943525385054184</v>
      </c>
      <c r="Q51" s="38">
        <f>Q4/M4-1</f>
        <v>0.32937838534949693</v>
      </c>
      <c r="R51" s="39">
        <f>R4/N4-1</f>
        <v>3.292181069958855E-2</v>
      </c>
    </row>
    <row r="52" spans="1:18" x14ac:dyDescent="0.15">
      <c r="R52" s="27"/>
    </row>
    <row r="53" spans="1:18" x14ac:dyDescent="0.15">
      <c r="A53" s="5" t="s">
        <v>92</v>
      </c>
      <c r="B53" s="39"/>
      <c r="C53" s="38"/>
      <c r="D53" s="38"/>
      <c r="E53" s="38"/>
      <c r="I53" s="38">
        <f>I6/E6-1</f>
        <v>0.5649717514124295</v>
      </c>
      <c r="J53" s="39">
        <f>J6/F6-1</f>
        <v>0.48372093023255802</v>
      </c>
      <c r="K53" s="38">
        <f>K6/G6-1</f>
        <v>0.38396624472573815</v>
      </c>
      <c r="L53" s="38">
        <f>L6/H6-1</f>
        <v>0.32319391634980965</v>
      </c>
      <c r="M53" s="38">
        <f>M6/I6-1</f>
        <v>0.34296028880866447</v>
      </c>
      <c r="N53" s="39">
        <f>N6/J6-1</f>
        <v>0.22884012539184972</v>
      </c>
      <c r="O53" s="38">
        <f>O6/K6-1</f>
        <v>0.2835365853658538</v>
      </c>
      <c r="P53" s="38">
        <f>P6/L6-1</f>
        <v>0.36781609195402298</v>
      </c>
      <c r="Q53" s="38">
        <f>Q6/M6-1</f>
        <v>0.40591397849462352</v>
      </c>
      <c r="R53" s="39">
        <f>R6/N6-1</f>
        <v>0.41581632653061207</v>
      </c>
    </row>
    <row r="54" spans="1:18" x14ac:dyDescent="0.15">
      <c r="A54" s="5" t="s">
        <v>75</v>
      </c>
      <c r="B54" s="39"/>
      <c r="C54" s="38"/>
      <c r="D54" s="38"/>
      <c r="E54" s="38"/>
      <c r="I54" s="38">
        <f>I7/E7-1</f>
        <v>0.14513501372057647</v>
      </c>
      <c r="J54" s="39">
        <f>J7/F7-1</f>
        <v>0.31786536012926381</v>
      </c>
      <c r="K54" s="38">
        <f>K7/G7-1</f>
        <v>0.36709750973560196</v>
      </c>
      <c r="L54" s="38">
        <f>L7/H7-1</f>
        <v>0.29048366710115747</v>
      </c>
      <c r="M54" s="38">
        <f>M7/I7-1</f>
        <v>0.12067313747008979</v>
      </c>
      <c r="N54" s="39">
        <f>N7/J7-1</f>
        <v>0.13406616290831175</v>
      </c>
      <c r="O54" s="38">
        <f>O7/K7-1</f>
        <v>2.0456671007926364E-2</v>
      </c>
      <c r="P54" s="38">
        <f>P7/L7-1</f>
        <v>-4.2620549930577956E-2</v>
      </c>
      <c r="Q54" s="38">
        <f>Q7/M7-1</f>
        <v>-3.88414213547571E-2</v>
      </c>
      <c r="R54" s="39">
        <f>R7/N7-1</f>
        <v>-0.22289067309987798</v>
      </c>
    </row>
    <row r="55" spans="1:18" x14ac:dyDescent="0.15">
      <c r="M55" s="49" t="s">
        <v>102</v>
      </c>
      <c r="Q55" s="49"/>
    </row>
    <row r="56" spans="1:18" s="7" customFormat="1" x14ac:dyDescent="0.15">
      <c r="A56" s="7" t="s">
        <v>76</v>
      </c>
      <c r="B56" s="28"/>
      <c r="C56" s="29"/>
      <c r="D56" s="29"/>
      <c r="E56" s="29">
        <f>589+151</f>
        <v>740</v>
      </c>
      <c r="F56" s="28">
        <f>607+180</f>
        <v>787</v>
      </c>
      <c r="G56" s="29">
        <f>606+200</f>
        <v>806</v>
      </c>
      <c r="H56" s="29">
        <f>609+214</f>
        <v>823</v>
      </c>
      <c r="I56" s="29">
        <f>603+209</f>
        <v>812</v>
      </c>
      <c r="J56" s="28">
        <f>625+224</f>
        <v>849</v>
      </c>
      <c r="K56" s="29">
        <f>644+228</f>
        <v>872</v>
      </c>
      <c r="L56" s="29">
        <f>655+225</f>
        <v>880</v>
      </c>
      <c r="M56" s="29">
        <f>644+228</f>
        <v>872</v>
      </c>
      <c r="N56" s="28">
        <f>654+225</f>
        <v>879</v>
      </c>
      <c r="O56" s="29">
        <f>652+239</f>
        <v>891</v>
      </c>
      <c r="P56" s="29">
        <f>661+242</f>
        <v>903</v>
      </c>
      <c r="Q56" s="29">
        <f>644+222</f>
        <v>866</v>
      </c>
      <c r="R56" s="56">
        <f>657+256</f>
        <v>913</v>
      </c>
    </row>
    <row r="57" spans="1:18" s="22" customFormat="1" x14ac:dyDescent="0.15">
      <c r="A57" s="22" t="s">
        <v>77</v>
      </c>
      <c r="B57" s="39"/>
      <c r="C57" s="38"/>
      <c r="D57" s="38"/>
      <c r="E57" s="38"/>
      <c r="F57" s="39"/>
      <c r="G57" s="38"/>
      <c r="H57" s="38"/>
      <c r="I57" s="38">
        <f t="shared" ref="I57" si="63">I56/E56-1</f>
        <v>9.7297297297297192E-2</v>
      </c>
      <c r="J57" s="39">
        <f t="shared" ref="J57:R57" si="64">J56/F56-1</f>
        <v>7.8780177890724223E-2</v>
      </c>
      <c r="K57" s="38">
        <f t="shared" si="64"/>
        <v>8.1885856079404462E-2</v>
      </c>
      <c r="L57" s="38">
        <f t="shared" si="64"/>
        <v>6.925880923450789E-2</v>
      </c>
      <c r="M57" s="38">
        <f t="shared" si="64"/>
        <v>7.3891625615763568E-2</v>
      </c>
      <c r="N57" s="39">
        <f t="shared" si="64"/>
        <v>3.5335689045936425E-2</v>
      </c>
      <c r="O57" s="38">
        <f t="shared" si="64"/>
        <v>2.1788990825688082E-2</v>
      </c>
      <c r="P57" s="38">
        <f t="shared" si="64"/>
        <v>2.6136363636363624E-2</v>
      </c>
      <c r="Q57" s="38">
        <f t="shared" si="64"/>
        <v>-6.8807339449541427E-3</v>
      </c>
      <c r="R57" s="39">
        <f t="shared" si="64"/>
        <v>3.868031854379983E-2</v>
      </c>
    </row>
    <row r="58" spans="1:18" x14ac:dyDescent="0.15">
      <c r="M58" s="49" t="s">
        <v>103</v>
      </c>
      <c r="Q58" s="49"/>
    </row>
    <row r="59" spans="1:18" x14ac:dyDescent="0.15">
      <c r="A59" s="5" t="s">
        <v>100</v>
      </c>
      <c r="E59" s="38">
        <f>E6/E56</f>
        <v>2.3918918918918917E-2</v>
      </c>
      <c r="F59" s="39">
        <f>F6/F56</f>
        <v>2.7318932655654382E-2</v>
      </c>
      <c r="G59" s="38">
        <f>G6/G56</f>
        <v>2.9404466501240699E-2</v>
      </c>
      <c r="H59" s="38">
        <f>H6/H56</f>
        <v>3.1956257594167682E-2</v>
      </c>
      <c r="I59" s="38">
        <f>I6/I56</f>
        <v>3.4113300492610833E-2</v>
      </c>
      <c r="J59" s="39">
        <f>J6/J56</f>
        <v>3.75736160188457E-2</v>
      </c>
      <c r="K59" s="38">
        <f>K6/K56</f>
        <v>3.7614678899082564E-2</v>
      </c>
      <c r="L59" s="38">
        <f>L6/L56</f>
        <v>3.9545454545454543E-2</v>
      </c>
      <c r="M59" s="38">
        <f>M6/M56</f>
        <v>4.2660550458715599E-2</v>
      </c>
      <c r="N59" s="39">
        <f>N6/N56</f>
        <v>4.4596131968145623E-2</v>
      </c>
      <c r="O59" s="38">
        <f>O6/O56</f>
        <v>4.725028058361392E-2</v>
      </c>
      <c r="P59" s="38">
        <f>P6/P56</f>
        <v>5.2713178294573636E-2</v>
      </c>
      <c r="Q59" s="38">
        <f>Q6/Q56</f>
        <v>6.0392609699769048E-2</v>
      </c>
      <c r="R59" s="39">
        <f>R6/R56</f>
        <v>6.0788608981380068E-2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9"/>
  <sheetViews>
    <sheetView workbookViewId="0">
      <selection activeCell="C21" sqref="C21"/>
    </sheetView>
  </sheetViews>
  <sheetFormatPr baseColWidth="10" defaultRowHeight="13" x14ac:dyDescent="0.15"/>
  <cols>
    <col min="1" max="1" width="10.83203125" style="2"/>
    <col min="2" max="2" width="12.6640625" style="2" customWidth="1"/>
    <col min="3" max="3" width="32" style="2" bestFit="1" customWidth="1"/>
    <col min="4" max="4" width="59" style="2" bestFit="1" customWidth="1"/>
    <col min="5" max="16384" width="10.83203125" style="2"/>
  </cols>
  <sheetData>
    <row r="4" spans="2:4" x14ac:dyDescent="0.15">
      <c r="B4" s="1" t="s">
        <v>112</v>
      </c>
    </row>
    <row r="6" spans="2:4" x14ac:dyDescent="0.15">
      <c r="B6" s="2" t="s">
        <v>79</v>
      </c>
      <c r="C6" s="2" t="s">
        <v>86</v>
      </c>
      <c r="D6" s="70" t="s">
        <v>113</v>
      </c>
    </row>
    <row r="7" spans="2:4" x14ac:dyDescent="0.15">
      <c r="B7" s="2" t="s">
        <v>80</v>
      </c>
      <c r="C7" s="2" t="s">
        <v>87</v>
      </c>
      <c r="D7" s="70" t="s">
        <v>114</v>
      </c>
    </row>
    <row r="8" spans="2:4" x14ac:dyDescent="0.15">
      <c r="B8" s="2" t="s">
        <v>81</v>
      </c>
      <c r="C8" s="2" t="s">
        <v>88</v>
      </c>
      <c r="D8" s="70" t="s">
        <v>115</v>
      </c>
    </row>
    <row r="9" spans="2:4" x14ac:dyDescent="0.15">
      <c r="B9" s="2" t="s">
        <v>82</v>
      </c>
      <c r="C9" s="2" t="s">
        <v>89</v>
      </c>
      <c r="D9" s="70" t="s">
        <v>116</v>
      </c>
    </row>
  </sheetData>
  <hyperlinks>
    <hyperlink ref="D6" r:id="rId1" xr:uid="{640C4673-3C49-524D-B210-FF7BD2A9BB0F}"/>
    <hyperlink ref="D7" r:id="rId2" xr:uid="{45FBCEF5-EFC0-FD4B-BACE-33A94565F7DE}"/>
    <hyperlink ref="D8" r:id="rId3" xr:uid="{2834D08A-AE3F-5F40-B62E-2065D3F8394A}"/>
    <hyperlink ref="D9" r:id="rId4" xr:uid="{E9CA9C24-7ACE-2E45-9833-F1A5BFD55A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RMB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2020-05-19T08:33:37Z</dcterms:modified>
</cp:coreProperties>
</file>