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C7994F18-E858-234B-B83B-A1B154C2C36B}" xr6:coauthVersionLast="45" xr6:coauthVersionMax="45" xr10:uidLastSave="{00000000-0000-0000-0000-000000000000}"/>
  <bookViews>
    <workbookView xWindow="0" yWindow="460" windowWidth="19240" windowHeight="20320" tabRatio="500" xr2:uid="{00000000-000D-0000-FFFF-FFFF00000000}"/>
  </bookViews>
  <sheets>
    <sheet name="Main" sheetId="2" r:id="rId1"/>
    <sheet name="Reports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3" i="2" l="1"/>
  <c r="J63" i="2"/>
  <c r="I63" i="2"/>
  <c r="H63" i="2"/>
  <c r="G63" i="2"/>
  <c r="K24" i="2"/>
  <c r="K23" i="2"/>
  <c r="K22" i="2"/>
  <c r="J42" i="2"/>
  <c r="I42" i="2"/>
  <c r="H42" i="2"/>
  <c r="G42" i="2"/>
  <c r="C42" i="2"/>
  <c r="D42" i="2"/>
  <c r="E42" i="2"/>
  <c r="F42" i="2"/>
  <c r="G24" i="2"/>
  <c r="H24" i="2" s="1"/>
  <c r="I24" i="2" s="1"/>
  <c r="J24" i="2" s="1"/>
  <c r="G22" i="2"/>
  <c r="H22" i="2" s="1"/>
  <c r="I22" i="2" s="1"/>
  <c r="J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G17" i="2"/>
  <c r="H17" i="2" s="1"/>
  <c r="I17" i="2" s="1"/>
  <c r="J17" i="2" s="1"/>
  <c r="K17" i="2" s="1"/>
  <c r="C5" i="2"/>
  <c r="C3" i="2"/>
  <c r="F4" i="2"/>
  <c r="F16" i="2"/>
  <c r="F50" i="2"/>
  <c r="F49" i="2"/>
  <c r="F53" i="2" s="1"/>
  <c r="F48" i="2"/>
  <c r="F46" i="2"/>
  <c r="F45" i="2"/>
  <c r="F44" i="2" s="1"/>
  <c r="F32" i="2"/>
  <c r="F15" i="2"/>
  <c r="G15" i="2" s="1"/>
  <c r="F29" i="2"/>
  <c r="F27" i="2"/>
  <c r="F24" i="2"/>
  <c r="F23" i="2"/>
  <c r="F22" i="2"/>
  <c r="F25" i="2" s="1"/>
  <c r="F20" i="2"/>
  <c r="F13" i="2"/>
  <c r="F12" i="2"/>
  <c r="F17" i="2" s="1"/>
  <c r="V56" i="1"/>
  <c r="R55" i="1"/>
  <c r="R38" i="1"/>
  <c r="R36" i="1"/>
  <c r="R35" i="1"/>
  <c r="R34" i="1" s="1"/>
  <c r="R45" i="1"/>
  <c r="R43" i="1"/>
  <c r="S38" i="1"/>
  <c r="S36" i="1"/>
  <c r="S35" i="1"/>
  <c r="S34" i="1" s="1"/>
  <c r="S52" i="1"/>
  <c r="S51" i="1"/>
  <c r="S45" i="1"/>
  <c r="S43" i="1"/>
  <c r="S32" i="1"/>
  <c r="S31" i="1"/>
  <c r="S30" i="1"/>
  <c r="S29" i="1"/>
  <c r="S27" i="1"/>
  <c r="S26" i="1"/>
  <c r="S25" i="1"/>
  <c r="S21" i="1"/>
  <c r="S22" i="1" s="1"/>
  <c r="S18" i="1"/>
  <c r="S19" i="1" s="1"/>
  <c r="S16" i="1"/>
  <c r="S17" i="1" s="1"/>
  <c r="S12" i="1"/>
  <c r="S10" i="1"/>
  <c r="T38" i="1"/>
  <c r="T42" i="1" s="1"/>
  <c r="T35" i="1"/>
  <c r="T52" i="1"/>
  <c r="T51" i="1"/>
  <c r="T45" i="1"/>
  <c r="T43" i="1"/>
  <c r="T34" i="1"/>
  <c r="T32" i="1"/>
  <c r="T31" i="1"/>
  <c r="T30" i="1"/>
  <c r="T29" i="1"/>
  <c r="T27" i="1"/>
  <c r="T26" i="1"/>
  <c r="T25" i="1"/>
  <c r="T22" i="1"/>
  <c r="T21" i="1"/>
  <c r="V45" i="1" s="1"/>
  <c r="T19" i="1"/>
  <c r="T18" i="1"/>
  <c r="T16" i="1"/>
  <c r="T17" i="1" s="1"/>
  <c r="T12" i="1"/>
  <c r="T10" i="1"/>
  <c r="R56" i="1"/>
  <c r="U56" i="1"/>
  <c r="T56" i="1"/>
  <c r="U32" i="1"/>
  <c r="U31" i="1"/>
  <c r="U30" i="1"/>
  <c r="U29" i="1"/>
  <c r="U27" i="1"/>
  <c r="U26" i="1"/>
  <c r="U25" i="1"/>
  <c r="U22" i="1"/>
  <c r="U21" i="1"/>
  <c r="U19" i="1"/>
  <c r="U18" i="1"/>
  <c r="U16" i="1"/>
  <c r="U17" i="1" s="1"/>
  <c r="U12" i="1"/>
  <c r="U10" i="1"/>
  <c r="U38" i="1"/>
  <c r="U36" i="1"/>
  <c r="U35" i="1"/>
  <c r="U52" i="1"/>
  <c r="U51" i="1"/>
  <c r="U43" i="1"/>
  <c r="V38" i="1"/>
  <c r="V42" i="1" s="1"/>
  <c r="V36" i="1"/>
  <c r="V35" i="1"/>
  <c r="V52" i="1"/>
  <c r="V51" i="1"/>
  <c r="V43" i="1"/>
  <c r="V34" i="1"/>
  <c r="V32" i="1"/>
  <c r="V31" i="1"/>
  <c r="V30" i="1"/>
  <c r="V29" i="1"/>
  <c r="V27" i="1"/>
  <c r="V26" i="1"/>
  <c r="V25" i="1"/>
  <c r="V54" i="1"/>
  <c r="U54" i="1"/>
  <c r="T54" i="1"/>
  <c r="S54" i="1"/>
  <c r="R52" i="1"/>
  <c r="R51" i="1"/>
  <c r="R32" i="1"/>
  <c r="R31" i="1"/>
  <c r="R30" i="1"/>
  <c r="R27" i="1"/>
  <c r="R26" i="1"/>
  <c r="R25" i="1"/>
  <c r="R18" i="1"/>
  <c r="R16" i="1"/>
  <c r="R17" i="1" s="1"/>
  <c r="R19" i="1" s="1"/>
  <c r="R21" i="1" s="1"/>
  <c r="R22" i="1" s="1"/>
  <c r="R12" i="1"/>
  <c r="V19" i="1"/>
  <c r="V21" i="1" s="1"/>
  <c r="V22" i="1" s="1"/>
  <c r="V18" i="1"/>
  <c r="V16" i="1"/>
  <c r="V17" i="1" s="1"/>
  <c r="V12" i="1"/>
  <c r="R10" i="1"/>
  <c r="V10" i="1"/>
  <c r="V8" i="1"/>
  <c r="U8" i="1"/>
  <c r="T8" i="1"/>
  <c r="S8" i="1"/>
  <c r="S56" i="1" s="1"/>
  <c r="R8" i="1"/>
  <c r="G19" i="2" l="1"/>
  <c r="H15" i="2"/>
  <c r="I15" i="2" s="1"/>
  <c r="J15" i="2" s="1"/>
  <c r="K15" i="2" s="1"/>
  <c r="F19" i="2"/>
  <c r="F52" i="2"/>
  <c r="R42" i="1"/>
  <c r="R49" i="1" s="1"/>
  <c r="R47" i="1"/>
  <c r="R48" i="1"/>
  <c r="R46" i="1"/>
  <c r="S42" i="1"/>
  <c r="S49" i="1"/>
  <c r="S46" i="1"/>
  <c r="S48" i="1"/>
  <c r="S47" i="1"/>
  <c r="T49" i="1"/>
  <c r="T48" i="1"/>
  <c r="T46" i="1"/>
  <c r="T47" i="1"/>
  <c r="U45" i="1"/>
  <c r="U34" i="1"/>
  <c r="U42" i="1"/>
  <c r="U49" i="1" s="1"/>
  <c r="U47" i="1"/>
  <c r="U48" i="1"/>
  <c r="U46" i="1"/>
  <c r="V49" i="1"/>
  <c r="V47" i="1"/>
  <c r="V48" i="1"/>
  <c r="V46" i="1"/>
  <c r="P16" i="1"/>
  <c r="Q16" i="1"/>
  <c r="Q8" i="1"/>
  <c r="Q10" i="1" s="1"/>
  <c r="E50" i="2"/>
  <c r="E49" i="2"/>
  <c r="E48" i="2"/>
  <c r="E46" i="2"/>
  <c r="E45" i="2"/>
  <c r="C4" i="2"/>
  <c r="E32" i="2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E24" i="2"/>
  <c r="E23" i="2"/>
  <c r="F40" i="2" s="1"/>
  <c r="E22" i="2"/>
  <c r="E20" i="2"/>
  <c r="E16" i="2"/>
  <c r="F64" i="2" s="1"/>
  <c r="E13" i="2"/>
  <c r="F61" i="2" s="1"/>
  <c r="E12" i="2"/>
  <c r="F60" i="2" s="1"/>
  <c r="Q38" i="1"/>
  <c r="Q36" i="1"/>
  <c r="Q35" i="1"/>
  <c r="Q42" i="1"/>
  <c r="Q43" i="1"/>
  <c r="Q34" i="1"/>
  <c r="Q18" i="1"/>
  <c r="E29" i="2"/>
  <c r="D50" i="2"/>
  <c r="D49" i="2"/>
  <c r="D46" i="2"/>
  <c r="C46" i="2"/>
  <c r="B46" i="2"/>
  <c r="D16" i="2"/>
  <c r="D8" i="1"/>
  <c r="D10" i="1" s="1"/>
  <c r="C16" i="2"/>
  <c r="C32" i="2"/>
  <c r="C29" i="2"/>
  <c r="C24" i="2"/>
  <c r="C23" i="2"/>
  <c r="C22" i="2"/>
  <c r="C25" i="2" s="1"/>
  <c r="C20" i="2"/>
  <c r="C13" i="2"/>
  <c r="C12" i="2"/>
  <c r="B16" i="2"/>
  <c r="B32" i="2"/>
  <c r="B29" i="2"/>
  <c r="B24" i="2"/>
  <c r="B23" i="2"/>
  <c r="B22" i="2"/>
  <c r="B20" i="2"/>
  <c r="B13" i="2"/>
  <c r="B12" i="2"/>
  <c r="Q55" i="1"/>
  <c r="P55" i="1"/>
  <c r="O55" i="1"/>
  <c r="N55" i="1"/>
  <c r="M55" i="1"/>
  <c r="L55" i="1"/>
  <c r="K55" i="1"/>
  <c r="J55" i="1"/>
  <c r="I55" i="1"/>
  <c r="H55" i="1"/>
  <c r="N38" i="1"/>
  <c r="N42" i="1" s="1"/>
  <c r="N35" i="1"/>
  <c r="N18" i="1"/>
  <c r="N52" i="1"/>
  <c r="N51" i="1"/>
  <c r="N8" i="1"/>
  <c r="N16" i="1"/>
  <c r="N43" i="1"/>
  <c r="N34" i="1"/>
  <c r="N32" i="1"/>
  <c r="N31" i="1"/>
  <c r="N30" i="1"/>
  <c r="O38" i="1"/>
  <c r="O42" i="1" s="1"/>
  <c r="O35" i="1"/>
  <c r="O18" i="1"/>
  <c r="O52" i="1"/>
  <c r="O51" i="1"/>
  <c r="O16" i="1"/>
  <c r="O43" i="1"/>
  <c r="O34" i="1"/>
  <c r="O32" i="1"/>
  <c r="O31" i="1"/>
  <c r="O30" i="1"/>
  <c r="C10" i="1"/>
  <c r="C12" i="1" s="1"/>
  <c r="H10" i="1"/>
  <c r="H12" i="1" s="1"/>
  <c r="H25" i="1" s="1"/>
  <c r="J10" i="1"/>
  <c r="J12" i="1" s="1"/>
  <c r="K10" i="1"/>
  <c r="K12" i="1" s="1"/>
  <c r="O8" i="1"/>
  <c r="E8" i="1"/>
  <c r="E10" i="1" s="1"/>
  <c r="F8" i="1"/>
  <c r="F10" i="1" s="1"/>
  <c r="G8" i="1"/>
  <c r="G10" i="1" s="1"/>
  <c r="H8" i="1"/>
  <c r="H56" i="1" s="1"/>
  <c r="I8" i="1"/>
  <c r="I10" i="1" s="1"/>
  <c r="I12" i="1" s="1"/>
  <c r="J8" i="1"/>
  <c r="K8" i="1"/>
  <c r="L8" i="1"/>
  <c r="L10" i="1" s="1"/>
  <c r="M3" i="1"/>
  <c r="Q51" i="1" s="1"/>
  <c r="M4" i="1"/>
  <c r="Q52" i="1" s="1"/>
  <c r="P8" i="1"/>
  <c r="P56" i="1" s="1"/>
  <c r="M38" i="1"/>
  <c r="D48" i="2" s="1"/>
  <c r="J16" i="1"/>
  <c r="J18" i="1"/>
  <c r="K16" i="1"/>
  <c r="K18" i="1"/>
  <c r="L16" i="1"/>
  <c r="L18" i="1"/>
  <c r="M18" i="1" s="1"/>
  <c r="M13" i="1"/>
  <c r="M30" i="1" s="1"/>
  <c r="M14" i="1"/>
  <c r="Q31" i="1" s="1"/>
  <c r="M15" i="1"/>
  <c r="D24" i="2" s="1"/>
  <c r="M35" i="1"/>
  <c r="D45" i="2" s="1"/>
  <c r="M43" i="1"/>
  <c r="P52" i="1"/>
  <c r="P51" i="1"/>
  <c r="P18" i="1"/>
  <c r="P38" i="1"/>
  <c r="P35" i="1"/>
  <c r="P42" i="1"/>
  <c r="P43" i="1"/>
  <c r="P36" i="1"/>
  <c r="P32" i="1"/>
  <c r="P31" i="1"/>
  <c r="P30" i="1"/>
  <c r="M23" i="1"/>
  <c r="D32" i="2" s="1"/>
  <c r="I35" i="1"/>
  <c r="C45" i="2" s="1"/>
  <c r="I34" i="1"/>
  <c r="L35" i="1"/>
  <c r="L34" i="1" s="1"/>
  <c r="B10" i="1"/>
  <c r="L30" i="1"/>
  <c r="G30" i="1"/>
  <c r="H30" i="1"/>
  <c r="I30" i="1"/>
  <c r="J30" i="1"/>
  <c r="K30" i="1"/>
  <c r="G31" i="1"/>
  <c r="H31" i="1"/>
  <c r="I31" i="1"/>
  <c r="J31" i="1"/>
  <c r="K31" i="1"/>
  <c r="L31" i="1"/>
  <c r="G32" i="1"/>
  <c r="H32" i="1"/>
  <c r="I32" i="1"/>
  <c r="J32" i="1"/>
  <c r="K32" i="1"/>
  <c r="L32" i="1"/>
  <c r="F31" i="1"/>
  <c r="F32" i="1"/>
  <c r="F30" i="1"/>
  <c r="F35" i="1"/>
  <c r="F34" i="1" s="1"/>
  <c r="G36" i="1"/>
  <c r="G35" i="1"/>
  <c r="H35" i="1"/>
  <c r="E35" i="1"/>
  <c r="B45" i="2" s="1"/>
  <c r="B18" i="1"/>
  <c r="C18" i="1"/>
  <c r="D18" i="1"/>
  <c r="B27" i="2" s="1"/>
  <c r="E18" i="1"/>
  <c r="I18" i="1"/>
  <c r="J35" i="1"/>
  <c r="J34" i="1" s="1"/>
  <c r="F18" i="1"/>
  <c r="C27" i="2" s="1"/>
  <c r="K35" i="1"/>
  <c r="K34" i="1" s="1"/>
  <c r="B12" i="1"/>
  <c r="B16" i="1"/>
  <c r="C16" i="1"/>
  <c r="D16" i="1"/>
  <c r="E16" i="1"/>
  <c r="G16" i="1"/>
  <c r="G18" i="1"/>
  <c r="H16" i="1"/>
  <c r="H18" i="1"/>
  <c r="I16" i="1"/>
  <c r="F16" i="1"/>
  <c r="B25" i="1"/>
  <c r="E11" i="2"/>
  <c r="F11" i="2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G34" i="1"/>
  <c r="H34" i="1"/>
  <c r="R11" i="2" l="1"/>
  <c r="S11" i="2" s="1"/>
  <c r="T11" i="2" s="1"/>
  <c r="U11" i="2" s="1"/>
  <c r="V11" i="2" s="1"/>
  <c r="H19" i="2"/>
  <c r="F21" i="2"/>
  <c r="F26" i="2" s="1"/>
  <c r="F28" i="2" s="1"/>
  <c r="C44" i="2"/>
  <c r="G29" i="1"/>
  <c r="G12" i="1"/>
  <c r="E53" i="2"/>
  <c r="N10" i="1"/>
  <c r="R29" i="1" s="1"/>
  <c r="K56" i="1"/>
  <c r="E44" i="2"/>
  <c r="B44" i="2"/>
  <c r="C40" i="2"/>
  <c r="J17" i="1"/>
  <c r="J19" i="1" s="1"/>
  <c r="J25" i="1"/>
  <c r="L29" i="1"/>
  <c r="L12" i="1"/>
  <c r="M8" i="1"/>
  <c r="D53" i="2"/>
  <c r="K29" i="1"/>
  <c r="E27" i="2"/>
  <c r="Q32" i="1"/>
  <c r="C60" i="2"/>
  <c r="E34" i="1"/>
  <c r="B17" i="1"/>
  <c r="P10" i="1"/>
  <c r="P29" i="1" s="1"/>
  <c r="C61" i="2"/>
  <c r="C64" i="2"/>
  <c r="M31" i="1"/>
  <c r="M51" i="1"/>
  <c r="O56" i="1"/>
  <c r="D27" i="2"/>
  <c r="L56" i="1"/>
  <c r="M32" i="1"/>
  <c r="M52" i="1"/>
  <c r="P34" i="1"/>
  <c r="D44" i="2"/>
  <c r="F41" i="2"/>
  <c r="E25" i="2"/>
  <c r="C39" i="2"/>
  <c r="B17" i="2"/>
  <c r="B19" i="2" s="1"/>
  <c r="B21" i="2" s="1"/>
  <c r="B34" i="2" s="1"/>
  <c r="C41" i="2"/>
  <c r="D64" i="2"/>
  <c r="B25" i="2"/>
  <c r="E64" i="2"/>
  <c r="F39" i="2"/>
  <c r="I29" i="1"/>
  <c r="E12" i="1"/>
  <c r="D12" i="1"/>
  <c r="H29" i="1"/>
  <c r="B19" i="1"/>
  <c r="B26" i="1"/>
  <c r="C6" i="2"/>
  <c r="C7" i="2" s="1"/>
  <c r="K17" i="1"/>
  <c r="K25" i="1"/>
  <c r="Q12" i="1"/>
  <c r="N12" i="1"/>
  <c r="N29" i="1"/>
  <c r="F12" i="1"/>
  <c r="F29" i="1"/>
  <c r="D41" i="2"/>
  <c r="E41" i="2"/>
  <c r="J29" i="1"/>
  <c r="I25" i="1"/>
  <c r="I17" i="1"/>
  <c r="D52" i="2"/>
  <c r="C17" i="1"/>
  <c r="C25" i="1"/>
  <c r="I56" i="1"/>
  <c r="H17" i="1"/>
  <c r="M42" i="1"/>
  <c r="J56" i="1"/>
  <c r="O10" i="1"/>
  <c r="E17" i="2"/>
  <c r="E19" i="2" s="1"/>
  <c r="F38" i="2" s="1"/>
  <c r="M56" i="1"/>
  <c r="N56" i="1"/>
  <c r="C17" i="2"/>
  <c r="C19" i="2"/>
  <c r="D12" i="2"/>
  <c r="D13" i="2"/>
  <c r="D61" i="2" s="1"/>
  <c r="M16" i="1"/>
  <c r="D22" i="2"/>
  <c r="G23" i="2"/>
  <c r="D23" i="2"/>
  <c r="E52" i="2"/>
  <c r="Q30" i="1"/>
  <c r="I19" i="2" l="1"/>
  <c r="J26" i="1"/>
  <c r="G25" i="1"/>
  <c r="G17" i="1"/>
  <c r="P12" i="1"/>
  <c r="P25" i="1" s="1"/>
  <c r="C65" i="2"/>
  <c r="Q56" i="1"/>
  <c r="M10" i="1"/>
  <c r="L17" i="1"/>
  <c r="L25" i="1"/>
  <c r="B26" i="2"/>
  <c r="B35" i="2" s="1"/>
  <c r="G41" i="2"/>
  <c r="J21" i="1"/>
  <c r="J27" i="1"/>
  <c r="O12" i="1"/>
  <c r="O29" i="1"/>
  <c r="D40" i="2"/>
  <c r="E40" i="2"/>
  <c r="B21" i="1"/>
  <c r="B22" i="1" s="1"/>
  <c r="B27" i="1"/>
  <c r="I19" i="1"/>
  <c r="I26" i="1"/>
  <c r="D39" i="2"/>
  <c r="D25" i="2"/>
  <c r="E39" i="2"/>
  <c r="D60" i="2"/>
  <c r="D17" i="2"/>
  <c r="E65" i="2" s="1"/>
  <c r="Q17" i="1"/>
  <c r="Q25" i="1"/>
  <c r="P17" i="1"/>
  <c r="H23" i="2"/>
  <c r="G40" i="2"/>
  <c r="H19" i="1"/>
  <c r="H26" i="1"/>
  <c r="F17" i="1"/>
  <c r="F25" i="1"/>
  <c r="E61" i="2"/>
  <c r="N17" i="1"/>
  <c r="N25" i="1"/>
  <c r="D25" i="1"/>
  <c r="D17" i="1"/>
  <c r="C26" i="1"/>
  <c r="C19" i="1"/>
  <c r="E17" i="1"/>
  <c r="E25" i="1"/>
  <c r="C21" i="2"/>
  <c r="C38" i="2"/>
  <c r="E60" i="2"/>
  <c r="K19" i="1"/>
  <c r="K26" i="1"/>
  <c r="G25" i="2"/>
  <c r="G39" i="2"/>
  <c r="K19" i="2" l="1"/>
  <c r="J19" i="2"/>
  <c r="G26" i="1"/>
  <c r="G19" i="1"/>
  <c r="M12" i="1"/>
  <c r="Q29" i="1"/>
  <c r="M29" i="1"/>
  <c r="M11" i="1"/>
  <c r="D20" i="2" s="1"/>
  <c r="L26" i="1"/>
  <c r="L19" i="1"/>
  <c r="H41" i="2"/>
  <c r="E19" i="1"/>
  <c r="E26" i="1"/>
  <c r="I23" i="2"/>
  <c r="H40" i="2"/>
  <c r="I21" i="1"/>
  <c r="I22" i="1" s="1"/>
  <c r="I27" i="1"/>
  <c r="F65" i="2"/>
  <c r="C34" i="2"/>
  <c r="C26" i="2"/>
  <c r="H21" i="1"/>
  <c r="H22" i="1" s="1"/>
  <c r="H27" i="1"/>
  <c r="D19" i="1"/>
  <c r="D26" i="1"/>
  <c r="N26" i="1"/>
  <c r="N19" i="1"/>
  <c r="H39" i="2"/>
  <c r="H25" i="2"/>
  <c r="Q19" i="1"/>
  <c r="Q26" i="1"/>
  <c r="D65" i="2"/>
  <c r="D19" i="2"/>
  <c r="E38" i="2" s="1"/>
  <c r="E21" i="2"/>
  <c r="C27" i="1"/>
  <c r="C21" i="1"/>
  <c r="C22" i="1" s="1"/>
  <c r="P19" i="1"/>
  <c r="P26" i="1"/>
  <c r="O17" i="1"/>
  <c r="O25" i="1"/>
  <c r="K27" i="1"/>
  <c r="K21" i="1"/>
  <c r="J22" i="1"/>
  <c r="F19" i="1"/>
  <c r="F26" i="1"/>
  <c r="G21" i="1" l="1"/>
  <c r="G22" i="1" s="1"/>
  <c r="G27" i="1"/>
  <c r="L27" i="1"/>
  <c r="L21" i="1"/>
  <c r="L22" i="1" s="1"/>
  <c r="M25" i="1"/>
  <c r="M17" i="1"/>
  <c r="I41" i="2"/>
  <c r="F21" i="1"/>
  <c r="F22" i="1" s="1"/>
  <c r="F27" i="1"/>
  <c r="D27" i="1"/>
  <c r="D21" i="1"/>
  <c r="D22" i="1" s="1"/>
  <c r="G65" i="2"/>
  <c r="Q27" i="1"/>
  <c r="Q21" i="1"/>
  <c r="Q22" i="1" s="1"/>
  <c r="P21" i="1"/>
  <c r="P22" i="1" s="1"/>
  <c r="P27" i="1"/>
  <c r="I25" i="2"/>
  <c r="I39" i="2"/>
  <c r="E21" i="1"/>
  <c r="E22" i="1" s="1"/>
  <c r="E27" i="1"/>
  <c r="K22" i="1"/>
  <c r="C28" i="2"/>
  <c r="C35" i="2"/>
  <c r="E26" i="2"/>
  <c r="E34" i="2"/>
  <c r="D38" i="2"/>
  <c r="D21" i="2"/>
  <c r="O26" i="1"/>
  <c r="O19" i="1"/>
  <c r="I40" i="2"/>
  <c r="J23" i="2"/>
  <c r="N27" i="1"/>
  <c r="N21" i="1"/>
  <c r="B28" i="2"/>
  <c r="M26" i="1" l="1"/>
  <c r="M19" i="1"/>
  <c r="J41" i="2"/>
  <c r="H38" i="2"/>
  <c r="E35" i="2"/>
  <c r="E28" i="2"/>
  <c r="B36" i="2"/>
  <c r="B30" i="2"/>
  <c r="B31" i="2" s="1"/>
  <c r="C36" i="2"/>
  <c r="C30" i="2"/>
  <c r="C31" i="2" s="1"/>
  <c r="J40" i="2"/>
  <c r="N22" i="1"/>
  <c r="H65" i="2"/>
  <c r="G38" i="2"/>
  <c r="O21" i="1"/>
  <c r="O22" i="1" s="1"/>
  <c r="O27" i="1"/>
  <c r="D34" i="2"/>
  <c r="D26" i="2"/>
  <c r="J25" i="2"/>
  <c r="J39" i="2"/>
  <c r="Q45" i="1" l="1"/>
  <c r="Q47" i="1" s="1"/>
  <c r="M20" i="1"/>
  <c r="M21" i="1"/>
  <c r="L24" i="2"/>
  <c r="L41" i="2" s="1"/>
  <c r="K41" i="2"/>
  <c r="I65" i="2"/>
  <c r="K39" i="2"/>
  <c r="K25" i="2"/>
  <c r="K42" i="2" s="1"/>
  <c r="F34" i="2"/>
  <c r="G21" i="2" s="1"/>
  <c r="E30" i="2"/>
  <c r="E36" i="2"/>
  <c r="D35" i="2"/>
  <c r="D28" i="2"/>
  <c r="L23" i="2"/>
  <c r="K40" i="2"/>
  <c r="J65" i="2" l="1"/>
  <c r="K65" i="2"/>
  <c r="Q49" i="1"/>
  <c r="Q48" i="1"/>
  <c r="Q46" i="1"/>
  <c r="J38" i="2"/>
  <c r="N45" i="1"/>
  <c r="P45" i="1"/>
  <c r="M45" i="1"/>
  <c r="O45" i="1"/>
  <c r="M22" i="1"/>
  <c r="M34" i="1"/>
  <c r="D29" i="2"/>
  <c r="D36" i="2" s="1"/>
  <c r="M27" i="1"/>
  <c r="M24" i="2"/>
  <c r="M23" i="2"/>
  <c r="L40" i="2"/>
  <c r="I38" i="2"/>
  <c r="G26" i="2"/>
  <c r="G34" i="2"/>
  <c r="H21" i="2" s="1"/>
  <c r="G20" i="2"/>
  <c r="L25" i="2"/>
  <c r="L42" i="2" s="1"/>
  <c r="L39" i="2"/>
  <c r="E58" i="2"/>
  <c r="E57" i="2"/>
  <c r="E56" i="2"/>
  <c r="E55" i="2"/>
  <c r="E31" i="2"/>
  <c r="F35" i="2"/>
  <c r="O49" i="1" l="1"/>
  <c r="O48" i="1"/>
  <c r="O47" i="1"/>
  <c r="O46" i="1"/>
  <c r="D30" i="2"/>
  <c r="D31" i="2" s="1"/>
  <c r="M48" i="1"/>
  <c r="M47" i="1"/>
  <c r="M49" i="1"/>
  <c r="M46" i="1"/>
  <c r="P47" i="1"/>
  <c r="P46" i="1"/>
  <c r="P48" i="1"/>
  <c r="P49" i="1"/>
  <c r="N48" i="1"/>
  <c r="N46" i="1"/>
  <c r="N49" i="1"/>
  <c r="N47" i="1"/>
  <c r="N24" i="2"/>
  <c r="M41" i="2"/>
  <c r="G35" i="2"/>
  <c r="F36" i="2"/>
  <c r="N23" i="2"/>
  <c r="M40" i="2"/>
  <c r="K38" i="2"/>
  <c r="L19" i="2"/>
  <c r="H26" i="2"/>
  <c r="H34" i="2"/>
  <c r="I21" i="2" s="1"/>
  <c r="H20" i="2"/>
  <c r="M39" i="2"/>
  <c r="M25" i="2"/>
  <c r="M42" i="2" s="1"/>
  <c r="F30" i="2" l="1"/>
  <c r="O24" i="2"/>
  <c r="N41" i="2"/>
  <c r="I26" i="2"/>
  <c r="I34" i="2"/>
  <c r="J21" i="2" s="1"/>
  <c r="I20" i="2"/>
  <c r="L38" i="2"/>
  <c r="M19" i="2"/>
  <c r="N25" i="2"/>
  <c r="N42" i="2" s="1"/>
  <c r="N39" i="2"/>
  <c r="H35" i="2"/>
  <c r="N40" i="2"/>
  <c r="O23" i="2"/>
  <c r="F57" i="2" l="1"/>
  <c r="F58" i="2"/>
  <c r="F56" i="2"/>
  <c r="F55" i="2"/>
  <c r="F31" i="2"/>
  <c r="P24" i="2"/>
  <c r="O41" i="2"/>
  <c r="M38" i="2"/>
  <c r="N19" i="2"/>
  <c r="J26" i="2"/>
  <c r="J34" i="2"/>
  <c r="K21" i="2" s="1"/>
  <c r="J20" i="2"/>
  <c r="O39" i="2"/>
  <c r="O25" i="2"/>
  <c r="O42" i="2" s="1"/>
  <c r="G27" i="2"/>
  <c r="G28" i="2" s="1"/>
  <c r="P23" i="2"/>
  <c r="O40" i="2"/>
  <c r="I35" i="2"/>
  <c r="P41" i="2" l="1"/>
  <c r="Q24" i="2"/>
  <c r="G29" i="2"/>
  <c r="G36" i="2" s="1"/>
  <c r="P39" i="2"/>
  <c r="P25" i="2"/>
  <c r="P42" i="2" s="1"/>
  <c r="P40" i="2"/>
  <c r="Q23" i="2"/>
  <c r="K26" i="2"/>
  <c r="K34" i="2"/>
  <c r="L21" i="2" s="1"/>
  <c r="K20" i="2"/>
  <c r="J35" i="2"/>
  <c r="N38" i="2"/>
  <c r="O19" i="2"/>
  <c r="Q40" i="2" l="1"/>
  <c r="R23" i="2"/>
  <c r="Q41" i="2"/>
  <c r="R24" i="2"/>
  <c r="R39" i="2"/>
  <c r="R25" i="2"/>
  <c r="G30" i="2"/>
  <c r="G31" i="2" s="1"/>
  <c r="L26" i="2"/>
  <c r="L34" i="2"/>
  <c r="M21" i="2" s="1"/>
  <c r="L20" i="2"/>
  <c r="O38" i="2"/>
  <c r="P19" i="2"/>
  <c r="K35" i="2"/>
  <c r="G44" i="2"/>
  <c r="Q39" i="2"/>
  <c r="Q25" i="2"/>
  <c r="Q42" i="2" s="1"/>
  <c r="R42" i="2" l="1"/>
  <c r="S24" i="2"/>
  <c r="R41" i="2"/>
  <c r="R40" i="2"/>
  <c r="S23" i="2"/>
  <c r="S39" i="2"/>
  <c r="S25" i="2"/>
  <c r="S42" i="2" s="1"/>
  <c r="H27" i="2"/>
  <c r="H28" i="2" s="1"/>
  <c r="M26" i="2"/>
  <c r="M34" i="2"/>
  <c r="N21" i="2" s="1"/>
  <c r="M20" i="2"/>
  <c r="Q19" i="2"/>
  <c r="R19" i="2" s="1"/>
  <c r="P38" i="2"/>
  <c r="L35" i="2"/>
  <c r="S41" i="2" l="1"/>
  <c r="T24" i="2"/>
  <c r="S19" i="2"/>
  <c r="R38" i="2"/>
  <c r="S40" i="2"/>
  <c r="T23" i="2"/>
  <c r="T39" i="2"/>
  <c r="T25" i="2"/>
  <c r="T42" i="2" s="1"/>
  <c r="Q38" i="2"/>
  <c r="N26" i="2"/>
  <c r="N34" i="2"/>
  <c r="O21" i="2" s="1"/>
  <c r="N20" i="2"/>
  <c r="M35" i="2"/>
  <c r="H29" i="2"/>
  <c r="H36" i="2" s="1"/>
  <c r="T19" i="2" l="1"/>
  <c r="S38" i="2"/>
  <c r="T41" i="2"/>
  <c r="U24" i="2"/>
  <c r="U41" i="2" s="1"/>
  <c r="T40" i="2"/>
  <c r="U23" i="2"/>
  <c r="U40" i="2" s="1"/>
  <c r="U39" i="2"/>
  <c r="U25" i="2"/>
  <c r="U42" i="2" s="1"/>
  <c r="H30" i="2"/>
  <c r="O26" i="2"/>
  <c r="O34" i="2"/>
  <c r="P21" i="2" s="1"/>
  <c r="O20" i="2"/>
  <c r="N35" i="2"/>
  <c r="U19" i="2" l="1"/>
  <c r="T38" i="2"/>
  <c r="P26" i="2"/>
  <c r="P34" i="2"/>
  <c r="Q21" i="2" s="1"/>
  <c r="P20" i="2"/>
  <c r="O35" i="2"/>
  <c r="H31" i="2"/>
  <c r="H44" i="2"/>
  <c r="U38" i="2" l="1"/>
  <c r="I27" i="2"/>
  <c r="I28" i="2" s="1"/>
  <c r="Q34" i="2"/>
  <c r="R21" i="2" s="1"/>
  <c r="Q26" i="2"/>
  <c r="Q20" i="2"/>
  <c r="P35" i="2"/>
  <c r="R34" i="2" l="1"/>
  <c r="S21" i="2" s="1"/>
  <c r="R26" i="2"/>
  <c r="R35" i="2" s="1"/>
  <c r="R20" i="2"/>
  <c r="Q35" i="2"/>
  <c r="I29" i="2"/>
  <c r="I36" i="2" s="1"/>
  <c r="S34" i="2" l="1"/>
  <c r="T21" i="2" s="1"/>
  <c r="S26" i="2"/>
  <c r="S35" i="2" s="1"/>
  <c r="S20" i="2"/>
  <c r="I30" i="2"/>
  <c r="T34" i="2" l="1"/>
  <c r="U21" i="2" s="1"/>
  <c r="T26" i="2"/>
  <c r="T35" i="2" s="1"/>
  <c r="T20" i="2"/>
  <c r="I31" i="2"/>
  <c r="I44" i="2"/>
  <c r="U34" i="2" l="1"/>
  <c r="U26" i="2"/>
  <c r="U35" i="2" s="1"/>
  <c r="U20" i="2"/>
  <c r="J27" i="2"/>
  <c r="J28" i="2" s="1"/>
  <c r="J29" i="2" l="1"/>
  <c r="J36" i="2" s="1"/>
  <c r="J30" i="2" l="1"/>
  <c r="J31" i="2"/>
  <c r="J44" i="2"/>
  <c r="K27" i="2" l="1"/>
  <c r="K28" i="2" s="1"/>
  <c r="K29" i="2" l="1"/>
  <c r="K36" i="2" s="1"/>
  <c r="K30" i="2" l="1"/>
  <c r="K31" i="2" s="1"/>
  <c r="K44" i="2"/>
  <c r="L27" i="2" l="1"/>
  <c r="L28" i="2" s="1"/>
  <c r="L29" i="2" l="1"/>
  <c r="L36" i="2" s="1"/>
  <c r="L30" i="2" l="1"/>
  <c r="L31" i="2"/>
  <c r="L44" i="2"/>
  <c r="M27" i="2" l="1"/>
  <c r="M28" i="2" s="1"/>
  <c r="M29" i="2" l="1"/>
  <c r="M36" i="2" s="1"/>
  <c r="M30" i="2"/>
  <c r="M31" i="2" l="1"/>
  <c r="M44" i="2"/>
  <c r="N27" i="2" l="1"/>
  <c r="N28" i="2" s="1"/>
  <c r="N29" i="2" l="1"/>
  <c r="N36" i="2" s="1"/>
  <c r="N30" i="2"/>
  <c r="N31" i="2" l="1"/>
  <c r="N44" i="2"/>
  <c r="O27" i="2" l="1"/>
  <c r="O28" i="2" s="1"/>
  <c r="O29" i="2" l="1"/>
  <c r="O36" i="2" s="1"/>
  <c r="O30" i="2" l="1"/>
  <c r="O31" i="2"/>
  <c r="O44" i="2"/>
  <c r="P27" i="2" l="1"/>
  <c r="P28" i="2" s="1"/>
  <c r="P29" i="2" l="1"/>
  <c r="P36" i="2" s="1"/>
  <c r="P30" i="2"/>
  <c r="P31" i="2" l="1"/>
  <c r="P44" i="2"/>
  <c r="Q27" i="2" l="1"/>
  <c r="Q28" i="2" s="1"/>
  <c r="Q29" i="2" l="1"/>
  <c r="Q36" i="2" s="1"/>
  <c r="Q30" i="2"/>
  <c r="Q31" i="2" l="1"/>
  <c r="Q44" i="2"/>
  <c r="R27" i="2" l="1"/>
  <c r="R28" i="2" s="1"/>
  <c r="R29" i="2" l="1"/>
  <c r="R36" i="2" s="1"/>
  <c r="R30" i="2"/>
  <c r="R31" i="2" l="1"/>
  <c r="R44" i="2"/>
  <c r="S27" i="2" l="1"/>
  <c r="S28" i="2" s="1"/>
  <c r="S29" i="2" l="1"/>
  <c r="S36" i="2" s="1"/>
  <c r="S30" i="2"/>
  <c r="S31" i="2" l="1"/>
  <c r="S44" i="2"/>
  <c r="T27" i="2" l="1"/>
  <c r="T28" i="2" s="1"/>
  <c r="T29" i="2" l="1"/>
  <c r="T36" i="2" s="1"/>
  <c r="T30" i="2"/>
  <c r="T31" i="2" l="1"/>
  <c r="T44" i="2"/>
  <c r="U27" i="2" l="1"/>
  <c r="U28" i="2" s="1"/>
  <c r="U29" i="2" l="1"/>
  <c r="U36" i="2" s="1"/>
  <c r="U30" i="2"/>
  <c r="U31" i="2" l="1"/>
  <c r="V30" i="2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DQ30" i="2" s="1"/>
  <c r="DR30" i="2" s="1"/>
  <c r="F5" i="2" s="1"/>
  <c r="F6" i="2" s="1"/>
  <c r="F7" i="2" s="1"/>
  <c r="G7" i="2" s="1"/>
  <c r="U44" i="2"/>
</calcChain>
</file>

<file path=xl/sharedStrings.xml><?xml version="1.0" encoding="utf-8"?>
<sst xmlns="http://schemas.openxmlformats.org/spreadsheetml/2006/main" count="154" uniqueCount="105">
  <si>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</si>
  <si>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</si>
  <si>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</si>
  <si>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</si>
  <si>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</si>
  <si>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</si>
  <si>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</si>
  <si>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</si>
  <si>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</si>
  <si>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</si>
  <si>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</si>
  <si>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</si>
  <si>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</si>
  <si>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</si>
  <si>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</si>
  <si>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</si>
  <si>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</si>
  <si>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</si>
  <si>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</si>
  <si>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</si>
  <si>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</si>
  <si>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</si>
  <si>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</si>
  <si>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</si>
  <si>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</si>
  <si>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</si>
  <si>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</si>
  <si>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</si>
  <si>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</si>
  <si>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</si>
  <si>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</si>
  <si>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</si>
  <si>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</si>
  <si>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</si>
  <si>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</si>
  <si>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</si>
  <si>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</si>
  <si>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</si>
  <si>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</si>
  <si>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</si>
  <si>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</si>
  <si>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</si>
  <si>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</si>
  <si>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</si>
  <si>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</si>
  <si>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</si>
  <si>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</si>
  <si>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</si>
  <si>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</si>
  <si>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</si>
  <si>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</si>
  <si>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</si>
  <si>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</si>
  <si>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</si>
  <si>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</si>
  <si>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</si>
  <si>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</si>
  <si>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</si>
  <si>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Advertising services</t>
  </si>
  <si>
    <t>Data licensing and other</t>
  </si>
  <si>
    <t>MAU</t>
  </si>
  <si>
    <t>R&amp;D y/y</t>
  </si>
  <si>
    <t>S&amp;M y/y</t>
  </si>
  <si>
    <t>G&amp;A y/y</t>
  </si>
  <si>
    <t>Twitter Inc (TWTR)</t>
  </si>
  <si>
    <t>EDGAR</t>
  </si>
  <si>
    <t>Investor Relations</t>
  </si>
  <si>
    <t>CEO</t>
  </si>
  <si>
    <t>Founder</t>
  </si>
  <si>
    <t>Jack Dorsey</t>
  </si>
  <si>
    <t>Noah Glass</t>
  </si>
  <si>
    <t>Biz Stone</t>
  </si>
  <si>
    <t>Evan Williams</t>
  </si>
  <si>
    <t>Price</t>
  </si>
  <si>
    <t>Market Cap</t>
  </si>
  <si>
    <t>EV</t>
  </si>
  <si>
    <t>per share</t>
  </si>
  <si>
    <t>ARPU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</si>
  <si>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</si>
  <si>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</si>
  <si>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</si>
  <si>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</si>
  <si>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</si>
  <si>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</si>
  <si>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</si>
  <si>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</si>
  <si>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</si>
  <si>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Advertising services y/y</t>
  </si>
  <si>
    <t>Data licensing and other y/y</t>
  </si>
  <si>
    <t>ARPU y/y</t>
  </si>
  <si>
    <t>NI 12M</t>
  </si>
  <si>
    <t>MAU y/y</t>
  </si>
  <si>
    <t>715-775</t>
  </si>
  <si>
    <t>Q120</t>
  </si>
  <si>
    <t>mDAU</t>
  </si>
  <si>
    <t>Q119</t>
  </si>
  <si>
    <t>mDAU y/y</t>
  </si>
  <si>
    <t>Q419</t>
  </si>
  <si>
    <t>825-885</t>
  </si>
  <si>
    <t>Q319</t>
  </si>
  <si>
    <t>Q219</t>
  </si>
  <si>
    <t>2019-09-31</t>
  </si>
  <si>
    <t>940-1010</t>
  </si>
  <si>
    <t>770-830</t>
  </si>
  <si>
    <t>OE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</si>
</sst>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#,##0.0"/>
  </numFmts>
  <fonts count="8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9">
    <xf numFmtId="0" fontId="0" fillId="0" borderId="0" xfId="0"/>
    <xf numFmtId="0" fontId="4" fillId="0" borderId="0" xfId="0" applyFont="1"/>
    <xf numFmtId="4" fontId="4" fillId="0" borderId="0" xfId="0" applyNumberFormat="1" applyFont="1" applyBorder="1"/>
    <xf numFmtId="0" fontId="4" fillId="0" borderId="0" xfId="0" applyFont="1" applyBorder="1"/>
    <xf numFmtId="10" fontId="4" fillId="0" borderId="0" xfId="0" applyNumberFormat="1" applyFont="1"/>
    <xf numFmtId="3" fontId="4" fillId="0" borderId="0" xfId="0" applyNumberFormat="1" applyFont="1" applyBorder="1"/>
    <xf numFmtId="0" fontId="5" fillId="0" borderId="0" xfId="0" applyFont="1"/>
    <xf numFmtId="3" fontId="4" fillId="2" borderId="0" xfId="0" applyNumberFormat="1" applyFont="1" applyFill="1" applyBorder="1"/>
    <xf numFmtId="164" fontId="4" fillId="2" borderId="0" xfId="0" applyNumberFormat="1" applyFont="1" applyFill="1"/>
    <xf numFmtId="0" fontId="6" fillId="0" borderId="0" xfId="0" applyFont="1" applyBorder="1"/>
    <xf numFmtId="164" fontId="6" fillId="2" borderId="0" xfId="0" applyNumberFormat="1" applyFont="1" applyFill="1"/>
    <xf numFmtId="4" fontId="4" fillId="2" borderId="0" xfId="0" applyNumberFormat="1" applyFont="1" applyFill="1" applyBorder="1"/>
    <xf numFmtId="0" fontId="5" fillId="0" borderId="0" xfId="0" applyFont="1" applyBorder="1"/>
    <xf numFmtId="4" fontId="4" fillId="2" borderId="0" xfId="0" applyNumberFormat="1" applyFont="1" applyFill="1"/>
    <xf numFmtId="9" fontId="4" fillId="0" borderId="0" xfId="0" applyNumberFormat="1" applyFont="1"/>
    <xf numFmtId="0" fontId="7" fillId="0" borderId="0" xfId="4" applyFont="1"/>
    <xf numFmtId="0" fontId="6" fillId="0" borderId="0" xfId="0" applyFont="1"/>
    <xf numFmtId="3" fontId="4" fillId="0" borderId="0" xfId="0" applyNumberFormat="1" applyFont="1"/>
    <xf numFmtId="3" fontId="6" fillId="0" borderId="0" xfId="0" applyNumberFormat="1" applyFont="1" applyBorder="1"/>
    <xf numFmtId="2" fontId="4" fillId="0" borderId="0" xfId="0" applyNumberFormat="1" applyFont="1" applyBorder="1"/>
    <xf numFmtId="9" fontId="6" fillId="0" borderId="0" xfId="1" applyFont="1" applyBorder="1"/>
    <xf numFmtId="9" fontId="4" fillId="0" borderId="0" xfId="1" applyFont="1" applyBorder="1"/>
    <xf numFmtId="9" fontId="4" fillId="0" borderId="0" xfId="0" applyNumberFormat="1" applyFont="1" applyBorder="1"/>
    <xf numFmtId="3" fontId="6" fillId="2" borderId="0" xfId="0" applyNumberFormat="1" applyFont="1" applyFill="1" applyBorder="1"/>
    <xf numFmtId="2" fontId="4" fillId="2" borderId="0" xfId="0" applyNumberFormat="1" applyFont="1" applyFill="1" applyBorder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1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2" fontId="4" fillId="2" borderId="0" xfId="0" applyNumberFormat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2" fontId="4" fillId="2" borderId="0" xfId="0" applyNumberFormat="1" applyFont="1" applyFill="1" applyAlignment="1">
      <alignment horizontal="right"/>
    </xf>
    <xf numFmtId="9" fontId="4" fillId="0" borderId="0" xfId="0" applyNumberFormat="1" applyFont="1" applyBorder="1" applyAlignment="1">
      <alignment horizontal="right"/>
    </xf>
    <xf numFmtId="9" fontId="4" fillId="0" borderId="1" xfId="0" applyNumberFormat="1" applyFont="1" applyBorder="1" applyAlignment="1">
      <alignment horizontal="right"/>
    </xf>
    <xf numFmtId="9" fontId="4" fillId="0" borderId="0" xfId="0" applyNumberFormat="1" applyFont="1" applyAlignment="1">
      <alignment horizontal="right"/>
    </xf>
    <xf numFmtId="9" fontId="4" fillId="0" borderId="0" xfId="1" applyFont="1" applyBorder="1" applyAlignment="1">
      <alignment horizontal="right"/>
    </xf>
    <xf numFmtId="9" fontId="4" fillId="0" borderId="1" xfId="1" applyFont="1" applyBorder="1" applyAlignment="1">
      <alignment horizontal="right"/>
    </xf>
    <xf numFmtId="9" fontId="4" fillId="0" borderId="0" xfId="1" applyFont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4" fillId="0" borderId="0" xfId="1" applyNumberFormat="1" applyFont="1" applyBorder="1" applyAlignment="1">
      <alignment horizontal="right"/>
    </xf>
    <xf numFmtId="9" fontId="4" fillId="0" borderId="1" xfId="1" applyNumberFormat="1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Alignment="1">
      <alignment horizontal="right"/>
    </xf>
    <xf numFmtId="3" fontId="6" fillId="0" borderId="0" xfId="0" applyNumberFormat="1" applyFont="1" applyAlignment="1">
      <alignment horizontal="right"/>
    </xf>
    <xf numFmtId="0" fontId="4" fillId="0" borderId="1" xfId="0" applyFont="1" applyBorder="1"/>
    <xf numFmtId="3" fontId="4" fillId="2" borderId="0" xfId="0" applyNumberFormat="1" applyFont="1" applyFill="1" applyBorder="1" applyAlignment="1">
      <alignment horizontal="right"/>
    </xf>
    <xf numFmtId="3" fontId="6" fillId="0" borderId="0" xfId="0" applyNumberFormat="1" applyFont="1"/>
    <xf numFmtId="3" fontId="4" fillId="0" borderId="1" xfId="0" applyNumberFormat="1" applyFont="1" applyBorder="1"/>
    <xf numFmtId="3" fontId="4" fillId="2" borderId="1" xfId="0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4" fontId="4" fillId="0" borderId="0" xfId="0" applyNumberFormat="1" applyFont="1"/>
    <xf numFmtId="4" fontId="4" fillId="0" borderId="0" xfId="0" applyNumberFormat="1" applyFont="1" applyAlignment="1">
      <alignment horizontal="right"/>
    </xf>
    <xf numFmtId="3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9" fontId="4" fillId="0" borderId="0" xfId="0" applyNumberFormat="1" applyFont="1" applyFill="1" applyBorder="1" applyAlignment="1">
      <alignment horizontal="right"/>
    </xf>
    <xf numFmtId="9" fontId="4" fillId="0" borderId="0" xfId="1" applyFont="1" applyFill="1" applyBorder="1" applyAlignment="1">
      <alignment horizontal="right"/>
    </xf>
    <xf numFmtId="9" fontId="6" fillId="0" borderId="0" xfId="1" applyNumberFormat="1" applyFont="1" applyFill="1" applyBorder="1" applyAlignment="1">
      <alignment horizontal="right"/>
    </xf>
    <xf numFmtId="9" fontId="4" fillId="0" borderId="0" xfId="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4" fontId="4" fillId="2" borderId="0" xfId="0" applyNumberFormat="1" applyFont="1" applyFill="1" applyBorder="1" applyAlignment="1">
      <alignment horizontal="right"/>
    </xf>
    <xf numFmtId="4" fontId="4" fillId="2" borderId="1" xfId="0" applyNumberFormat="1" applyFont="1" applyFill="1" applyBorder="1" applyAlignment="1">
      <alignment horizontal="right"/>
    </xf>
    <xf numFmtId="3" fontId="4" fillId="2" borderId="0" xfId="0" applyNumberFormat="1" applyFont="1" applyFill="1"/>
    <xf numFmtId="3" fontId="5" fillId="0" borderId="1" xfId="0" applyNumberFormat="1" applyFont="1" applyBorder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Fill="1" applyBorder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0" borderId="0" xfId="4" applyFont="1" applyAlignment="1">
      <alignment horizontal="left"/>
    </xf>
    <xf numFmtId="3" fontId="4" fillId="0" borderId="0" xfId="0" applyNumberFormat="1" applyFont="1" applyAlignment="1">
      <alignment horizontal="left"/>
    </xf>
    <xf numFmtId="4" fontId="4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9" fontId="4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14" fontId="4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3" fontId="4" fillId="0" borderId="1" xfId="0" applyNumberFormat="1" applyFont="1" applyFill="1" applyBorder="1" applyAlignment="1">
      <alignment horizontal="right"/>
    </xf>
    <xf numFmtId="9" fontId="4" fillId="0" borderId="1" xfId="0" applyNumberFormat="1" applyFont="1" applyFill="1" applyBorder="1" applyAlignment="1">
      <alignment horizontal="right"/>
    </xf>
    <xf numFmtId="9" fontId="4" fillId="0" borderId="1" xfId="1" applyFont="1" applyFill="1" applyBorder="1" applyAlignment="1">
      <alignment horizontal="right"/>
    </xf>
    <xf numFmtId="9" fontId="6" fillId="0" borderId="1" xfId="1" applyNumberFormat="1" applyFont="1" applyFill="1" applyBorder="1" applyAlignment="1">
      <alignment horizontal="right"/>
    </xf>
    <xf numFmtId="9" fontId="4" fillId="0" borderId="1" xfId="1" applyNumberFormat="1" applyFont="1" applyFill="1" applyBorder="1" applyAlignment="1">
      <alignment horizontal="right"/>
    </xf>
    <xf numFmtId="3" fontId="0" fillId="0" borderId="0" xfId="0" applyNumberFormat="1" applyFont="1" applyBorder="1"/>
    <xf numFmtId="9" fontId="5" fillId="0" borderId="0" xfId="1" applyFont="1" applyBorder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10</xdr:row>
      <xdr:rowOff>0</xdr:rowOff>
    </xdr:from>
    <xdr:to>
      <xdr:col>6</xdr:col>
      <xdr:colOff>165100</xdr:colOff>
      <xdr:row>66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943600" y="1651000"/>
          <a:ext cx="0" cy="87503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254000</xdr:colOff>
      <xdr:row>1</xdr:row>
      <xdr:rowOff>0</xdr:rowOff>
    </xdr:from>
    <xdr:to>
      <xdr:col>22</xdr:col>
      <xdr:colOff>254000</xdr:colOff>
      <xdr:row>57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9456400" y="165100"/>
          <a:ext cx="0" cy="89281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Noah_Glass_(Twitter)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en.wikipedia.org/wiki/Jack_Dorsey" TargetMode="External"/><Relationship Id="rId1" Type="http://schemas.openxmlformats.org/officeDocument/2006/relationships/hyperlink" Target="https://en.wikipedia.org/wiki/Jack_Dorsey" TargetMode="External"/><Relationship Id="rId6" Type="http://schemas.openxmlformats.org/officeDocument/2006/relationships/hyperlink" Target="https://investor.twitterinc.com/home/default.aspx" TargetMode="External"/><Relationship Id="rId5" Type="http://schemas.openxmlformats.org/officeDocument/2006/relationships/hyperlink" Target="https://en.wikipedia.org/wiki/Evan_Williams_(Internet_entrepreneur)" TargetMode="External"/><Relationship Id="rId4" Type="http://schemas.openxmlformats.org/officeDocument/2006/relationships/hyperlink" Target="https://en.wikipedia.org/wiki/Biz_Ston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ompany=twitter&amp;owner=exclude&amp;action=get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65"/>
  <sheetViews>
    <sheetView tabSelected="1" workbookViewId="0">
      <pane xSplit="1" ySplit="11" topLeftCell="B12" activePane="bottomRight" state="frozen"/>
      <selection pane="topRight" activeCell="B1" sqref="B1"/>
      <selection pane="bottomLeft" activeCell="A11" sqref="A11"/>
      <selection pane="bottomRight" activeCell="G12" sqref="G12"/>
    </sheetView>
  </sheetViews>
  <sheetFormatPr baseColWidth="10" defaultRowHeight="13" x14ac:dyDescent="0.15"/>
  <cols>
    <col min="1" max="1" width="21.6640625" style="1" customWidth="1"/>
    <col min="2" max="16384" width="10.83203125" style="1"/>
  </cols>
  <sheetData>
    <row r="1" spans="1:22" x14ac:dyDescent="0.15">
      <c r="A1" s="15" t="s">
        <v>66</v>
      </c>
      <c r="B1" s="16" t="s">
        <v>64</v>
      </c>
    </row>
    <row r="2" spans="1:22" x14ac:dyDescent="0.15">
      <c r="B2" s="1" t="s">
        <v>73</v>
      </c>
      <c r="C2" s="2">
        <v>32.340000000000003</v>
      </c>
      <c r="D2" s="77">
        <v>43972</v>
      </c>
      <c r="E2" s="3" t="s">
        <v>37</v>
      </c>
      <c r="F2" s="4">
        <v>-0.02</v>
      </c>
      <c r="I2" s="17"/>
    </row>
    <row r="3" spans="1:22" x14ac:dyDescent="0.15">
      <c r="A3" s="16" t="s">
        <v>67</v>
      </c>
      <c r="B3" s="1" t="s">
        <v>17</v>
      </c>
      <c r="C3" s="5">
        <f>Reports!V23</f>
        <v>780.68799999999999</v>
      </c>
      <c r="D3" s="89" t="s">
        <v>93</v>
      </c>
      <c r="E3" s="3" t="s">
        <v>38</v>
      </c>
      <c r="F3" s="4">
        <v>0.02</v>
      </c>
      <c r="G3" s="6"/>
      <c r="I3" s="17"/>
    </row>
    <row r="4" spans="1:22" x14ac:dyDescent="0.15">
      <c r="A4" s="15" t="s">
        <v>69</v>
      </c>
      <c r="B4" s="1" t="s">
        <v>74</v>
      </c>
      <c r="C4" s="7">
        <f>C2*C3</f>
        <v>25247.449920000003</v>
      </c>
      <c r="D4" s="78"/>
      <c r="E4" s="3" t="s">
        <v>39</v>
      </c>
      <c r="F4" s="4">
        <f>7%</f>
        <v>7.0000000000000007E-2</v>
      </c>
      <c r="G4" s="6"/>
      <c r="I4" s="14"/>
    </row>
    <row r="5" spans="1:22" x14ac:dyDescent="0.15">
      <c r="B5" s="1" t="s">
        <v>33</v>
      </c>
      <c r="C5" s="5">
        <f>Reports!V34</f>
        <v>4272</v>
      </c>
      <c r="D5" s="89" t="s">
        <v>93</v>
      </c>
      <c r="E5" s="3" t="s">
        <v>40</v>
      </c>
      <c r="F5" s="8">
        <f>NPV(F4,F30:DR30)</f>
        <v>26911.171399392639</v>
      </c>
      <c r="G5" s="6"/>
      <c r="I5" s="14"/>
    </row>
    <row r="6" spans="1:22" x14ac:dyDescent="0.15">
      <c r="A6" s="16" t="s">
        <v>68</v>
      </c>
      <c r="B6" s="1" t="s">
        <v>75</v>
      </c>
      <c r="C6" s="7">
        <f>C4-C5</f>
        <v>20975.449920000003</v>
      </c>
      <c r="D6" s="78"/>
      <c r="E6" s="9" t="s">
        <v>41</v>
      </c>
      <c r="F6" s="10">
        <f>F5+C5</f>
        <v>31183.171399392639</v>
      </c>
      <c r="I6" s="14"/>
    </row>
    <row r="7" spans="1:22" x14ac:dyDescent="0.15">
      <c r="A7" s="15" t="s">
        <v>69</v>
      </c>
      <c r="B7" s="6" t="s">
        <v>76</v>
      </c>
      <c r="C7" s="11">
        <f>C6/C3</f>
        <v>26.867903592728471</v>
      </c>
      <c r="D7" s="78"/>
      <c r="E7" s="12" t="s">
        <v>76</v>
      </c>
      <c r="F7" s="13">
        <f>F6/C3</f>
        <v>39.943192926486176</v>
      </c>
      <c r="G7" s="14">
        <f>F7/C2-1</f>
        <v>0.23510182209295527</v>
      </c>
    </row>
    <row r="8" spans="1:22" x14ac:dyDescent="0.15">
      <c r="A8" s="15" t="s">
        <v>70</v>
      </c>
    </row>
    <row r="9" spans="1:22" x14ac:dyDescent="0.15">
      <c r="A9" s="15" t="s">
        <v>71</v>
      </c>
    </row>
    <row r="10" spans="1:22" x14ac:dyDescent="0.15">
      <c r="A10" s="15" t="s">
        <v>72</v>
      </c>
    </row>
    <row r="11" spans="1:22" x14ac:dyDescent="0.15">
      <c r="B11" s="1">
        <v>2015</v>
      </c>
      <c r="C11" s="1">
        <v>2016</v>
      </c>
      <c r="D11" s="1">
        <v>2017</v>
      </c>
      <c r="E11" s="1">
        <f>D11+1</f>
        <v>2018</v>
      </c>
      <c r="F11" s="1">
        <f t="shared" ref="F11:V11" si="0">E11+1</f>
        <v>2019</v>
      </c>
      <c r="G11" s="1">
        <f t="shared" si="0"/>
        <v>2020</v>
      </c>
      <c r="H11" s="1">
        <f t="shared" si="0"/>
        <v>2021</v>
      </c>
      <c r="I11" s="1">
        <f t="shared" si="0"/>
        <v>2022</v>
      </c>
      <c r="J11" s="1">
        <f t="shared" si="0"/>
        <v>2023</v>
      </c>
      <c r="K11" s="1">
        <f t="shared" si="0"/>
        <v>2024</v>
      </c>
      <c r="L11" s="1">
        <f t="shared" si="0"/>
        <v>2025</v>
      </c>
      <c r="M11" s="1">
        <f t="shared" si="0"/>
        <v>2026</v>
      </c>
      <c r="N11" s="1">
        <f t="shared" si="0"/>
        <v>2027</v>
      </c>
      <c r="O11" s="1">
        <f t="shared" si="0"/>
        <v>2028</v>
      </c>
      <c r="P11" s="1">
        <f t="shared" si="0"/>
        <v>2029</v>
      </c>
      <c r="Q11" s="1">
        <f t="shared" si="0"/>
        <v>2030</v>
      </c>
      <c r="R11" s="1">
        <f t="shared" si="0"/>
        <v>2031</v>
      </c>
      <c r="S11" s="1">
        <f t="shared" si="0"/>
        <v>2032</v>
      </c>
      <c r="T11" s="1">
        <f t="shared" si="0"/>
        <v>2033</v>
      </c>
      <c r="U11" s="1">
        <f t="shared" si="0"/>
        <v>2034</v>
      </c>
      <c r="V11" s="1">
        <f t="shared" si="0"/>
        <v>2035</v>
      </c>
    </row>
    <row r="12" spans="1:22" x14ac:dyDescent="0.15">
      <c r="A12" s="1" t="s">
        <v>58</v>
      </c>
      <c r="B12" s="5">
        <f>SUM(Reports!B3:E3)</f>
        <v>1994.0360000000001</v>
      </c>
      <c r="C12" s="5">
        <f>SUM(Reports!F3:I3)</f>
        <v>2248.0519999999997</v>
      </c>
      <c r="D12" s="17">
        <f>SUM(Reports!J3:M3)</f>
        <v>1993.6721000000002</v>
      </c>
      <c r="E12" s="17">
        <f>SUM(Reports!N3:Q3)</f>
        <v>2617.0320000000002</v>
      </c>
      <c r="F12" s="17">
        <f>SUM(Reports!R3:U3)</f>
        <v>2993.4659999999999</v>
      </c>
      <c r="G12" s="17"/>
      <c r="H12" s="17"/>
      <c r="I12" s="17"/>
    </row>
    <row r="13" spans="1:22" x14ac:dyDescent="0.15">
      <c r="A13" s="1" t="s">
        <v>59</v>
      </c>
      <c r="B13" s="5">
        <f>SUM(Reports!B4:E4)</f>
        <v>223.99600000000001</v>
      </c>
      <c r="C13" s="5">
        <f>SUM(Reports!F4:I4)</f>
        <v>281.56700000000001</v>
      </c>
      <c r="D13" s="17">
        <f>SUM(Reports!J4:M4)</f>
        <v>334.57662000000005</v>
      </c>
      <c r="E13" s="17">
        <f>SUM(Reports!N4:Q4)</f>
        <v>425.49099999999999</v>
      </c>
      <c r="F13" s="17">
        <f>SUM(Reports!R4:U4)</f>
        <v>465.42399999999998</v>
      </c>
      <c r="G13" s="17"/>
      <c r="H13" s="17"/>
      <c r="I13" s="17"/>
    </row>
    <row r="14" spans="1:22" x14ac:dyDescent="0.15">
      <c r="B14" s="5"/>
      <c r="C14" s="5"/>
      <c r="D14" s="17"/>
      <c r="E14" s="17"/>
      <c r="F14" s="17"/>
      <c r="G14" s="17"/>
      <c r="H14" s="17"/>
      <c r="I14" s="17"/>
    </row>
    <row r="15" spans="1:22" s="72" customFormat="1" x14ac:dyDescent="0.15">
      <c r="A15" s="72" t="s">
        <v>94</v>
      </c>
      <c r="B15" s="97"/>
      <c r="C15" s="97"/>
      <c r="F15" s="72">
        <f>AVERAGE(Reports!R6:U6)</f>
        <v>142.5</v>
      </c>
      <c r="G15" s="72">
        <f>F15*1.2</f>
        <v>171</v>
      </c>
      <c r="H15" s="72">
        <f t="shared" ref="H15:K15" si="1">G15*1.2</f>
        <v>205.2</v>
      </c>
      <c r="I15" s="72">
        <f t="shared" si="1"/>
        <v>246.23999999999998</v>
      </c>
      <c r="J15" s="72">
        <f t="shared" si="1"/>
        <v>295.48799999999994</v>
      </c>
      <c r="K15" s="72">
        <f t="shared" si="1"/>
        <v>354.58559999999994</v>
      </c>
    </row>
    <row r="16" spans="1:22" s="72" customFormat="1" x14ac:dyDescent="0.15">
      <c r="A16" s="72" t="s">
        <v>60</v>
      </c>
      <c r="B16" s="97">
        <f>Reports!E7</f>
        <v>305</v>
      </c>
      <c r="C16" s="97">
        <f>Reports!I7</f>
        <v>318</v>
      </c>
      <c r="D16" s="72">
        <f>Reports!M7</f>
        <v>330</v>
      </c>
      <c r="E16" s="72">
        <f>Reports!Q7</f>
        <v>321</v>
      </c>
      <c r="F16" s="72">
        <f>Reports!R7</f>
        <v>330</v>
      </c>
    </row>
    <row r="17" spans="1:122" x14ac:dyDescent="0.15">
      <c r="A17" s="1" t="s">
        <v>77</v>
      </c>
      <c r="B17" s="11">
        <f>SUM(B12:B13)/B16</f>
        <v>7.2722360655737708</v>
      </c>
      <c r="C17" s="11">
        <f>SUM(C12:C13)/C16</f>
        <v>7.9547767295597476</v>
      </c>
      <c r="D17" s="11">
        <f>SUM(D12:D13)/D16</f>
        <v>7.0552991515151531</v>
      </c>
      <c r="E17" s="11">
        <f>SUM(E12:E13)/E16</f>
        <v>9.4782647975077889</v>
      </c>
      <c r="F17" s="11">
        <f>SUM(F12:F13)/F15</f>
        <v>24.272912280701753</v>
      </c>
      <c r="G17" s="58">
        <f>F17*0.95</f>
        <v>23.059266666666666</v>
      </c>
      <c r="H17" s="58">
        <f>G17*0.95</f>
        <v>21.90630333333333</v>
      </c>
      <c r="I17" s="58">
        <f t="shared" ref="I17:K17" si="2">H17*0.95</f>
        <v>20.810988166666661</v>
      </c>
      <c r="J17" s="58">
        <f t="shared" si="2"/>
        <v>19.770438758333327</v>
      </c>
      <c r="K17" s="58">
        <f t="shared" si="2"/>
        <v>18.781916820416662</v>
      </c>
    </row>
    <row r="19" spans="1:122" x14ac:dyDescent="0.15">
      <c r="A19" s="16" t="s">
        <v>4</v>
      </c>
      <c r="B19" s="23">
        <f>B16*B17</f>
        <v>2218.0320000000002</v>
      </c>
      <c r="C19" s="23">
        <f>C16*C17</f>
        <v>2529.6189999999997</v>
      </c>
      <c r="D19" s="23">
        <f>D16*D17</f>
        <v>2328.2487200000005</v>
      </c>
      <c r="E19" s="23">
        <f>E16*E17</f>
        <v>3042.5230000000001</v>
      </c>
      <c r="F19" s="23">
        <f>F15*F17</f>
        <v>3458.89</v>
      </c>
      <c r="G19" s="18">
        <f>G17*G15</f>
        <v>3943.1345999999999</v>
      </c>
      <c r="H19" s="18">
        <f t="shared" ref="H19:K19" si="3">H17*H15</f>
        <v>4495.1734439999991</v>
      </c>
      <c r="I19" s="18">
        <f t="shared" si="3"/>
        <v>5124.4977261599979</v>
      </c>
      <c r="J19" s="18">
        <f t="shared" si="3"/>
        <v>5841.9274078223971</v>
      </c>
      <c r="K19" s="18">
        <f t="shared" si="3"/>
        <v>6659.7972449175331</v>
      </c>
      <c r="L19" s="18">
        <f t="shared" ref="L19:U19" si="4">K19*1.05</f>
        <v>6992.7871071634099</v>
      </c>
      <c r="M19" s="18">
        <f t="shared" si="4"/>
        <v>7342.426462521581</v>
      </c>
      <c r="N19" s="18">
        <f t="shared" si="4"/>
        <v>7709.54778564766</v>
      </c>
      <c r="O19" s="18">
        <f t="shared" si="4"/>
        <v>8095.0251749300432</v>
      </c>
      <c r="P19" s="18">
        <f t="shared" si="4"/>
        <v>8499.7764336765449</v>
      </c>
      <c r="Q19" s="18">
        <f t="shared" si="4"/>
        <v>8924.765255360373</v>
      </c>
      <c r="R19" s="18">
        <f t="shared" si="4"/>
        <v>9371.0035181283929</v>
      </c>
      <c r="S19" s="18">
        <f t="shared" si="4"/>
        <v>9839.5536940348138</v>
      </c>
      <c r="T19" s="18">
        <f t="shared" si="4"/>
        <v>10331.531378736556</v>
      </c>
      <c r="U19" s="18">
        <f t="shared" si="4"/>
        <v>10848.107947673385</v>
      </c>
      <c r="V19" s="18"/>
    </row>
    <row r="20" spans="1:122" x14ac:dyDescent="0.15">
      <c r="A20" s="1" t="s">
        <v>5</v>
      </c>
      <c r="B20" s="5">
        <f>SUM(Reports!B11:E11)</f>
        <v>729.25599999999997</v>
      </c>
      <c r="C20" s="5">
        <f>SUM(Reports!F11:I11)</f>
        <v>932.24</v>
      </c>
      <c r="D20" s="17">
        <f>SUM(Reports!J11:M11)</f>
        <v>862.8519737438711</v>
      </c>
      <c r="E20" s="17">
        <f>SUM(Reports!N11:Q11)</f>
        <v>964.99700000000007</v>
      </c>
      <c r="F20" s="17">
        <f>SUM(Reports!R11:U11)</f>
        <v>1137.008</v>
      </c>
      <c r="G20" s="5">
        <f t="shared" ref="G20:H20" si="5">G19-G21</f>
        <v>1296.1891200000005</v>
      </c>
      <c r="H20" s="5">
        <f t="shared" si="5"/>
        <v>1477.6555968000002</v>
      </c>
      <c r="I20" s="5">
        <f t="shared" ref="I20:Q20" si="6">I19-I21</f>
        <v>1684.5273803519999</v>
      </c>
      <c r="J20" s="5">
        <f t="shared" si="6"/>
        <v>1920.3612136012798</v>
      </c>
      <c r="K20" s="5">
        <f t="shared" si="6"/>
        <v>2189.2117835054587</v>
      </c>
      <c r="L20" s="5">
        <f t="shared" si="6"/>
        <v>2298.6723726807322</v>
      </c>
      <c r="M20" s="5">
        <f t="shared" si="6"/>
        <v>2413.6059913147683</v>
      </c>
      <c r="N20" s="5">
        <f t="shared" si="6"/>
        <v>2534.2862908805073</v>
      </c>
      <c r="O20" s="5">
        <f t="shared" si="6"/>
        <v>2661.0006054245323</v>
      </c>
      <c r="P20" s="5">
        <f t="shared" si="6"/>
        <v>2794.0506356957594</v>
      </c>
      <c r="Q20" s="5">
        <f t="shared" si="6"/>
        <v>2933.7531674805468</v>
      </c>
      <c r="R20" s="5">
        <f t="shared" ref="R20:U20" si="7">R19-R21</f>
        <v>3080.4408258545755</v>
      </c>
      <c r="S20" s="5">
        <f t="shared" si="7"/>
        <v>3234.4628671473038</v>
      </c>
      <c r="T20" s="5">
        <f t="shared" si="7"/>
        <v>3396.1860105046699</v>
      </c>
      <c r="U20" s="5">
        <f t="shared" si="7"/>
        <v>3565.9953110299039</v>
      </c>
      <c r="V20" s="5"/>
    </row>
    <row r="21" spans="1:122" x14ac:dyDescent="0.15">
      <c r="A21" s="1" t="s">
        <v>6</v>
      </c>
      <c r="B21" s="7">
        <f>B19-B20</f>
        <v>1488.7760000000003</v>
      </c>
      <c r="C21" s="7">
        <f>C19-C20</f>
        <v>1597.3789999999997</v>
      </c>
      <c r="D21" s="7">
        <f>D19-D20</f>
        <v>1465.3967462561295</v>
      </c>
      <c r="E21" s="7">
        <f>E19-E20</f>
        <v>2077.5259999999998</v>
      </c>
      <c r="F21" s="7">
        <f>F19-F20</f>
        <v>2321.8819999999996</v>
      </c>
      <c r="G21" s="5">
        <f t="shared" ref="G21:U21" si="8">G19*F34</f>
        <v>2646.9454799999994</v>
      </c>
      <c r="H21" s="5">
        <f t="shared" si="8"/>
        <v>3017.5178471999989</v>
      </c>
      <c r="I21" s="5">
        <f t="shared" si="8"/>
        <v>3439.970345807998</v>
      </c>
      <c r="J21" s="5">
        <f t="shared" si="8"/>
        <v>3921.5661942211173</v>
      </c>
      <c r="K21" s="5">
        <f t="shared" si="8"/>
        <v>4470.5854614120744</v>
      </c>
      <c r="L21" s="5">
        <f t="shared" si="8"/>
        <v>4694.1147344826777</v>
      </c>
      <c r="M21" s="5">
        <f t="shared" si="8"/>
        <v>4928.8204712068127</v>
      </c>
      <c r="N21" s="5">
        <f t="shared" si="8"/>
        <v>5175.2614947671527</v>
      </c>
      <c r="O21" s="5">
        <f t="shared" si="8"/>
        <v>5434.024569505511</v>
      </c>
      <c r="P21" s="5">
        <f t="shared" si="8"/>
        <v>5705.7257979807855</v>
      </c>
      <c r="Q21" s="5">
        <f t="shared" si="8"/>
        <v>5991.0120878798261</v>
      </c>
      <c r="R21" s="5">
        <f t="shared" si="8"/>
        <v>6290.5626922738174</v>
      </c>
      <c r="S21" s="5">
        <f t="shared" si="8"/>
        <v>6605.09082688751</v>
      </c>
      <c r="T21" s="5">
        <f t="shared" si="8"/>
        <v>6935.3453682318859</v>
      </c>
      <c r="U21" s="5">
        <f t="shared" si="8"/>
        <v>7282.112636643481</v>
      </c>
      <c r="V21" s="5"/>
    </row>
    <row r="22" spans="1:122" x14ac:dyDescent="0.15">
      <c r="A22" s="1" t="s">
        <v>7</v>
      </c>
      <c r="B22" s="5">
        <f>SUM(Reports!B13:E13)</f>
        <v>806.64800000000002</v>
      </c>
      <c r="C22" s="5">
        <f>SUM(Reports!F13:I13)</f>
        <v>713.48199999999997</v>
      </c>
      <c r="D22" s="17">
        <f>SUM(Reports!J13:M13)</f>
        <v>550.93475000000001</v>
      </c>
      <c r="E22" s="17">
        <f>SUM(Reports!N13:Q13)</f>
        <v>553.85800000000006</v>
      </c>
      <c r="F22" s="17">
        <f>SUM(Reports!R13:U13)</f>
        <v>682</v>
      </c>
      <c r="G22" s="5">
        <f>F22*1.15</f>
        <v>784.3</v>
      </c>
      <c r="H22" s="5">
        <f t="shared" ref="H22:K22" si="9">G22*1.15</f>
        <v>901.94499999999982</v>
      </c>
      <c r="I22" s="5">
        <f t="shared" si="9"/>
        <v>1037.2367499999998</v>
      </c>
      <c r="J22" s="5">
        <f t="shared" si="9"/>
        <v>1192.8222624999996</v>
      </c>
      <c r="K22" s="5">
        <f t="shared" ref="K22" si="10">J22*1.15</f>
        <v>1371.7456018749995</v>
      </c>
      <c r="L22" s="5">
        <f>K22*1.05</f>
        <v>1440.3328819687495</v>
      </c>
      <c r="M22" s="5">
        <f t="shared" ref="M22:U22" si="11">L22*1.05</f>
        <v>1512.3495260671871</v>
      </c>
      <c r="N22" s="5">
        <f t="shared" si="11"/>
        <v>1587.9670023705464</v>
      </c>
      <c r="O22" s="5">
        <f t="shared" si="11"/>
        <v>1667.3653524890738</v>
      </c>
      <c r="P22" s="5">
        <f t="shared" si="11"/>
        <v>1750.7336201135274</v>
      </c>
      <c r="Q22" s="5">
        <f t="shared" si="11"/>
        <v>1838.2703011192039</v>
      </c>
      <c r="R22" s="5">
        <f t="shared" si="11"/>
        <v>1930.1838161751641</v>
      </c>
      <c r="S22" s="5">
        <f t="shared" si="11"/>
        <v>2026.6930069839225</v>
      </c>
      <c r="T22" s="5">
        <f t="shared" si="11"/>
        <v>2128.0276573331189</v>
      </c>
      <c r="U22" s="5">
        <f t="shared" si="11"/>
        <v>2234.429040199775</v>
      </c>
      <c r="V22" s="5"/>
    </row>
    <row r="23" spans="1:122" x14ac:dyDescent="0.15">
      <c r="A23" s="1" t="s">
        <v>8</v>
      </c>
      <c r="B23" s="5">
        <f>SUM(Reports!B14:E14)</f>
        <v>871.49099999999999</v>
      </c>
      <c r="C23" s="5">
        <f>SUM(Reports!F14:I14)</f>
        <v>957.82899999999995</v>
      </c>
      <c r="D23" s="17">
        <f>SUM(Reports!J14:M14)</f>
        <v>709.45184999999992</v>
      </c>
      <c r="E23" s="17">
        <f>SUM(Reports!N14:Q14)</f>
        <v>771.36099999999999</v>
      </c>
      <c r="F23" s="17">
        <f>SUM(Reports!R14:U14)</f>
        <v>914</v>
      </c>
      <c r="G23" s="5">
        <f t="shared" ref="G23:K23" si="12">F23*1.1</f>
        <v>1005.4000000000001</v>
      </c>
      <c r="H23" s="5">
        <f t="shared" si="12"/>
        <v>1105.9400000000003</v>
      </c>
      <c r="I23" s="5">
        <f t="shared" si="12"/>
        <v>1216.5340000000003</v>
      </c>
      <c r="J23" s="5">
        <f t="shared" si="12"/>
        <v>1338.1874000000005</v>
      </c>
      <c r="K23" s="5">
        <f t="shared" si="12"/>
        <v>1472.0061400000006</v>
      </c>
      <c r="L23" s="5">
        <f t="shared" ref="K23:U23" si="13">K23*0.98</f>
        <v>1442.5660172000007</v>
      </c>
      <c r="M23" s="5">
        <f t="shared" si="13"/>
        <v>1413.7146968560007</v>
      </c>
      <c r="N23" s="5">
        <f t="shared" si="13"/>
        <v>1385.4404029188806</v>
      </c>
      <c r="O23" s="5">
        <f t="shared" si="13"/>
        <v>1357.731594860503</v>
      </c>
      <c r="P23" s="5">
        <f t="shared" si="13"/>
        <v>1330.576962963293</v>
      </c>
      <c r="Q23" s="5">
        <f t="shared" si="13"/>
        <v>1303.9654237040272</v>
      </c>
      <c r="R23" s="5">
        <f t="shared" si="13"/>
        <v>1277.8861152299467</v>
      </c>
      <c r="S23" s="5">
        <f t="shared" si="13"/>
        <v>1252.3283929253478</v>
      </c>
      <c r="T23" s="5">
        <f t="shared" si="13"/>
        <v>1227.2818250668408</v>
      </c>
      <c r="U23" s="5">
        <f t="shared" si="13"/>
        <v>1202.7361885655041</v>
      </c>
      <c r="V23" s="5"/>
    </row>
    <row r="24" spans="1:122" x14ac:dyDescent="0.15">
      <c r="A24" s="1" t="s">
        <v>9</v>
      </c>
      <c r="B24" s="5">
        <f>SUM(Reports!B15:E15)</f>
        <v>260.673</v>
      </c>
      <c r="C24" s="5">
        <f>SUM(Reports!F15:I15)</f>
        <v>293.27600000000001</v>
      </c>
      <c r="D24" s="17">
        <f>SUM(Reports!J15:M15)</f>
        <v>273.56560000000002</v>
      </c>
      <c r="E24" s="17">
        <f>SUM(Reports!N15:Q15)</f>
        <v>298.81799999999998</v>
      </c>
      <c r="F24" s="17">
        <f>SUM(Reports!R15:U15)</f>
        <v>360</v>
      </c>
      <c r="G24" s="5">
        <f>F24*1.05</f>
        <v>378</v>
      </c>
      <c r="H24" s="5">
        <f t="shared" ref="H24:K24" si="14">G24*1.05</f>
        <v>396.90000000000003</v>
      </c>
      <c r="I24" s="5">
        <f t="shared" si="14"/>
        <v>416.74500000000006</v>
      </c>
      <c r="J24" s="5">
        <f t="shared" si="14"/>
        <v>437.5822500000001</v>
      </c>
      <c r="K24" s="5">
        <f t="shared" ref="K24" si="15">J24*1.05</f>
        <v>459.46136250000012</v>
      </c>
      <c r="L24" s="5">
        <f t="shared" ref="L24:U24" si="16">K24*0.98</f>
        <v>450.27213525000013</v>
      </c>
      <c r="M24" s="5">
        <f t="shared" si="16"/>
        <v>441.26669254500013</v>
      </c>
      <c r="N24" s="5">
        <f t="shared" si="16"/>
        <v>432.44135869410013</v>
      </c>
      <c r="O24" s="5">
        <f t="shared" si="16"/>
        <v>423.79253152021812</v>
      </c>
      <c r="P24" s="5">
        <f t="shared" si="16"/>
        <v>415.31668088981377</v>
      </c>
      <c r="Q24" s="5">
        <f t="shared" si="16"/>
        <v>407.0103472720175</v>
      </c>
      <c r="R24" s="5">
        <f t="shared" si="16"/>
        <v>398.87014032657714</v>
      </c>
      <c r="S24" s="5">
        <f t="shared" si="16"/>
        <v>390.89273752004561</v>
      </c>
      <c r="T24" s="5">
        <f t="shared" si="16"/>
        <v>383.07488276964472</v>
      </c>
      <c r="U24" s="5">
        <f t="shared" si="16"/>
        <v>375.41338511425181</v>
      </c>
      <c r="V24" s="5"/>
    </row>
    <row r="25" spans="1:122" x14ac:dyDescent="0.15">
      <c r="A25" s="1" t="s">
        <v>10</v>
      </c>
      <c r="B25" s="7">
        <f>SUM(B22:B24)</f>
        <v>1938.8120000000001</v>
      </c>
      <c r="C25" s="7">
        <f>SUM(C22:C24)</f>
        <v>1964.587</v>
      </c>
      <c r="D25" s="7">
        <f>SUM(D22:D24)</f>
        <v>1533.9521999999997</v>
      </c>
      <c r="E25" s="7">
        <f>SUM(E22:E24)</f>
        <v>1624.037</v>
      </c>
      <c r="F25" s="7">
        <f>SUM(F22:F24)</f>
        <v>1956</v>
      </c>
      <c r="G25" s="5">
        <f t="shared" ref="G25:H25" si="17">SUM(G22:G24)</f>
        <v>2167.6999999999998</v>
      </c>
      <c r="H25" s="5">
        <f t="shared" si="17"/>
        <v>2404.7850000000003</v>
      </c>
      <c r="I25" s="5">
        <f t="shared" ref="I25:Q25" si="18">SUM(I22:I24)</f>
        <v>2670.51575</v>
      </c>
      <c r="J25" s="5">
        <f t="shared" si="18"/>
        <v>2968.5919125</v>
      </c>
      <c r="K25" s="5">
        <f t="shared" si="18"/>
        <v>3303.2131043750005</v>
      </c>
      <c r="L25" s="5">
        <f t="shared" si="18"/>
        <v>3333.1710344187504</v>
      </c>
      <c r="M25" s="5">
        <f t="shared" si="18"/>
        <v>3367.3309154681883</v>
      </c>
      <c r="N25" s="5">
        <f t="shared" si="18"/>
        <v>3405.8487639835271</v>
      </c>
      <c r="O25" s="5">
        <f t="shared" si="18"/>
        <v>3448.8894788697953</v>
      </c>
      <c r="P25" s="5">
        <f t="shared" si="18"/>
        <v>3496.627263966634</v>
      </c>
      <c r="Q25" s="5">
        <f t="shared" si="18"/>
        <v>3549.2460720952486</v>
      </c>
      <c r="R25" s="5">
        <f t="shared" ref="R25:U25" si="19">SUM(R22:R24)</f>
        <v>3606.940071731688</v>
      </c>
      <c r="S25" s="5">
        <f t="shared" si="19"/>
        <v>3669.9141374293158</v>
      </c>
      <c r="T25" s="5">
        <f t="shared" si="19"/>
        <v>3738.3843651696047</v>
      </c>
      <c r="U25" s="5">
        <f t="shared" si="19"/>
        <v>3812.5786138795311</v>
      </c>
      <c r="V25" s="5"/>
    </row>
    <row r="26" spans="1:122" x14ac:dyDescent="0.15">
      <c r="A26" s="1" t="s">
        <v>11</v>
      </c>
      <c r="B26" s="7">
        <f>B21-B25</f>
        <v>-450.03599999999983</v>
      </c>
      <c r="C26" s="7">
        <f>C21-C25</f>
        <v>-367.20800000000031</v>
      </c>
      <c r="D26" s="7">
        <f>D21-D25</f>
        <v>-68.555453743870203</v>
      </c>
      <c r="E26" s="7">
        <f>E21-E25</f>
        <v>453.48899999999981</v>
      </c>
      <c r="F26" s="7">
        <f>F21-F25</f>
        <v>365.88199999999961</v>
      </c>
      <c r="G26" s="5">
        <f t="shared" ref="G26:H26" si="20">G21-G25</f>
        <v>479.24547999999959</v>
      </c>
      <c r="H26" s="5">
        <f t="shared" si="20"/>
        <v>612.73284719999856</v>
      </c>
      <c r="I26" s="5">
        <f t="shared" ref="I26:Q26" si="21">I21-I25</f>
        <v>769.45459580799798</v>
      </c>
      <c r="J26" s="5">
        <f t="shared" si="21"/>
        <v>952.97428172111722</v>
      </c>
      <c r="K26" s="5">
        <f t="shared" si="21"/>
        <v>1167.3723570370739</v>
      </c>
      <c r="L26" s="5">
        <f t="shared" si="21"/>
        <v>1360.9437000639273</v>
      </c>
      <c r="M26" s="5">
        <f t="shared" si="21"/>
        <v>1561.4895557386244</v>
      </c>
      <c r="N26" s="5">
        <f t="shared" si="21"/>
        <v>1769.4127307836256</v>
      </c>
      <c r="O26" s="5">
        <f t="shared" si="21"/>
        <v>1985.1350906357156</v>
      </c>
      <c r="P26" s="5">
        <f t="shared" si="21"/>
        <v>2209.0985340141515</v>
      </c>
      <c r="Q26" s="5">
        <f t="shared" si="21"/>
        <v>2441.7660157845776</v>
      </c>
      <c r="R26" s="5">
        <f t="shared" ref="R26:U26" si="22">R21-R25</f>
        <v>2683.6226205421294</v>
      </c>
      <c r="S26" s="5">
        <f t="shared" si="22"/>
        <v>2935.1766894581942</v>
      </c>
      <c r="T26" s="5">
        <f t="shared" si="22"/>
        <v>3196.9610030622812</v>
      </c>
      <c r="U26" s="5">
        <f t="shared" si="22"/>
        <v>3469.5340227639499</v>
      </c>
      <c r="V26" s="5"/>
    </row>
    <row r="27" spans="1:122" x14ac:dyDescent="0.15">
      <c r="A27" s="1" t="s">
        <v>12</v>
      </c>
      <c r="B27" s="5">
        <f>SUM(Reports!B18:E18)</f>
        <v>-83.269000000000005</v>
      </c>
      <c r="C27" s="5">
        <f>SUM(Reports!F18:I18)</f>
        <v>-73.626000000000005</v>
      </c>
      <c r="D27" s="17">
        <f>SUM(Reports!J18:M18)</f>
        <v>-142.91920000000002</v>
      </c>
      <c r="E27" s="17">
        <f>SUM(Reports!N18:Q18)</f>
        <v>-29.781000000000002</v>
      </c>
      <c r="F27" s="17">
        <f>SUM(Reports!R18:U18)</f>
        <v>26</v>
      </c>
      <c r="G27" s="5">
        <f t="shared" ref="G27:U27" si="23">F44*$F$3</f>
        <v>82.600000000000009</v>
      </c>
      <c r="H27" s="5">
        <f t="shared" si="23"/>
        <v>92.151373160000006</v>
      </c>
      <c r="I27" s="5">
        <f t="shared" si="23"/>
        <v>104.13440490611998</v>
      </c>
      <c r="J27" s="5">
        <f t="shared" si="23"/>
        <v>118.98541791826</v>
      </c>
      <c r="K27" s="5">
        <f t="shared" si="23"/>
        <v>137.2087328121294</v>
      </c>
      <c r="L27" s="5">
        <f t="shared" si="23"/>
        <v>159.38661133956586</v>
      </c>
      <c r="M27" s="5">
        <f t="shared" si="23"/>
        <v>185.23222663342523</v>
      </c>
      <c r="N27" s="5">
        <f t="shared" si="23"/>
        <v>214.92649693375009</v>
      </c>
      <c r="O27" s="5">
        <f t="shared" si="23"/>
        <v>248.66026380494552</v>
      </c>
      <c r="P27" s="5">
        <f t="shared" si="23"/>
        <v>286.63478483043673</v>
      </c>
      <c r="Q27" s="5">
        <f t="shared" si="23"/>
        <v>329.06225125079476</v>
      </c>
      <c r="R27" s="5">
        <f t="shared" si="23"/>
        <v>376.1663317903961</v>
      </c>
      <c r="S27" s="5">
        <f t="shared" si="23"/>
        <v>428.182743980049</v>
      </c>
      <c r="T27" s="5">
        <f t="shared" si="23"/>
        <v>485.35985434849914</v>
      </c>
      <c r="U27" s="5">
        <f t="shared" si="23"/>
        <v>547.95930892448246</v>
      </c>
      <c r="V27" s="5"/>
    </row>
    <row r="28" spans="1:122" x14ac:dyDescent="0.15">
      <c r="A28" s="1" t="s">
        <v>13</v>
      </c>
      <c r="B28" s="7">
        <f>SUM(Reports!B19:E19)</f>
        <v>-533.30499999999995</v>
      </c>
      <c r="C28" s="7">
        <f>C26+C27</f>
        <v>-440.83400000000029</v>
      </c>
      <c r="D28" s="7">
        <f>D26+D27</f>
        <v>-211.47465374387022</v>
      </c>
      <c r="E28" s="7">
        <f>E26+E27</f>
        <v>423.7079999999998</v>
      </c>
      <c r="F28" s="7">
        <f>F26+F27</f>
        <v>391.88199999999961</v>
      </c>
      <c r="G28" s="5">
        <f t="shared" ref="G28:H28" si="24">G26+G27</f>
        <v>561.84547999999961</v>
      </c>
      <c r="H28" s="5">
        <f t="shared" si="24"/>
        <v>704.88422035999861</v>
      </c>
      <c r="I28" s="5">
        <f t="shared" ref="I28:Q28" si="25">I26+I27</f>
        <v>873.5890007141179</v>
      </c>
      <c r="J28" s="5">
        <f t="shared" si="25"/>
        <v>1071.9596996393773</v>
      </c>
      <c r="K28" s="5">
        <f t="shared" si="25"/>
        <v>1304.5810898492034</v>
      </c>
      <c r="L28" s="5">
        <f t="shared" si="25"/>
        <v>1520.3303114034932</v>
      </c>
      <c r="M28" s="5">
        <f t="shared" si="25"/>
        <v>1746.7217823720496</v>
      </c>
      <c r="N28" s="5">
        <f t="shared" si="25"/>
        <v>1984.3392277173757</v>
      </c>
      <c r="O28" s="5">
        <f t="shared" si="25"/>
        <v>2233.795354440661</v>
      </c>
      <c r="P28" s="5">
        <f t="shared" si="25"/>
        <v>2495.7333188445882</v>
      </c>
      <c r="Q28" s="5">
        <f t="shared" si="25"/>
        <v>2770.8282670353724</v>
      </c>
      <c r="R28" s="5">
        <f t="shared" ref="R28:U28" si="26">R26+R27</f>
        <v>3059.7889523325257</v>
      </c>
      <c r="S28" s="5">
        <f t="shared" si="26"/>
        <v>3363.3594334382433</v>
      </c>
      <c r="T28" s="5">
        <f t="shared" si="26"/>
        <v>3682.3208574107803</v>
      </c>
      <c r="U28" s="5">
        <f t="shared" si="26"/>
        <v>4017.4933316884326</v>
      </c>
      <c r="V28" s="5"/>
    </row>
    <row r="29" spans="1:122" x14ac:dyDescent="0.15">
      <c r="A29" s="1" t="s">
        <v>14</v>
      </c>
      <c r="B29" s="5">
        <f>SUM(Reports!B20:E20)</f>
        <v>-12.273999999999999</v>
      </c>
      <c r="C29" s="5">
        <f>SUM(Reports!F20:I20)</f>
        <v>16.039000000000001</v>
      </c>
      <c r="D29" s="17">
        <f>SUM(Reports!J20:M20)</f>
        <v>14.745925671276988</v>
      </c>
      <c r="E29" s="5">
        <f>SUM(Reports!N20:Q20)</f>
        <v>-782.05200000000002</v>
      </c>
      <c r="F29" s="17">
        <f>SUM(Reports!R20:U20)</f>
        <v>-1076</v>
      </c>
      <c r="G29" s="5">
        <f t="shared" ref="G29:Q29" si="27">G28*0.15</f>
        <v>84.276821999999939</v>
      </c>
      <c r="H29" s="5">
        <f t="shared" si="27"/>
        <v>105.73263305399979</v>
      </c>
      <c r="I29" s="5">
        <f t="shared" si="27"/>
        <v>131.03835010711768</v>
      </c>
      <c r="J29" s="5">
        <f t="shared" si="27"/>
        <v>160.79395494590659</v>
      </c>
      <c r="K29" s="5">
        <f t="shared" si="27"/>
        <v>195.68716347738049</v>
      </c>
      <c r="L29" s="5">
        <f t="shared" si="27"/>
        <v>228.04954671052397</v>
      </c>
      <c r="M29" s="5">
        <f t="shared" si="27"/>
        <v>262.00826735580745</v>
      </c>
      <c r="N29" s="5">
        <f t="shared" si="27"/>
        <v>297.65088415760636</v>
      </c>
      <c r="O29" s="5">
        <f t="shared" si="27"/>
        <v>335.06930316609913</v>
      </c>
      <c r="P29" s="5">
        <f t="shared" si="27"/>
        <v>374.35999782668824</v>
      </c>
      <c r="Q29" s="5">
        <f t="shared" si="27"/>
        <v>415.62424005530585</v>
      </c>
      <c r="R29" s="5">
        <f t="shared" ref="R29:U29" si="28">R28*0.15</f>
        <v>458.96834284987887</v>
      </c>
      <c r="S29" s="5">
        <f t="shared" si="28"/>
        <v>504.50391501573648</v>
      </c>
      <c r="T29" s="5">
        <f t="shared" si="28"/>
        <v>552.34812861161697</v>
      </c>
      <c r="U29" s="5">
        <f t="shared" si="28"/>
        <v>602.62399975326491</v>
      </c>
      <c r="V29" s="5"/>
    </row>
    <row r="30" spans="1:122" s="16" customFormat="1" x14ac:dyDescent="0.15">
      <c r="A30" s="16" t="s">
        <v>15</v>
      </c>
      <c r="B30" s="23">
        <f>B28-B29</f>
        <v>-521.03099999999995</v>
      </c>
      <c r="C30" s="23">
        <f>C28-C29</f>
        <v>-456.87300000000027</v>
      </c>
      <c r="D30" s="23">
        <f>D28-D29</f>
        <v>-226.2205794151472</v>
      </c>
      <c r="E30" s="23">
        <f>E28-E29</f>
        <v>1205.7599999999998</v>
      </c>
      <c r="F30" s="23">
        <f t="shared" ref="F30:H30" si="29">F28-F29</f>
        <v>1467.8819999999996</v>
      </c>
      <c r="G30" s="23">
        <f t="shared" si="29"/>
        <v>477.56865799999969</v>
      </c>
      <c r="H30" s="23">
        <f t="shared" si="29"/>
        <v>599.15158730599887</v>
      </c>
      <c r="I30" s="23">
        <f t="shared" ref="I30" si="30">I28-I29</f>
        <v>742.55065060700019</v>
      </c>
      <c r="J30" s="23">
        <f t="shared" ref="J30" si="31">J28-J29</f>
        <v>911.16574469347074</v>
      </c>
      <c r="K30" s="23">
        <f t="shared" ref="K30" si="32">K28-K29</f>
        <v>1108.893926371823</v>
      </c>
      <c r="L30" s="23">
        <f t="shared" ref="L30" si="33">L28-L29</f>
        <v>1292.2807646929691</v>
      </c>
      <c r="M30" s="23">
        <f t="shared" ref="M30" si="34">M28-M29</f>
        <v>1484.7135150162421</v>
      </c>
      <c r="N30" s="23">
        <f t="shared" ref="N30" si="35">N28-N29</f>
        <v>1686.6883435597692</v>
      </c>
      <c r="O30" s="23">
        <f t="shared" ref="O30" si="36">O28-O29</f>
        <v>1898.7260512745618</v>
      </c>
      <c r="P30" s="23">
        <f t="shared" ref="P30" si="37">P28-P29</f>
        <v>2121.3733210178998</v>
      </c>
      <c r="Q30" s="23">
        <f t="shared" ref="Q30:R30" si="38">Q28-Q29</f>
        <v>2355.2040269800664</v>
      </c>
      <c r="R30" s="23">
        <f t="shared" si="38"/>
        <v>2600.8206094826469</v>
      </c>
      <c r="S30" s="23">
        <f t="shared" ref="S30:U30" si="39">S28-S29</f>
        <v>2858.855518422507</v>
      </c>
      <c r="T30" s="23">
        <f t="shared" si="39"/>
        <v>3129.9727287991632</v>
      </c>
      <c r="U30" s="23">
        <f t="shared" si="39"/>
        <v>3414.8693319351678</v>
      </c>
      <c r="V30" s="23">
        <f t="shared" ref="V30:CD30" si="40">U30*($F$2+1)</f>
        <v>3346.5719452964645</v>
      </c>
      <c r="W30" s="23">
        <f t="shared" si="40"/>
        <v>3279.6405063905349</v>
      </c>
      <c r="X30" s="23">
        <f t="shared" si="40"/>
        <v>3214.047696262724</v>
      </c>
      <c r="Y30" s="23">
        <f t="shared" si="40"/>
        <v>3149.7667423374696</v>
      </c>
      <c r="Z30" s="23">
        <f t="shared" si="40"/>
        <v>3086.7714074907203</v>
      </c>
      <c r="AA30" s="23">
        <f t="shared" si="40"/>
        <v>3025.0359793409057</v>
      </c>
      <c r="AB30" s="23">
        <f t="shared" si="40"/>
        <v>2964.5352597540873</v>
      </c>
      <c r="AC30" s="23">
        <f t="shared" si="40"/>
        <v>2905.2445545590053</v>
      </c>
      <c r="AD30" s="23">
        <f t="shared" si="40"/>
        <v>2847.1396634678254</v>
      </c>
      <c r="AE30" s="23">
        <f t="shared" si="40"/>
        <v>2790.1968701984688</v>
      </c>
      <c r="AF30" s="23">
        <f t="shared" si="40"/>
        <v>2734.3929327944993</v>
      </c>
      <c r="AG30" s="23">
        <f t="shared" si="40"/>
        <v>2679.7050741386092</v>
      </c>
      <c r="AH30" s="23">
        <f t="shared" si="40"/>
        <v>2626.110972655837</v>
      </c>
      <c r="AI30" s="23">
        <f t="shared" si="40"/>
        <v>2573.5887532027205</v>
      </c>
      <c r="AJ30" s="23">
        <f t="shared" si="40"/>
        <v>2522.1169781386661</v>
      </c>
      <c r="AK30" s="23">
        <f t="shared" si="40"/>
        <v>2471.6746385758929</v>
      </c>
      <c r="AL30" s="23">
        <f t="shared" si="40"/>
        <v>2422.2411458043748</v>
      </c>
      <c r="AM30" s="23">
        <f t="shared" si="40"/>
        <v>2373.7963228882872</v>
      </c>
      <c r="AN30" s="23">
        <f t="shared" si="40"/>
        <v>2326.3203964305217</v>
      </c>
      <c r="AO30" s="23">
        <f t="shared" si="40"/>
        <v>2279.7939885019114</v>
      </c>
      <c r="AP30" s="23">
        <f t="shared" si="40"/>
        <v>2234.1981087318732</v>
      </c>
      <c r="AQ30" s="23">
        <f t="shared" si="40"/>
        <v>2189.5141465572356</v>
      </c>
      <c r="AR30" s="23">
        <f t="shared" si="40"/>
        <v>2145.7238636260909</v>
      </c>
      <c r="AS30" s="23">
        <f t="shared" si="40"/>
        <v>2102.8093863535692</v>
      </c>
      <c r="AT30" s="23">
        <f t="shared" si="40"/>
        <v>2060.7531986264976</v>
      </c>
      <c r="AU30" s="23">
        <f t="shared" si="40"/>
        <v>2019.5381346539675</v>
      </c>
      <c r="AV30" s="23">
        <f t="shared" si="40"/>
        <v>1979.1473719608882</v>
      </c>
      <c r="AW30" s="23">
        <f t="shared" si="40"/>
        <v>1939.5644245216704</v>
      </c>
      <c r="AX30" s="23">
        <f t="shared" si="40"/>
        <v>1900.7731360312368</v>
      </c>
      <c r="AY30" s="23">
        <f t="shared" si="40"/>
        <v>1862.7576733106121</v>
      </c>
      <c r="AZ30" s="23">
        <f t="shared" si="40"/>
        <v>1825.5025198443998</v>
      </c>
      <c r="BA30" s="23">
        <f t="shared" si="40"/>
        <v>1788.9924694475117</v>
      </c>
      <c r="BB30" s="23">
        <f t="shared" si="40"/>
        <v>1753.2126200585615</v>
      </c>
      <c r="BC30" s="23">
        <f t="shared" si="40"/>
        <v>1718.1483676573903</v>
      </c>
      <c r="BD30" s="23">
        <f t="shared" si="40"/>
        <v>1683.7854003042426</v>
      </c>
      <c r="BE30" s="23">
        <f t="shared" si="40"/>
        <v>1650.1096922981576</v>
      </c>
      <c r="BF30" s="23">
        <f t="shared" si="40"/>
        <v>1617.1074984521945</v>
      </c>
      <c r="BG30" s="23">
        <f t="shared" si="40"/>
        <v>1584.7653484831505</v>
      </c>
      <c r="BH30" s="23">
        <f t="shared" si="40"/>
        <v>1553.0700415134875</v>
      </c>
      <c r="BI30" s="23">
        <f t="shared" si="40"/>
        <v>1522.0086406832177</v>
      </c>
      <c r="BJ30" s="23">
        <f t="shared" si="40"/>
        <v>1491.5684678695534</v>
      </c>
      <c r="BK30" s="23">
        <f t="shared" si="40"/>
        <v>1461.7370985121622</v>
      </c>
      <c r="BL30" s="23">
        <f t="shared" si="40"/>
        <v>1432.502356541919</v>
      </c>
      <c r="BM30" s="23">
        <f t="shared" si="40"/>
        <v>1403.8523094110806</v>
      </c>
      <c r="BN30" s="23">
        <f t="shared" si="40"/>
        <v>1375.7752632228589</v>
      </c>
      <c r="BO30" s="23">
        <f t="shared" si="40"/>
        <v>1348.2597579584017</v>
      </c>
      <c r="BP30" s="23">
        <f t="shared" si="40"/>
        <v>1321.2945627992335</v>
      </c>
      <c r="BQ30" s="23">
        <f t="shared" si="40"/>
        <v>1294.8686715432489</v>
      </c>
      <c r="BR30" s="23">
        <f t="shared" si="40"/>
        <v>1268.9712981123839</v>
      </c>
      <c r="BS30" s="23">
        <f t="shared" si="40"/>
        <v>1243.5918721501362</v>
      </c>
      <c r="BT30" s="23">
        <f t="shared" si="40"/>
        <v>1218.7200347071334</v>
      </c>
      <c r="BU30" s="23">
        <f t="shared" si="40"/>
        <v>1194.3456340129908</v>
      </c>
      <c r="BV30" s="23">
        <f t="shared" si="40"/>
        <v>1170.4587213327309</v>
      </c>
      <c r="BW30" s="23">
        <f t="shared" si="40"/>
        <v>1147.0495469060763</v>
      </c>
      <c r="BX30" s="23">
        <f t="shared" si="40"/>
        <v>1124.1085559679548</v>
      </c>
      <c r="BY30" s="23">
        <f t="shared" si="40"/>
        <v>1101.6263848485958</v>
      </c>
      <c r="BZ30" s="23">
        <f t="shared" si="40"/>
        <v>1079.5938571516238</v>
      </c>
      <c r="CA30" s="23">
        <f t="shared" si="40"/>
        <v>1058.0019800085913</v>
      </c>
      <c r="CB30" s="23">
        <f t="shared" si="40"/>
        <v>1036.8419404084195</v>
      </c>
      <c r="CC30" s="23">
        <f t="shared" si="40"/>
        <v>1016.1051016002511</v>
      </c>
      <c r="CD30" s="23">
        <f t="shared" si="40"/>
        <v>995.78299956824605</v>
      </c>
      <c r="CE30" s="23">
        <f t="shared" ref="CE30:DR30" si="41">CD30*($F$2+1)</f>
        <v>975.86733957688114</v>
      </c>
      <c r="CF30" s="23">
        <f t="shared" si="41"/>
        <v>956.34999278534349</v>
      </c>
      <c r="CG30" s="23">
        <f t="shared" si="41"/>
        <v>937.22299292963658</v>
      </c>
      <c r="CH30" s="23">
        <f t="shared" si="41"/>
        <v>918.47853307104378</v>
      </c>
      <c r="CI30" s="23">
        <f t="shared" si="41"/>
        <v>900.1089624096229</v>
      </c>
      <c r="CJ30" s="23">
        <f t="shared" si="41"/>
        <v>882.10678316143049</v>
      </c>
      <c r="CK30" s="23">
        <f t="shared" si="41"/>
        <v>864.46464749820188</v>
      </c>
      <c r="CL30" s="23">
        <f t="shared" si="41"/>
        <v>847.17535454823781</v>
      </c>
      <c r="CM30" s="23">
        <f t="shared" si="41"/>
        <v>830.23184745727303</v>
      </c>
      <c r="CN30" s="23">
        <f t="shared" si="41"/>
        <v>813.62721050812752</v>
      </c>
      <c r="CO30" s="23">
        <f t="shared" si="41"/>
        <v>797.35466629796497</v>
      </c>
      <c r="CP30" s="23">
        <f t="shared" si="41"/>
        <v>781.40757297200571</v>
      </c>
      <c r="CQ30" s="23">
        <f t="shared" si="41"/>
        <v>765.77942151256559</v>
      </c>
      <c r="CR30" s="23">
        <f t="shared" si="41"/>
        <v>750.4638330823143</v>
      </c>
      <c r="CS30" s="23">
        <f t="shared" si="41"/>
        <v>735.45455642066804</v>
      </c>
      <c r="CT30" s="23">
        <f t="shared" si="41"/>
        <v>720.74546529225472</v>
      </c>
      <c r="CU30" s="23">
        <f t="shared" si="41"/>
        <v>706.33055598640965</v>
      </c>
      <c r="CV30" s="23">
        <f t="shared" si="41"/>
        <v>692.20394486668147</v>
      </c>
      <c r="CW30" s="23">
        <f t="shared" si="41"/>
        <v>678.35986596934788</v>
      </c>
      <c r="CX30" s="23">
        <f t="shared" si="41"/>
        <v>664.79266864996089</v>
      </c>
      <c r="CY30" s="23">
        <f t="shared" si="41"/>
        <v>651.49681527696168</v>
      </c>
      <c r="CZ30" s="23">
        <f t="shared" si="41"/>
        <v>638.46687897142249</v>
      </c>
      <c r="DA30" s="23">
        <f t="shared" si="41"/>
        <v>625.69754139199404</v>
      </c>
      <c r="DB30" s="23">
        <f t="shared" si="41"/>
        <v>613.1835905641542</v>
      </c>
      <c r="DC30" s="23">
        <f t="shared" si="41"/>
        <v>600.91991875287113</v>
      </c>
      <c r="DD30" s="23">
        <f t="shared" si="41"/>
        <v>588.90152037781365</v>
      </c>
      <c r="DE30" s="23">
        <f t="shared" si="41"/>
        <v>577.12348997025742</v>
      </c>
      <c r="DF30" s="23">
        <f t="shared" si="41"/>
        <v>565.5810201708523</v>
      </c>
      <c r="DG30" s="23">
        <f t="shared" si="41"/>
        <v>554.26939976743529</v>
      </c>
      <c r="DH30" s="23">
        <f t="shared" si="41"/>
        <v>543.18401177208659</v>
      </c>
      <c r="DI30" s="23">
        <f t="shared" si="41"/>
        <v>532.32033153664486</v>
      </c>
      <c r="DJ30" s="23">
        <f t="shared" si="41"/>
        <v>521.67392490591192</v>
      </c>
      <c r="DK30" s="23">
        <f t="shared" si="41"/>
        <v>511.24044640779368</v>
      </c>
      <c r="DL30" s="23">
        <f t="shared" si="41"/>
        <v>501.0156374796378</v>
      </c>
      <c r="DM30" s="23">
        <f t="shared" si="41"/>
        <v>490.99532473004501</v>
      </c>
      <c r="DN30" s="23">
        <f t="shared" si="41"/>
        <v>481.17541823544411</v>
      </c>
      <c r="DO30" s="23">
        <f t="shared" si="41"/>
        <v>471.55190987073524</v>
      </c>
      <c r="DP30" s="23">
        <f t="shared" si="41"/>
        <v>462.12087167332055</v>
      </c>
      <c r="DQ30" s="23">
        <f t="shared" si="41"/>
        <v>452.87845423985414</v>
      </c>
      <c r="DR30" s="23">
        <f t="shared" si="41"/>
        <v>443.82088515505706</v>
      </c>
    </row>
    <row r="31" spans="1:122" x14ac:dyDescent="0.15">
      <c r="A31" s="1" t="s">
        <v>16</v>
      </c>
      <c r="B31" s="24">
        <f>IFERROR(B30/B32,0)</f>
        <v>-0.7646208528023668</v>
      </c>
      <c r="C31" s="24">
        <f>C30/C32</f>
        <v>-0.6402206782900659</v>
      </c>
      <c r="D31" s="24">
        <f>D30/D32</f>
        <v>-0.30714999615099109</v>
      </c>
      <c r="E31" s="24">
        <f>E30/E32</f>
        <v>1.5535561742957675</v>
      </c>
      <c r="F31" s="24">
        <f>F30/F32</f>
        <v>1.8687516550221002</v>
      </c>
      <c r="G31" s="19">
        <f t="shared" ref="G31:H31" si="42">G30/G32</f>
        <v>0.60798975668628885</v>
      </c>
      <c r="H31" s="19">
        <f t="shared" si="42"/>
        <v>0.76277624522080389</v>
      </c>
      <c r="I31" s="19">
        <f t="shared" ref="I31:Q31" si="43">I30/I32</f>
        <v>0.94533672138466807</v>
      </c>
      <c r="J31" s="19">
        <f t="shared" si="43"/>
        <v>1.1599995731232948</v>
      </c>
      <c r="K31" s="19">
        <f t="shared" si="43"/>
        <v>1.4117261197775433</v>
      </c>
      <c r="L31" s="19">
        <f t="shared" si="43"/>
        <v>1.6451947893449284</v>
      </c>
      <c r="M31" s="19">
        <f t="shared" si="43"/>
        <v>1.8901797545172454</v>
      </c>
      <c r="N31" s="19">
        <f t="shared" si="43"/>
        <v>2.1473126814919756</v>
      </c>
      <c r="O31" s="19">
        <f t="shared" si="43"/>
        <v>2.4172565987953498</v>
      </c>
      <c r="P31" s="19">
        <f t="shared" si="43"/>
        <v>2.7007074850512032</v>
      </c>
      <c r="Q31" s="19">
        <f t="shared" si="43"/>
        <v>2.998395936004199</v>
      </c>
      <c r="R31" s="19">
        <f t="shared" ref="R31:U31" si="44">R30/R32</f>
        <v>3.3110889147671849</v>
      </c>
      <c r="S31" s="19">
        <f t="shared" si="44"/>
        <v>3.6395915894609554</v>
      </c>
      <c r="T31" s="19">
        <f t="shared" si="44"/>
        <v>3.9847492626229335</v>
      </c>
      <c r="U31" s="19">
        <f t="shared" si="44"/>
        <v>4.3474493969801795</v>
      </c>
      <c r="V31" s="19"/>
    </row>
    <row r="32" spans="1:122" x14ac:dyDescent="0.15">
      <c r="A32" s="1" t="s">
        <v>17</v>
      </c>
      <c r="B32" s="5">
        <f>Reports!E23</f>
        <v>681.42399999999998</v>
      </c>
      <c r="C32" s="5">
        <f>Reports!I23</f>
        <v>713.61800000000005</v>
      </c>
      <c r="D32" s="5">
        <f>Reports!M23</f>
        <v>736.51499999999999</v>
      </c>
      <c r="E32" s="5">
        <f>Reports!Q23</f>
        <v>776.12900000000002</v>
      </c>
      <c r="F32" s="5">
        <f>AVERAGE(Reports!R23:U23)</f>
        <v>785.48800000000006</v>
      </c>
      <c r="G32" s="5">
        <f t="shared" ref="G32" si="45">F32</f>
        <v>785.48800000000006</v>
      </c>
      <c r="H32" s="5">
        <f t="shared" ref="H32" si="46">G32</f>
        <v>785.48800000000006</v>
      </c>
      <c r="I32" s="5">
        <f t="shared" ref="I32" si="47">H32</f>
        <v>785.48800000000006</v>
      </c>
      <c r="J32" s="5">
        <f t="shared" ref="J32" si="48">I32</f>
        <v>785.48800000000006</v>
      </c>
      <c r="K32" s="5">
        <f t="shared" ref="K32" si="49">J32</f>
        <v>785.48800000000006</v>
      </c>
      <c r="L32" s="5">
        <f t="shared" ref="L32" si="50">K32</f>
        <v>785.48800000000006</v>
      </c>
      <c r="M32" s="5">
        <f t="shared" ref="M32" si="51">L32</f>
        <v>785.48800000000006</v>
      </c>
      <c r="N32" s="5">
        <f t="shared" ref="N32" si="52">M32</f>
        <v>785.48800000000006</v>
      </c>
      <c r="O32" s="5">
        <f t="shared" ref="O32" si="53">N32</f>
        <v>785.48800000000006</v>
      </c>
      <c r="P32" s="5">
        <f t="shared" ref="P32" si="54">O32</f>
        <v>785.48800000000006</v>
      </c>
      <c r="Q32" s="5">
        <f t="shared" ref="Q32:U32" si="55">P32</f>
        <v>785.48800000000006</v>
      </c>
      <c r="R32" s="5">
        <f t="shared" si="55"/>
        <v>785.48800000000006</v>
      </c>
      <c r="S32" s="5">
        <f t="shared" si="55"/>
        <v>785.48800000000006</v>
      </c>
      <c r="T32" s="5">
        <f t="shared" si="55"/>
        <v>785.48800000000006</v>
      </c>
      <c r="U32" s="5">
        <f t="shared" si="55"/>
        <v>785.48800000000006</v>
      </c>
      <c r="V32" s="5"/>
    </row>
    <row r="33" spans="1:22" x14ac:dyDescent="0.1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x14ac:dyDescent="0.15">
      <c r="A34" s="1" t="s">
        <v>19</v>
      </c>
      <c r="B34" s="22">
        <f t="shared" ref="B34:Q34" si="56">IFERROR(B21/B19,0)</f>
        <v>0.67121484270740917</v>
      </c>
      <c r="C34" s="22">
        <f t="shared" si="56"/>
        <v>0.63147019373273205</v>
      </c>
      <c r="D34" s="22">
        <f t="shared" si="56"/>
        <v>0.62939871228883537</v>
      </c>
      <c r="E34" s="22">
        <f t="shared" si="56"/>
        <v>0.68283000654391102</v>
      </c>
      <c r="F34" s="22">
        <f t="shared" si="56"/>
        <v>0.67127951452633638</v>
      </c>
      <c r="G34" s="22">
        <f t="shared" si="56"/>
        <v>0.67127951452633638</v>
      </c>
      <c r="H34" s="22">
        <f t="shared" si="56"/>
        <v>0.67127951452633638</v>
      </c>
      <c r="I34" s="22">
        <f t="shared" si="56"/>
        <v>0.67127951452633638</v>
      </c>
      <c r="J34" s="22">
        <f t="shared" si="56"/>
        <v>0.67127951452633638</v>
      </c>
      <c r="K34" s="22">
        <f t="shared" si="56"/>
        <v>0.67127951452633638</v>
      </c>
      <c r="L34" s="22">
        <f t="shared" si="56"/>
        <v>0.67127951452633638</v>
      </c>
      <c r="M34" s="22">
        <f t="shared" si="56"/>
        <v>0.67127951452633638</v>
      </c>
      <c r="N34" s="22">
        <f t="shared" si="56"/>
        <v>0.67127951452633638</v>
      </c>
      <c r="O34" s="22">
        <f t="shared" si="56"/>
        <v>0.67127951452633638</v>
      </c>
      <c r="P34" s="22">
        <f t="shared" si="56"/>
        <v>0.67127951452633638</v>
      </c>
      <c r="Q34" s="22">
        <f t="shared" si="56"/>
        <v>0.67127951452633638</v>
      </c>
      <c r="R34" s="22">
        <f t="shared" ref="R34:U34" si="57">IFERROR(R21/R19,0)</f>
        <v>0.67127951452633638</v>
      </c>
      <c r="S34" s="22">
        <f t="shared" si="57"/>
        <v>0.67127951452633638</v>
      </c>
      <c r="T34" s="22">
        <f t="shared" si="57"/>
        <v>0.67127951452633638</v>
      </c>
      <c r="U34" s="22">
        <f t="shared" si="57"/>
        <v>0.67127951452633638</v>
      </c>
      <c r="V34" s="22"/>
    </row>
    <row r="35" spans="1:22" x14ac:dyDescent="0.15">
      <c r="A35" s="1" t="s">
        <v>20</v>
      </c>
      <c r="B35" s="21">
        <f t="shared" ref="B35:Q35" si="58">IFERROR(B26/B19,0)</f>
        <v>-0.20289878595078872</v>
      </c>
      <c r="C35" s="21">
        <f t="shared" si="58"/>
        <v>-0.14516336254590131</v>
      </c>
      <c r="D35" s="21">
        <f t="shared" si="58"/>
        <v>-2.9445073095055837E-2</v>
      </c>
      <c r="E35" s="21">
        <f t="shared" si="58"/>
        <v>0.14905031120553561</v>
      </c>
      <c r="F35" s="21">
        <f t="shared" si="58"/>
        <v>0.10578017803399345</v>
      </c>
      <c r="G35" s="21">
        <f t="shared" si="58"/>
        <v>0.12153921400502017</v>
      </c>
      <c r="H35" s="21">
        <f t="shared" si="58"/>
        <v>0.13630905566454907</v>
      </c>
      <c r="I35" s="21">
        <f t="shared" si="58"/>
        <v>0.15015219772271862</v>
      </c>
      <c r="J35" s="21">
        <f t="shared" si="58"/>
        <v>0.16312669007921521</v>
      </c>
      <c r="K35" s="21">
        <f t="shared" si="58"/>
        <v>0.1752864710600554</v>
      </c>
      <c r="L35" s="21">
        <f t="shared" si="58"/>
        <v>0.19462106871089738</v>
      </c>
      <c r="M35" s="21">
        <f t="shared" si="58"/>
        <v>0.21266669318501669</v>
      </c>
      <c r="N35" s="21">
        <f t="shared" si="58"/>
        <v>0.22950927602752794</v>
      </c>
      <c r="O35" s="21">
        <f t="shared" si="58"/>
        <v>0.24522902001387181</v>
      </c>
      <c r="P35" s="21">
        <f t="shared" si="58"/>
        <v>0.25990078106779269</v>
      </c>
      <c r="Q35" s="21">
        <f t="shared" si="58"/>
        <v>0.27359442471811901</v>
      </c>
      <c r="R35" s="21">
        <f t="shared" ref="R35:U35" si="59">IFERROR(R26/R19,0)</f>
        <v>0.28637515879175673</v>
      </c>
      <c r="S35" s="21">
        <f t="shared" si="59"/>
        <v>0.29830384392715215</v>
      </c>
      <c r="T35" s="21">
        <f t="shared" si="59"/>
        <v>0.30943728338685428</v>
      </c>
      <c r="U35" s="21">
        <f t="shared" si="59"/>
        <v>0.31982849354924309</v>
      </c>
      <c r="V35" s="21"/>
    </row>
    <row r="36" spans="1:22" x14ac:dyDescent="0.15">
      <c r="A36" s="1" t="s">
        <v>21</v>
      </c>
      <c r="B36" s="21">
        <f t="shared" ref="B36:Q36" si="60">IFERROR(B29/B28,0)</f>
        <v>2.3014972670423118E-2</v>
      </c>
      <c r="C36" s="21">
        <f t="shared" si="60"/>
        <v>-3.638330981730082E-2</v>
      </c>
      <c r="D36" s="21">
        <f t="shared" si="60"/>
        <v>-6.9729045113541943E-2</v>
      </c>
      <c r="E36" s="21">
        <f t="shared" si="60"/>
        <v>-1.8457333824237456</v>
      </c>
      <c r="F36" s="21">
        <f t="shared" si="60"/>
        <v>-2.7457244782868342</v>
      </c>
      <c r="G36" s="21">
        <f t="shared" si="60"/>
        <v>0.15</v>
      </c>
      <c r="H36" s="21">
        <f t="shared" si="60"/>
        <v>0.15</v>
      </c>
      <c r="I36" s="21">
        <f t="shared" si="60"/>
        <v>0.15</v>
      </c>
      <c r="J36" s="21">
        <f t="shared" si="60"/>
        <v>0.15</v>
      </c>
      <c r="K36" s="21">
        <f t="shared" si="60"/>
        <v>0.15</v>
      </c>
      <c r="L36" s="21">
        <f t="shared" si="60"/>
        <v>0.15</v>
      </c>
      <c r="M36" s="21">
        <f t="shared" si="60"/>
        <v>0.15</v>
      </c>
      <c r="N36" s="21">
        <f t="shared" si="60"/>
        <v>0.15</v>
      </c>
      <c r="O36" s="21">
        <f t="shared" si="60"/>
        <v>0.15</v>
      </c>
      <c r="P36" s="21">
        <f t="shared" si="60"/>
        <v>0.15</v>
      </c>
      <c r="Q36" s="21">
        <f t="shared" si="60"/>
        <v>0.15</v>
      </c>
      <c r="R36" s="21">
        <f t="shared" ref="R36:U36" si="61">IFERROR(R29/R28,0)</f>
        <v>0.15</v>
      </c>
      <c r="S36" s="21">
        <f t="shared" si="61"/>
        <v>0.15</v>
      </c>
      <c r="T36" s="21">
        <f t="shared" si="61"/>
        <v>0.15</v>
      </c>
      <c r="U36" s="21">
        <f t="shared" si="61"/>
        <v>0.15</v>
      </c>
      <c r="V36" s="21"/>
    </row>
    <row r="37" spans="1:22" x14ac:dyDescent="0.1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x14ac:dyDescent="0.15">
      <c r="A38" s="16" t="s">
        <v>18</v>
      </c>
      <c r="B38" s="9"/>
      <c r="C38" s="20">
        <f>IFERROR(C19/B19-1,0)</f>
        <v>0.14047903727268118</v>
      </c>
      <c r="D38" s="20">
        <f t="shared" ref="D38:U38" si="62">D19/C19-1</f>
        <v>-7.960498399166005E-2</v>
      </c>
      <c r="E38" s="20">
        <f>E19/D19-1</f>
        <v>0.30678607223716181</v>
      </c>
      <c r="F38" s="20">
        <f>F19/E19-1</f>
        <v>0.13684925307056006</v>
      </c>
      <c r="G38" s="20">
        <f t="shared" si="62"/>
        <v>0.1399999999999999</v>
      </c>
      <c r="H38" s="20">
        <f t="shared" si="62"/>
        <v>0.1399999999999999</v>
      </c>
      <c r="I38" s="20">
        <f t="shared" si="62"/>
        <v>0.13999999999999968</v>
      </c>
      <c r="J38" s="20">
        <f t="shared" si="62"/>
        <v>0.1399999999999999</v>
      </c>
      <c r="K38" s="20">
        <f t="shared" si="62"/>
        <v>0.14000000000000012</v>
      </c>
      <c r="L38" s="20">
        <f t="shared" si="62"/>
        <v>5.0000000000000044E-2</v>
      </c>
      <c r="M38" s="20">
        <f t="shared" si="62"/>
        <v>5.0000000000000044E-2</v>
      </c>
      <c r="N38" s="20">
        <f t="shared" si="62"/>
        <v>5.0000000000000044E-2</v>
      </c>
      <c r="O38" s="20">
        <f t="shared" si="62"/>
        <v>5.0000000000000044E-2</v>
      </c>
      <c r="P38" s="20">
        <f t="shared" si="62"/>
        <v>5.0000000000000044E-2</v>
      </c>
      <c r="Q38" s="20">
        <f t="shared" si="62"/>
        <v>5.0000000000000044E-2</v>
      </c>
      <c r="R38" s="20">
        <f t="shared" si="62"/>
        <v>5.0000000000000044E-2</v>
      </c>
      <c r="S38" s="20">
        <f t="shared" si="62"/>
        <v>5.0000000000000044E-2</v>
      </c>
      <c r="T38" s="20">
        <f t="shared" si="62"/>
        <v>5.0000000000000044E-2</v>
      </c>
      <c r="U38" s="20">
        <f t="shared" si="62"/>
        <v>5.0000000000000044E-2</v>
      </c>
      <c r="V38" s="20"/>
    </row>
    <row r="39" spans="1:22" x14ac:dyDescent="0.15">
      <c r="A39" s="1" t="s">
        <v>61</v>
      </c>
      <c r="B39" s="3"/>
      <c r="C39" s="21">
        <f t="shared" ref="C39:U39" si="63">C22/B22-1</f>
        <v>-0.11549771399668762</v>
      </c>
      <c r="D39" s="21">
        <f t="shared" si="63"/>
        <v>-0.22782249587235548</v>
      </c>
      <c r="E39" s="21">
        <f t="shared" si="63"/>
        <v>5.3059822419987412E-3</v>
      </c>
      <c r="F39" s="21">
        <f t="shared" si="63"/>
        <v>0.23136255141209472</v>
      </c>
      <c r="G39" s="21">
        <f t="shared" si="63"/>
        <v>0.14999999999999991</v>
      </c>
      <c r="H39" s="21">
        <f t="shared" si="63"/>
        <v>0.14999999999999991</v>
      </c>
      <c r="I39" s="21">
        <f t="shared" si="63"/>
        <v>0.14999999999999991</v>
      </c>
      <c r="J39" s="21">
        <f t="shared" si="63"/>
        <v>0.14999999999999991</v>
      </c>
      <c r="K39" s="21">
        <f t="shared" si="63"/>
        <v>0.14999999999999991</v>
      </c>
      <c r="L39" s="21">
        <f t="shared" si="63"/>
        <v>5.0000000000000044E-2</v>
      </c>
      <c r="M39" s="21">
        <f t="shared" si="63"/>
        <v>5.0000000000000044E-2</v>
      </c>
      <c r="N39" s="21">
        <f t="shared" si="63"/>
        <v>5.0000000000000044E-2</v>
      </c>
      <c r="O39" s="21">
        <f t="shared" si="63"/>
        <v>5.0000000000000044E-2</v>
      </c>
      <c r="P39" s="21">
        <f t="shared" si="63"/>
        <v>5.0000000000000044E-2</v>
      </c>
      <c r="Q39" s="21">
        <f t="shared" si="63"/>
        <v>5.0000000000000044E-2</v>
      </c>
      <c r="R39" s="21">
        <f t="shared" si="63"/>
        <v>5.0000000000000044E-2</v>
      </c>
      <c r="S39" s="21">
        <f t="shared" si="63"/>
        <v>5.0000000000000044E-2</v>
      </c>
      <c r="T39" s="21">
        <f t="shared" si="63"/>
        <v>5.0000000000000044E-2</v>
      </c>
      <c r="U39" s="21">
        <f t="shared" si="63"/>
        <v>5.0000000000000044E-2</v>
      </c>
      <c r="V39" s="21"/>
    </row>
    <row r="40" spans="1:22" x14ac:dyDescent="0.15">
      <c r="A40" s="1" t="s">
        <v>62</v>
      </c>
      <c r="B40" s="3"/>
      <c r="C40" s="21">
        <f t="shared" ref="C40:U40" si="64">C23/B23-1</f>
        <v>9.9069296183207811E-2</v>
      </c>
      <c r="D40" s="21">
        <f t="shared" si="64"/>
        <v>-0.25931262260800214</v>
      </c>
      <c r="E40" s="21">
        <f t="shared" si="64"/>
        <v>8.726335691421494E-2</v>
      </c>
      <c r="F40" s="21">
        <f t="shared" si="64"/>
        <v>0.18491860490742984</v>
      </c>
      <c r="G40" s="21">
        <f t="shared" si="64"/>
        <v>0.10000000000000009</v>
      </c>
      <c r="H40" s="21">
        <f t="shared" si="64"/>
        <v>0.10000000000000009</v>
      </c>
      <c r="I40" s="21">
        <f t="shared" si="64"/>
        <v>0.10000000000000009</v>
      </c>
      <c r="J40" s="21">
        <f t="shared" si="64"/>
        <v>0.10000000000000009</v>
      </c>
      <c r="K40" s="21">
        <f t="shared" si="64"/>
        <v>0.10000000000000009</v>
      </c>
      <c r="L40" s="21">
        <f t="shared" si="64"/>
        <v>-1.9999999999999907E-2</v>
      </c>
      <c r="M40" s="21">
        <f t="shared" si="64"/>
        <v>-2.0000000000000018E-2</v>
      </c>
      <c r="N40" s="21">
        <f t="shared" si="64"/>
        <v>-2.0000000000000018E-2</v>
      </c>
      <c r="O40" s="21">
        <f t="shared" si="64"/>
        <v>-2.0000000000000018E-2</v>
      </c>
      <c r="P40" s="21">
        <f t="shared" si="64"/>
        <v>-2.0000000000000018E-2</v>
      </c>
      <c r="Q40" s="21">
        <f t="shared" si="64"/>
        <v>-1.9999999999999907E-2</v>
      </c>
      <c r="R40" s="21">
        <f t="shared" si="64"/>
        <v>-2.0000000000000018E-2</v>
      </c>
      <c r="S40" s="21">
        <f t="shared" si="64"/>
        <v>-1.9999999999999907E-2</v>
      </c>
      <c r="T40" s="21">
        <f t="shared" si="64"/>
        <v>-2.0000000000000018E-2</v>
      </c>
      <c r="U40" s="21">
        <f t="shared" si="64"/>
        <v>-1.9999999999999907E-2</v>
      </c>
      <c r="V40" s="21"/>
    </row>
    <row r="41" spans="1:22" x14ac:dyDescent="0.15">
      <c r="A41" s="1" t="s">
        <v>63</v>
      </c>
      <c r="B41" s="3"/>
      <c r="C41" s="21">
        <f t="shared" ref="C41:U41" si="65">C24/B24-1</f>
        <v>0.12507240872664216</v>
      </c>
      <c r="D41" s="21">
        <f t="shared" si="65"/>
        <v>-6.7207681501384342E-2</v>
      </c>
      <c r="E41" s="21">
        <f t="shared" si="65"/>
        <v>9.2308389651330369E-2</v>
      </c>
      <c r="F41" s="21">
        <f t="shared" si="65"/>
        <v>0.20474670200590328</v>
      </c>
      <c r="G41" s="21">
        <f t="shared" si="65"/>
        <v>5.0000000000000044E-2</v>
      </c>
      <c r="H41" s="21">
        <f t="shared" si="65"/>
        <v>5.0000000000000044E-2</v>
      </c>
      <c r="I41" s="21">
        <f t="shared" si="65"/>
        <v>5.0000000000000044E-2</v>
      </c>
      <c r="J41" s="21">
        <f t="shared" si="65"/>
        <v>5.0000000000000044E-2</v>
      </c>
      <c r="K41" s="21">
        <f t="shared" si="65"/>
        <v>5.0000000000000044E-2</v>
      </c>
      <c r="L41" s="21">
        <f>L24/K24-1</f>
        <v>-2.0000000000000018E-2</v>
      </c>
      <c r="M41" s="21">
        <f t="shared" si="65"/>
        <v>-2.0000000000000018E-2</v>
      </c>
      <c r="N41" s="21">
        <f t="shared" si="65"/>
        <v>-2.0000000000000018E-2</v>
      </c>
      <c r="O41" s="21">
        <f t="shared" si="65"/>
        <v>-2.0000000000000018E-2</v>
      </c>
      <c r="P41" s="21">
        <f t="shared" si="65"/>
        <v>-2.0000000000000018E-2</v>
      </c>
      <c r="Q41" s="21">
        <f t="shared" si="65"/>
        <v>-2.0000000000000018E-2</v>
      </c>
      <c r="R41" s="21">
        <f t="shared" si="65"/>
        <v>-2.0000000000000018E-2</v>
      </c>
      <c r="S41" s="21">
        <f t="shared" si="65"/>
        <v>-2.0000000000000018E-2</v>
      </c>
      <c r="T41" s="21">
        <f t="shared" si="65"/>
        <v>-1.9999999999999907E-2</v>
      </c>
      <c r="U41" s="21">
        <f t="shared" si="65"/>
        <v>-2.0000000000000018E-2</v>
      </c>
      <c r="V41" s="21"/>
    </row>
    <row r="42" spans="1:22" s="6" customFormat="1" x14ac:dyDescent="0.15">
      <c r="A42" s="6" t="s">
        <v>104</v>
      </c>
      <c r="B42" s="12"/>
      <c r="C42" s="98">
        <f>C25/B25-1</f>
        <v>1.3294223472930744E-2</v>
      </c>
      <c r="D42" s="98">
        <f>D25/C25-1</f>
        <v>-0.21919864073212347</v>
      </c>
      <c r="E42" s="98">
        <f>E25/D25-1</f>
        <v>5.8727253691477799E-2</v>
      </c>
      <c r="F42" s="98">
        <f>F25/E25-1</f>
        <v>0.20440605725115857</v>
      </c>
      <c r="G42" s="98">
        <f t="shared" ref="G42:U42" si="66">G25/F25-1</f>
        <v>0.10823108384458058</v>
      </c>
      <c r="H42" s="98">
        <f t="shared" si="66"/>
        <v>0.10937168427365429</v>
      </c>
      <c r="I42" s="98">
        <f t="shared" si="66"/>
        <v>0.11050083479396267</v>
      </c>
      <c r="J42" s="98">
        <f t="shared" si="66"/>
        <v>0.11161745161023662</v>
      </c>
      <c r="K42" s="98">
        <f t="shared" si="66"/>
        <v>0.11272050916328169</v>
      </c>
      <c r="L42" s="98">
        <f t="shared" si="66"/>
        <v>9.0693301028843543E-3</v>
      </c>
      <c r="M42" s="98">
        <f t="shared" si="66"/>
        <v>1.0248463309172839E-2</v>
      </c>
      <c r="N42" s="98">
        <f t="shared" si="66"/>
        <v>1.1438688231798944E-2</v>
      </c>
      <c r="O42" s="98">
        <f t="shared" si="66"/>
        <v>1.2637294803403698E-2</v>
      </c>
      <c r="P42" s="98">
        <f t="shared" si="66"/>
        <v>1.3841494599729165E-2</v>
      </c>
      <c r="Q42" s="98">
        <f t="shared" si="66"/>
        <v>1.5048446447484043E-2</v>
      </c>
      <c r="R42" s="98">
        <f t="shared" si="66"/>
        <v>1.6255283083931316E-2</v>
      </c>
      <c r="S42" s="98">
        <f t="shared" si="66"/>
        <v>1.7459138340325753E-2</v>
      </c>
      <c r="T42" s="98">
        <f t="shared" si="66"/>
        <v>1.8657174303334134E-2</v>
      </c>
      <c r="U42" s="98">
        <f t="shared" si="66"/>
        <v>1.9846607909339564E-2</v>
      </c>
      <c r="V42" s="98"/>
    </row>
    <row r="43" spans="1:22" x14ac:dyDescent="0.1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15">
      <c r="A44" s="16" t="s">
        <v>33</v>
      </c>
      <c r="B44" s="23">
        <f>B45-B46</f>
        <v>2040.2529999999999</v>
      </c>
      <c r="C44" s="23">
        <f>C45-C46</f>
        <v>2235.6120000000001</v>
      </c>
      <c r="D44" s="23">
        <f>D45-D46</f>
        <v>2775.6419999999998</v>
      </c>
      <c r="E44" s="23">
        <f>E45-E46</f>
        <v>3581.1509999999998</v>
      </c>
      <c r="F44" s="23">
        <f>F45-F46</f>
        <v>4130</v>
      </c>
      <c r="G44" s="18">
        <f t="shared" ref="G44:U44" si="67">F44+G30</f>
        <v>4607.5686580000001</v>
      </c>
      <c r="H44" s="18">
        <f t="shared" si="67"/>
        <v>5206.720245305999</v>
      </c>
      <c r="I44" s="18">
        <f t="shared" si="67"/>
        <v>5949.2708959129995</v>
      </c>
      <c r="J44" s="18">
        <f t="shared" si="67"/>
        <v>6860.4366406064701</v>
      </c>
      <c r="K44" s="18">
        <f t="shared" si="67"/>
        <v>7969.3305669782931</v>
      </c>
      <c r="L44" s="18">
        <f t="shared" si="67"/>
        <v>9261.6113316712617</v>
      </c>
      <c r="M44" s="18">
        <f t="shared" si="67"/>
        <v>10746.324846687505</v>
      </c>
      <c r="N44" s="18">
        <f t="shared" si="67"/>
        <v>12433.013190247275</v>
      </c>
      <c r="O44" s="18">
        <f t="shared" si="67"/>
        <v>14331.739241521836</v>
      </c>
      <c r="P44" s="18">
        <f t="shared" si="67"/>
        <v>16453.112562539736</v>
      </c>
      <c r="Q44" s="18">
        <f t="shared" si="67"/>
        <v>18808.316589519804</v>
      </c>
      <c r="R44" s="18">
        <f t="shared" si="67"/>
        <v>21409.137199002449</v>
      </c>
      <c r="S44" s="18">
        <f t="shared" si="67"/>
        <v>24267.992717424957</v>
      </c>
      <c r="T44" s="18">
        <f t="shared" si="67"/>
        <v>27397.96544622412</v>
      </c>
      <c r="U44" s="18">
        <f t="shared" si="67"/>
        <v>30812.834778159289</v>
      </c>
      <c r="V44" s="18"/>
    </row>
    <row r="45" spans="1:22" x14ac:dyDescent="0.15">
      <c r="A45" s="1" t="s">
        <v>34</v>
      </c>
      <c r="B45" s="17">
        <f>Reports!E35</f>
        <v>3495.348</v>
      </c>
      <c r="C45" s="17">
        <f>Reports!I35</f>
        <v>3774.5790000000002</v>
      </c>
      <c r="D45" s="17">
        <f>Reports!M35</f>
        <v>4403.1019999999999</v>
      </c>
      <c r="E45" s="17">
        <f>Reports!Q35</f>
        <v>6209.4009999999998</v>
      </c>
      <c r="F45" s="17">
        <f>Reports!U35</f>
        <v>6639</v>
      </c>
    </row>
    <row r="46" spans="1:22" x14ac:dyDescent="0.15">
      <c r="A46" s="1" t="s">
        <v>35</v>
      </c>
      <c r="B46" s="17">
        <f>Reports!E36</f>
        <v>1455.095</v>
      </c>
      <c r="C46" s="17">
        <f>Reports!I36</f>
        <v>1538.9670000000001</v>
      </c>
      <c r="D46" s="17">
        <f>Reports!M36</f>
        <v>1627.46</v>
      </c>
      <c r="E46" s="17">
        <f>Reports!Q36</f>
        <v>2628.25</v>
      </c>
      <c r="F46" s="17">
        <f>Reports!U36</f>
        <v>2509</v>
      </c>
    </row>
    <row r="48" spans="1:22" x14ac:dyDescent="0.15">
      <c r="A48" s="1" t="s">
        <v>78</v>
      </c>
      <c r="D48" s="17">
        <f>Reports!M38</f>
        <v>1238.5889999999999</v>
      </c>
      <c r="E48" s="17">
        <f>Reports!Q38</f>
        <v>1272.2940000000001</v>
      </c>
      <c r="F48" s="17">
        <f>Reports!U38</f>
        <v>1312</v>
      </c>
    </row>
    <row r="49" spans="1:11" x14ac:dyDescent="0.15">
      <c r="A49" s="1" t="s">
        <v>79</v>
      </c>
      <c r="D49" s="17">
        <f>Reports!M39</f>
        <v>7412.4769999999999</v>
      </c>
      <c r="E49" s="17">
        <f>Reports!Q39</f>
        <v>10162.572</v>
      </c>
      <c r="F49" s="17">
        <f>Reports!U39</f>
        <v>12703</v>
      </c>
    </row>
    <row r="50" spans="1:11" x14ac:dyDescent="0.15">
      <c r="A50" s="1" t="s">
        <v>80</v>
      </c>
      <c r="D50" s="17">
        <f>Reports!M40</f>
        <v>2365.259</v>
      </c>
      <c r="E50" s="17">
        <f>Reports!Q40</f>
        <v>3356.9780000000001</v>
      </c>
      <c r="F50" s="17">
        <f>Reports!U40</f>
        <v>3999</v>
      </c>
    </row>
    <row r="52" spans="1:11" x14ac:dyDescent="0.15">
      <c r="A52" s="1" t="s">
        <v>81</v>
      </c>
      <c r="D52" s="70">
        <f>D49-D48-D45</f>
        <v>1770.7860000000001</v>
      </c>
      <c r="E52" s="70">
        <f>E49-E48-E45</f>
        <v>2680.8770000000004</v>
      </c>
      <c r="F52" s="70">
        <f>F49-F48-F45</f>
        <v>4752</v>
      </c>
    </row>
    <row r="53" spans="1:11" x14ac:dyDescent="0.15">
      <c r="A53" s="1" t="s">
        <v>82</v>
      </c>
      <c r="D53" s="70">
        <f>D49-D50</f>
        <v>5047.2179999999998</v>
      </c>
      <c r="E53" s="70">
        <f>E49-E50</f>
        <v>6805.5940000000001</v>
      </c>
      <c r="F53" s="70">
        <f>F49-F50</f>
        <v>8704</v>
      </c>
    </row>
    <row r="55" spans="1:11" x14ac:dyDescent="0.15">
      <c r="A55" s="1" t="s">
        <v>83</v>
      </c>
      <c r="E55" s="14">
        <f>E30/E53</f>
        <v>0.17717189711875256</v>
      </c>
      <c r="F55" s="14">
        <f>F30/F53</f>
        <v>0.16864453124999995</v>
      </c>
    </row>
    <row r="56" spans="1:11" x14ac:dyDescent="0.15">
      <c r="A56" s="1" t="s">
        <v>84</v>
      </c>
      <c r="E56" s="14">
        <f>E30/E49</f>
        <v>0.118647129880113</v>
      </c>
      <c r="F56" s="14">
        <f>F30/F49</f>
        <v>0.1155539636306384</v>
      </c>
    </row>
    <row r="57" spans="1:11" x14ac:dyDescent="0.15">
      <c r="A57" s="1" t="s">
        <v>85</v>
      </c>
      <c r="E57" s="14">
        <f>E30/(E53-E48)</f>
        <v>0.21790974644425565</v>
      </c>
      <c r="F57" s="14">
        <f>F30/(F53-F48)</f>
        <v>0.19857711038961035</v>
      </c>
    </row>
    <row r="58" spans="1:11" x14ac:dyDescent="0.15">
      <c r="A58" s="1" t="s">
        <v>86</v>
      </c>
      <c r="E58" s="14">
        <f>E30/E52</f>
        <v>0.44976326776648073</v>
      </c>
      <c r="F58" s="14">
        <f>F30/F52</f>
        <v>0.30889772727272718</v>
      </c>
    </row>
    <row r="60" spans="1:11" x14ac:dyDescent="0.15">
      <c r="A60" s="1" t="s">
        <v>87</v>
      </c>
      <c r="C60" s="14">
        <f>C12/B12-1</f>
        <v>0.12738787063021917</v>
      </c>
      <c r="D60" s="14">
        <f>D12/C12-1</f>
        <v>-0.11315570102470918</v>
      </c>
      <c r="E60" s="14">
        <f>E12/D12-1</f>
        <v>0.31266921977791617</v>
      </c>
      <c r="F60" s="14">
        <f>F12/E12-1</f>
        <v>0.14384004475298728</v>
      </c>
    </row>
    <row r="61" spans="1:11" x14ac:dyDescent="0.15">
      <c r="A61" s="1" t="s">
        <v>88</v>
      </c>
      <c r="C61" s="14">
        <f>C13/B13-1</f>
        <v>0.25701798246397245</v>
      </c>
      <c r="D61" s="14">
        <f>D13/C13-1</f>
        <v>0.18826645167935174</v>
      </c>
      <c r="E61" s="14">
        <f>E13/D13-1</f>
        <v>0.27172962653517141</v>
      </c>
      <c r="F61" s="14">
        <f>F13/E13-1</f>
        <v>9.3851573828823698E-2</v>
      </c>
    </row>
    <row r="63" spans="1:11" x14ac:dyDescent="0.15">
      <c r="A63" s="79" t="s">
        <v>96</v>
      </c>
      <c r="F63" s="14"/>
      <c r="G63" s="14">
        <f>G15/F15-1</f>
        <v>0.19999999999999996</v>
      </c>
      <c r="H63" s="14">
        <f t="shared" ref="H63" si="68">H15/G15-1</f>
        <v>0.19999999999999996</v>
      </c>
      <c r="I63" s="14">
        <f t="shared" ref="I63" si="69">I15/H15-1</f>
        <v>0.19999999999999996</v>
      </c>
      <c r="J63" s="14">
        <f t="shared" ref="J63" si="70">J15/I15-1</f>
        <v>0.19999999999999996</v>
      </c>
      <c r="K63" s="14">
        <f t="shared" ref="K63" si="71">K15/J15-1</f>
        <v>0.19999999999999996</v>
      </c>
    </row>
    <row r="64" spans="1:11" x14ac:dyDescent="0.15">
      <c r="A64" s="1" t="s">
        <v>91</v>
      </c>
      <c r="C64" s="14">
        <f>C16/B16-1</f>
        <v>4.2622950819672045E-2</v>
      </c>
      <c r="D64" s="14">
        <f t="shared" ref="D64:K65" si="72">D16/C16-1</f>
        <v>3.7735849056603765E-2</v>
      </c>
      <c r="E64" s="14">
        <f t="shared" si="72"/>
        <v>-2.7272727272727226E-2</v>
      </c>
      <c r="F64" s="14">
        <f t="shared" si="72"/>
        <v>2.8037383177569986E-2</v>
      </c>
      <c r="G64" s="14"/>
      <c r="H64" s="14"/>
      <c r="I64" s="14"/>
      <c r="J64" s="14"/>
      <c r="K64" s="14"/>
    </row>
    <row r="65" spans="1:11" x14ac:dyDescent="0.15">
      <c r="A65" s="1" t="s">
        <v>89</v>
      </c>
      <c r="C65" s="14">
        <f t="shared" ref="C65" si="73">C17/B17-1</f>
        <v>9.3855680403043262E-2</v>
      </c>
      <c r="D65" s="14">
        <f t="shared" si="72"/>
        <v>-0.11307389366469067</v>
      </c>
      <c r="E65" s="14">
        <f t="shared" si="72"/>
        <v>0.34342493407558683</v>
      </c>
      <c r="F65" s="14">
        <f t="shared" si="72"/>
        <v>1.5609025279694722</v>
      </c>
      <c r="G65" s="14">
        <f t="shared" si="72"/>
        <v>-4.9999999999999933E-2</v>
      </c>
      <c r="H65" s="14">
        <f t="shared" si="72"/>
        <v>-5.0000000000000155E-2</v>
      </c>
      <c r="I65" s="14">
        <f t="shared" si="72"/>
        <v>-5.0000000000000155E-2</v>
      </c>
      <c r="J65" s="14">
        <f t="shared" si="72"/>
        <v>-5.0000000000000044E-2</v>
      </c>
      <c r="K65" s="14">
        <f t="shared" si="72"/>
        <v>-4.9999999999999933E-2</v>
      </c>
    </row>
  </sheetData>
  <hyperlinks>
    <hyperlink ref="A4" r:id="rId1" xr:uid="{00000000-0004-0000-0000-000000000000}"/>
    <hyperlink ref="A7" r:id="rId2" xr:uid="{00000000-0004-0000-0000-000001000000}"/>
    <hyperlink ref="A8" r:id="rId3" xr:uid="{00000000-0004-0000-0000-000002000000}"/>
    <hyperlink ref="A9" r:id="rId4" xr:uid="{00000000-0004-0000-0000-000003000000}"/>
    <hyperlink ref="A10" r:id="rId5" xr:uid="{00000000-0004-0000-0000-000004000000}"/>
    <hyperlink ref="A1" r:id="rId6" xr:uid="{00000000-0004-0000-0000-000005000000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1"/>
  <sheetViews>
    <sheetView workbookViewId="0">
      <pane xSplit="1" ySplit="2" topLeftCell="P5" activePane="bottomRight" state="frozen"/>
      <selection pane="topRight" activeCell="B1" sqref="B1"/>
      <selection pane="bottomLeft" activeCell="A3" sqref="A3"/>
      <selection pane="bottomRight" activeCell="X15" sqref="X15"/>
    </sheetView>
  </sheetViews>
  <sheetFormatPr baseColWidth="10" defaultRowHeight="13" x14ac:dyDescent="0.15"/>
  <cols>
    <col min="1" max="1" width="24.5" style="78" customWidth="1"/>
    <col min="2" max="5" width="10.83203125" style="25" customWidth="1"/>
    <col min="6" max="6" width="10.83203125" style="26" customWidth="1"/>
    <col min="7" max="8" width="10.83203125" style="25" customWidth="1"/>
    <col min="9" max="9" width="10.83203125" style="25"/>
    <col min="10" max="10" width="10.83203125" style="26"/>
    <col min="11" max="13" width="10.83203125" style="25"/>
    <col min="14" max="14" width="10.83203125" style="26"/>
    <col min="15" max="16" width="10.83203125" style="25"/>
    <col min="17" max="17" width="10.83203125" style="61"/>
    <col min="18" max="18" width="10.83203125" style="52"/>
    <col min="19" max="21" width="10.83203125" style="1"/>
    <col min="22" max="22" width="10.83203125" style="52"/>
    <col min="23" max="16384" width="10.83203125" style="1"/>
  </cols>
  <sheetData>
    <row r="1" spans="1:22" s="25" customFormat="1" x14ac:dyDescent="0.15">
      <c r="A1" s="82" t="s">
        <v>65</v>
      </c>
      <c r="B1" s="25" t="s">
        <v>50</v>
      </c>
      <c r="C1" s="25" t="s">
        <v>51</v>
      </c>
      <c r="D1" s="25" t="s">
        <v>52</v>
      </c>
      <c r="E1" s="25" t="s">
        <v>53</v>
      </c>
      <c r="F1" s="26" t="s">
        <v>22</v>
      </c>
      <c r="G1" s="25" t="s">
        <v>23</v>
      </c>
      <c r="H1" s="25" t="s">
        <v>24</v>
      </c>
      <c r="I1" s="25" t="s">
        <v>25</v>
      </c>
      <c r="J1" s="27" t="s">
        <v>0</v>
      </c>
      <c r="K1" s="28" t="s">
        <v>1</v>
      </c>
      <c r="L1" s="28" t="s">
        <v>2</v>
      </c>
      <c r="M1" s="28" t="s">
        <v>3</v>
      </c>
      <c r="N1" s="27" t="s">
        <v>42</v>
      </c>
      <c r="O1" s="28" t="s">
        <v>43</v>
      </c>
      <c r="P1" s="28" t="s">
        <v>44</v>
      </c>
      <c r="Q1" s="60" t="s">
        <v>45</v>
      </c>
      <c r="R1" s="91" t="s">
        <v>95</v>
      </c>
      <c r="S1" s="80" t="s">
        <v>100</v>
      </c>
      <c r="T1" s="80" t="s">
        <v>99</v>
      </c>
      <c r="U1" s="80" t="s">
        <v>97</v>
      </c>
      <c r="V1" s="91" t="s">
        <v>93</v>
      </c>
    </row>
    <row r="2" spans="1:22" s="25" customFormat="1" x14ac:dyDescent="0.15">
      <c r="A2" s="82"/>
      <c r="B2" s="25" t="s">
        <v>54</v>
      </c>
      <c r="C2" s="25" t="s">
        <v>55</v>
      </c>
      <c r="D2" s="25" t="s">
        <v>56</v>
      </c>
      <c r="E2" s="25" t="s">
        <v>57</v>
      </c>
      <c r="F2" s="26" t="s">
        <v>29</v>
      </c>
      <c r="G2" s="25" t="s">
        <v>28</v>
      </c>
      <c r="H2" s="25" t="s">
        <v>27</v>
      </c>
      <c r="I2" s="25" t="s">
        <v>32</v>
      </c>
      <c r="J2" s="26" t="s">
        <v>31</v>
      </c>
      <c r="K2" s="25" t="s">
        <v>30</v>
      </c>
      <c r="L2" s="25" t="s">
        <v>26</v>
      </c>
      <c r="M2" s="25" t="s">
        <v>36</v>
      </c>
      <c r="N2" s="26" t="s">
        <v>46</v>
      </c>
      <c r="O2" s="25" t="s">
        <v>47</v>
      </c>
      <c r="P2" s="25" t="s">
        <v>48</v>
      </c>
      <c r="Q2" s="61" t="s">
        <v>49</v>
      </c>
      <c r="R2" s="90">
        <v>43555</v>
      </c>
      <c r="S2" s="81">
        <v>43646</v>
      </c>
      <c r="T2" s="80" t="s">
        <v>101</v>
      </c>
      <c r="U2" s="81">
        <v>43830</v>
      </c>
      <c r="V2" s="90">
        <v>43921</v>
      </c>
    </row>
    <row r="3" spans="1:22" s="17" customFormat="1" x14ac:dyDescent="0.15">
      <c r="A3" s="83" t="s">
        <v>58</v>
      </c>
      <c r="B3" s="28">
        <v>388.21100000000001</v>
      </c>
      <c r="C3" s="28">
        <v>452.27800000000002</v>
      </c>
      <c r="D3" s="28">
        <v>512.86699999999996</v>
      </c>
      <c r="E3" s="28">
        <v>640.67999999999995</v>
      </c>
      <c r="F3" s="27">
        <v>530.74099999999999</v>
      </c>
      <c r="G3" s="28">
        <v>534.524</v>
      </c>
      <c r="H3" s="28">
        <v>544.96600000000001</v>
      </c>
      <c r="I3" s="28">
        <v>637.82100000000003</v>
      </c>
      <c r="J3" s="27">
        <v>473.78</v>
      </c>
      <c r="K3" s="31">
        <v>489.14800000000002</v>
      </c>
      <c r="L3" s="31">
        <v>502.80200000000002</v>
      </c>
      <c r="M3" s="28">
        <f>L3*1.05</f>
        <v>527.9421000000001</v>
      </c>
      <c r="N3" s="27">
        <v>575.15599999999995</v>
      </c>
      <c r="O3" s="31">
        <v>601.05999999999995</v>
      </c>
      <c r="P3" s="31">
        <v>649.81600000000003</v>
      </c>
      <c r="Q3" s="62">
        <v>791</v>
      </c>
      <c r="R3" s="55">
        <v>679.46600000000001</v>
      </c>
      <c r="S3" s="17">
        <v>727</v>
      </c>
      <c r="T3" s="17">
        <v>702</v>
      </c>
      <c r="U3" s="17">
        <v>885</v>
      </c>
      <c r="V3" s="55">
        <v>682.19200000000001</v>
      </c>
    </row>
    <row r="4" spans="1:22" s="17" customFormat="1" x14ac:dyDescent="0.15">
      <c r="A4" s="83" t="s">
        <v>59</v>
      </c>
      <c r="B4" s="28">
        <v>47.728000000000002</v>
      </c>
      <c r="C4" s="28">
        <v>50.104999999999997</v>
      </c>
      <c r="D4" s="28">
        <v>56.37</v>
      </c>
      <c r="E4" s="28">
        <v>69.793000000000006</v>
      </c>
      <c r="F4" s="27">
        <v>63.78</v>
      </c>
      <c r="G4" s="28">
        <v>67.433999999999997</v>
      </c>
      <c r="H4" s="28">
        <v>70.968000000000004</v>
      </c>
      <c r="I4" s="28">
        <v>79.385000000000005</v>
      </c>
      <c r="J4" s="27">
        <v>74.471000000000004</v>
      </c>
      <c r="K4" s="31">
        <v>84.706999999999994</v>
      </c>
      <c r="L4" s="31">
        <v>86.831000000000003</v>
      </c>
      <c r="M4" s="28">
        <f>L4*1.02</f>
        <v>88.567620000000005</v>
      </c>
      <c r="N4" s="27">
        <v>89.715000000000003</v>
      </c>
      <c r="O4" s="31">
        <v>109.48099999999999</v>
      </c>
      <c r="P4" s="31">
        <v>108.295</v>
      </c>
      <c r="Q4" s="62">
        <v>118</v>
      </c>
      <c r="R4" s="55">
        <v>107.42400000000001</v>
      </c>
      <c r="S4" s="17">
        <v>114</v>
      </c>
      <c r="T4" s="17">
        <v>121</v>
      </c>
      <c r="U4" s="17">
        <v>123</v>
      </c>
      <c r="V4" s="55">
        <v>125.44499999999999</v>
      </c>
    </row>
    <row r="5" spans="1:22" s="17" customFormat="1" x14ac:dyDescent="0.15">
      <c r="A5" s="83"/>
      <c r="B5" s="28"/>
      <c r="C5" s="28"/>
      <c r="D5" s="28"/>
      <c r="E5" s="28"/>
      <c r="F5" s="27"/>
      <c r="G5" s="28"/>
      <c r="H5" s="28"/>
      <c r="I5" s="28"/>
      <c r="J5" s="27"/>
      <c r="K5" s="31"/>
      <c r="L5" s="31"/>
      <c r="M5" s="28"/>
      <c r="N5" s="27"/>
      <c r="O5" s="31"/>
      <c r="P5" s="31"/>
      <c r="Q5" s="62"/>
      <c r="R5" s="55"/>
      <c r="V5" s="55"/>
    </row>
    <row r="6" spans="1:22" x14ac:dyDescent="0.15">
      <c r="A6" s="89" t="s">
        <v>94</v>
      </c>
      <c r="C6" s="28"/>
      <c r="O6" s="25">
        <v>122</v>
      </c>
      <c r="P6" s="25">
        <v>124</v>
      </c>
      <c r="Q6" s="61">
        <v>126</v>
      </c>
      <c r="R6" s="52">
        <v>134</v>
      </c>
      <c r="S6" s="1">
        <v>139</v>
      </c>
      <c r="T6" s="1">
        <v>145</v>
      </c>
      <c r="U6" s="1">
        <v>152</v>
      </c>
      <c r="V6" s="52">
        <v>166</v>
      </c>
    </row>
    <row r="7" spans="1:22" s="17" customFormat="1" x14ac:dyDescent="0.15">
      <c r="A7" s="83" t="s">
        <v>60</v>
      </c>
      <c r="B7" s="28"/>
      <c r="C7" s="28"/>
      <c r="D7" s="28">
        <v>307</v>
      </c>
      <c r="E7" s="28">
        <v>305</v>
      </c>
      <c r="F7" s="27">
        <v>310</v>
      </c>
      <c r="G7" s="28">
        <v>313</v>
      </c>
      <c r="H7" s="28">
        <v>317</v>
      </c>
      <c r="I7" s="28">
        <v>318</v>
      </c>
      <c r="J7" s="27">
        <v>327</v>
      </c>
      <c r="K7" s="28">
        <v>326</v>
      </c>
      <c r="L7" s="28">
        <v>330</v>
      </c>
      <c r="M7" s="28">
        <v>330</v>
      </c>
      <c r="N7" s="27">
        <v>336</v>
      </c>
      <c r="O7" s="28">
        <v>335</v>
      </c>
      <c r="P7" s="28">
        <v>326</v>
      </c>
      <c r="Q7" s="60">
        <v>321</v>
      </c>
      <c r="R7" s="55">
        <v>330</v>
      </c>
      <c r="V7" s="55"/>
    </row>
    <row r="8" spans="1:22" s="58" customFormat="1" x14ac:dyDescent="0.15">
      <c r="A8" s="84" t="s">
        <v>77</v>
      </c>
      <c r="B8" s="59"/>
      <c r="C8" s="59"/>
      <c r="D8" s="68">
        <f t="shared" ref="D8:P8" si="0">SUM(D3:D4)/D7</f>
        <v>1.8541921824104233</v>
      </c>
      <c r="E8" s="68">
        <f t="shared" si="0"/>
        <v>2.3294196721311473</v>
      </c>
      <c r="F8" s="69">
        <f t="shared" si="0"/>
        <v>1.9178096774193547</v>
      </c>
      <c r="G8" s="68">
        <f t="shared" si="0"/>
        <v>1.9231884984025558</v>
      </c>
      <c r="H8" s="68">
        <f t="shared" si="0"/>
        <v>1.9430094637223974</v>
      </c>
      <c r="I8" s="68">
        <f t="shared" si="0"/>
        <v>2.2553647798742138</v>
      </c>
      <c r="J8" s="69">
        <f t="shared" si="0"/>
        <v>1.6766085626911313</v>
      </c>
      <c r="K8" s="68">
        <f t="shared" si="0"/>
        <v>1.7602914110429448</v>
      </c>
      <c r="L8" s="68">
        <f t="shared" si="0"/>
        <v>1.7867666666666668</v>
      </c>
      <c r="M8" s="68">
        <f t="shared" si="0"/>
        <v>1.8682112727272731</v>
      </c>
      <c r="N8" s="69">
        <f t="shared" si="0"/>
        <v>1.9787827380952381</v>
      </c>
      <c r="O8" s="68">
        <f t="shared" si="0"/>
        <v>2.1210179104477609</v>
      </c>
      <c r="P8" s="68">
        <f t="shared" si="0"/>
        <v>2.3254938650306749</v>
      </c>
      <c r="Q8" s="68">
        <f>SUM(Q3:Q4)/Q7</f>
        <v>2.8317757009345796</v>
      </c>
      <c r="R8" s="69">
        <f>SUM(R3:R4)/R6</f>
        <v>5.8723134328358206</v>
      </c>
      <c r="S8" s="68">
        <f>SUM(S3:S4)/S6</f>
        <v>6.0503597122302155</v>
      </c>
      <c r="T8" s="68">
        <f>SUM(T3:T4)/T6</f>
        <v>5.6758620689655173</v>
      </c>
      <c r="U8" s="68">
        <f>SUM(U3:U4)/U6</f>
        <v>6.6315789473684212</v>
      </c>
      <c r="V8" s="69">
        <f>SUM(V3:V4)/V6</f>
        <v>4.86528313253012</v>
      </c>
    </row>
    <row r="9" spans="1:22" s="74" customFormat="1" x14ac:dyDescent="0.15">
      <c r="A9" s="85"/>
      <c r="F9" s="71"/>
      <c r="J9" s="71"/>
      <c r="K9" s="75"/>
      <c r="L9" s="75"/>
      <c r="N9" s="71"/>
      <c r="O9" s="75"/>
      <c r="P9" s="75"/>
      <c r="Q9" s="76"/>
      <c r="R9" s="71" t="s">
        <v>92</v>
      </c>
      <c r="S9" s="74" t="s">
        <v>103</v>
      </c>
      <c r="U9" s="74" t="s">
        <v>102</v>
      </c>
      <c r="V9" s="71" t="s">
        <v>98</v>
      </c>
    </row>
    <row r="10" spans="1:22" s="54" customFormat="1" x14ac:dyDescent="0.15">
      <c r="A10" s="86" t="s">
        <v>4</v>
      </c>
      <c r="B10" s="48">
        <f t="shared" ref="B10" si="1">SUM(B3:B4)</f>
        <v>435.93900000000002</v>
      </c>
      <c r="C10" s="48">
        <f>SUM(C3:C4)</f>
        <v>502.38300000000004</v>
      </c>
      <c r="D10" s="48">
        <f t="shared" ref="D10:P10" si="2">D7*D8</f>
        <v>569.23699999999997</v>
      </c>
      <c r="E10" s="48">
        <f t="shared" si="2"/>
        <v>710.47299999999996</v>
      </c>
      <c r="F10" s="49">
        <f t="shared" si="2"/>
        <v>594.52099999999996</v>
      </c>
      <c r="G10" s="48">
        <f t="shared" si="2"/>
        <v>601.95799999999997</v>
      </c>
      <c r="H10" s="48">
        <f t="shared" si="2"/>
        <v>615.93399999999997</v>
      </c>
      <c r="I10" s="48">
        <f t="shared" si="2"/>
        <v>717.20600000000002</v>
      </c>
      <c r="J10" s="49">
        <f t="shared" si="2"/>
        <v>548.25099999999998</v>
      </c>
      <c r="K10" s="48">
        <f t="shared" si="2"/>
        <v>573.85500000000002</v>
      </c>
      <c r="L10" s="48">
        <f t="shared" si="2"/>
        <v>589.63300000000004</v>
      </c>
      <c r="M10" s="48">
        <f t="shared" si="2"/>
        <v>616.50972000000013</v>
      </c>
      <c r="N10" s="49">
        <f t="shared" si="2"/>
        <v>664.87099999999998</v>
      </c>
      <c r="O10" s="48">
        <f t="shared" si="2"/>
        <v>710.54099999999994</v>
      </c>
      <c r="P10" s="48">
        <f t="shared" si="2"/>
        <v>758.11099999999999</v>
      </c>
      <c r="Q10" s="48">
        <f>Q7*Q8</f>
        <v>909.00000000000011</v>
      </c>
      <c r="R10" s="49">
        <f>R8*R6</f>
        <v>786.89</v>
      </c>
      <c r="S10" s="48">
        <f>S8*S6</f>
        <v>841</v>
      </c>
      <c r="T10" s="48">
        <f>T8*T6</f>
        <v>823</v>
      </c>
      <c r="U10" s="48">
        <f>U8*U6</f>
        <v>1008</v>
      </c>
      <c r="V10" s="49">
        <f>V8*V6</f>
        <v>807.63699999999994</v>
      </c>
    </row>
    <row r="11" spans="1:22" s="17" customFormat="1" x14ac:dyDescent="0.15">
      <c r="A11" s="83" t="s">
        <v>5</v>
      </c>
      <c r="B11" s="31">
        <v>143.47499999999999</v>
      </c>
      <c r="C11" s="31">
        <v>167.62299999999999</v>
      </c>
      <c r="D11" s="31">
        <v>200.19499999999999</v>
      </c>
      <c r="E11" s="31">
        <v>217.96299999999999</v>
      </c>
      <c r="F11" s="27">
        <v>198.405</v>
      </c>
      <c r="G11" s="28">
        <v>202.96600000000001</v>
      </c>
      <c r="H11" s="28">
        <v>225.15899999999999</v>
      </c>
      <c r="I11" s="28">
        <v>305.70999999999998</v>
      </c>
      <c r="J11" s="27">
        <v>220.339</v>
      </c>
      <c r="K11" s="31">
        <v>212.90799999999999</v>
      </c>
      <c r="L11" s="31">
        <v>210.01599999999999</v>
      </c>
      <c r="M11" s="28">
        <f>M10-M12</f>
        <v>219.58897374387118</v>
      </c>
      <c r="N11" s="27">
        <v>222.82300000000001</v>
      </c>
      <c r="O11" s="31">
        <v>230.185</v>
      </c>
      <c r="P11" s="31">
        <v>243.64400000000001</v>
      </c>
      <c r="Q11" s="62">
        <v>268.34500000000003</v>
      </c>
      <c r="R11" s="55">
        <v>264</v>
      </c>
      <c r="S11" s="17">
        <v>278</v>
      </c>
      <c r="T11" s="17">
        <v>281</v>
      </c>
      <c r="U11" s="17">
        <v>314.00799999999998</v>
      </c>
      <c r="V11" s="55">
        <v>284</v>
      </c>
    </row>
    <row r="12" spans="1:22" s="17" customFormat="1" x14ac:dyDescent="0.15">
      <c r="A12" s="83" t="s">
        <v>6</v>
      </c>
      <c r="B12" s="53">
        <f>B10-B11</f>
        <v>292.46400000000006</v>
      </c>
      <c r="C12" s="53">
        <f>C10-C11</f>
        <v>334.76000000000005</v>
      </c>
      <c r="D12" s="53">
        <f>D10-D11</f>
        <v>369.04199999999997</v>
      </c>
      <c r="E12" s="53">
        <f>E10-E11</f>
        <v>492.51</v>
      </c>
      <c r="F12" s="56">
        <f>F10-F11</f>
        <v>396.11599999999999</v>
      </c>
      <c r="G12" s="57">
        <f t="shared" ref="G12:L12" si="3">G10-G11</f>
        <v>398.99199999999996</v>
      </c>
      <c r="H12" s="57">
        <f t="shared" si="3"/>
        <v>390.77499999999998</v>
      </c>
      <c r="I12" s="57">
        <f t="shared" si="3"/>
        <v>411.49600000000004</v>
      </c>
      <c r="J12" s="56">
        <f t="shared" si="3"/>
        <v>327.91199999999998</v>
      </c>
      <c r="K12" s="53">
        <f t="shared" si="3"/>
        <v>360.947</v>
      </c>
      <c r="L12" s="53">
        <f t="shared" si="3"/>
        <v>379.61700000000008</v>
      </c>
      <c r="M12" s="57">
        <f>M10*L25</f>
        <v>396.92074625612895</v>
      </c>
      <c r="N12" s="56">
        <f t="shared" ref="N12" si="4">N10-N11</f>
        <v>442.048</v>
      </c>
      <c r="O12" s="53">
        <f t="shared" ref="O12" si="5">O10-O11</f>
        <v>480.35599999999994</v>
      </c>
      <c r="P12" s="53">
        <f>P10-P11</f>
        <v>514.46699999999998</v>
      </c>
      <c r="Q12" s="53">
        <f>Q10-Q11</f>
        <v>640.65500000000009</v>
      </c>
      <c r="R12" s="56">
        <f>R10-R11</f>
        <v>522.89</v>
      </c>
      <c r="S12" s="53">
        <f>S10-S11</f>
        <v>563</v>
      </c>
      <c r="T12" s="53">
        <f>T10-T11</f>
        <v>542</v>
      </c>
      <c r="U12" s="53">
        <f>U10-U11</f>
        <v>693.99199999999996</v>
      </c>
      <c r="V12" s="56">
        <f>V10-V11</f>
        <v>523.63699999999994</v>
      </c>
    </row>
    <row r="13" spans="1:22" s="17" customFormat="1" x14ac:dyDescent="0.15">
      <c r="A13" s="83" t="s">
        <v>7</v>
      </c>
      <c r="B13" s="31">
        <v>189.74600000000001</v>
      </c>
      <c r="C13" s="31">
        <v>198.90700000000001</v>
      </c>
      <c r="D13" s="31">
        <v>207.93700000000001</v>
      </c>
      <c r="E13" s="31">
        <v>210.05799999999999</v>
      </c>
      <c r="F13" s="27">
        <v>155.79400000000001</v>
      </c>
      <c r="G13" s="28">
        <v>178.511</v>
      </c>
      <c r="H13" s="28">
        <v>177.04900000000001</v>
      </c>
      <c r="I13" s="28">
        <v>202.12799999999999</v>
      </c>
      <c r="J13" s="27">
        <v>128.72800000000001</v>
      </c>
      <c r="K13" s="31">
        <v>143.17099999999999</v>
      </c>
      <c r="L13" s="31">
        <v>136.11500000000001</v>
      </c>
      <c r="M13" s="28">
        <f>L13*1.05</f>
        <v>142.92075000000003</v>
      </c>
      <c r="N13" s="27">
        <v>123.346</v>
      </c>
      <c r="O13" s="31">
        <v>138.57400000000001</v>
      </c>
      <c r="P13" s="31">
        <v>150.76400000000001</v>
      </c>
      <c r="Q13" s="62">
        <v>141.17400000000001</v>
      </c>
      <c r="R13" s="55">
        <v>146</v>
      </c>
      <c r="S13" s="17">
        <v>159</v>
      </c>
      <c r="T13" s="17">
        <v>179</v>
      </c>
      <c r="U13" s="17">
        <v>198</v>
      </c>
      <c r="V13" s="55">
        <v>200</v>
      </c>
    </row>
    <row r="14" spans="1:22" s="17" customFormat="1" x14ac:dyDescent="0.15">
      <c r="A14" s="83" t="s">
        <v>8</v>
      </c>
      <c r="B14" s="31">
        <v>183.55699999999999</v>
      </c>
      <c r="C14" s="31">
        <v>201.94800000000001</v>
      </c>
      <c r="D14" s="31">
        <v>208.797</v>
      </c>
      <c r="E14" s="31">
        <v>277.18900000000002</v>
      </c>
      <c r="F14" s="27">
        <v>236.17099999999999</v>
      </c>
      <c r="G14" s="28">
        <v>236.619</v>
      </c>
      <c r="H14" s="28">
        <v>224.43600000000001</v>
      </c>
      <c r="I14" s="28">
        <v>260.60300000000001</v>
      </c>
      <c r="J14" s="27">
        <v>169.59399999999999</v>
      </c>
      <c r="K14" s="31">
        <v>185.29599999999999</v>
      </c>
      <c r="L14" s="31">
        <v>172.95699999999999</v>
      </c>
      <c r="M14" s="28">
        <f>L14*1.05</f>
        <v>181.60485</v>
      </c>
      <c r="N14" s="27">
        <v>178.059</v>
      </c>
      <c r="O14" s="31">
        <v>188.03200000000001</v>
      </c>
      <c r="P14" s="31">
        <v>193.49600000000001</v>
      </c>
      <c r="Q14" s="62">
        <v>211.774</v>
      </c>
      <c r="R14" s="55">
        <v>206</v>
      </c>
      <c r="S14" s="17">
        <v>240</v>
      </c>
      <c r="T14" s="17">
        <v>226</v>
      </c>
      <c r="U14" s="17">
        <v>242</v>
      </c>
      <c r="V14" s="55">
        <v>221</v>
      </c>
    </row>
    <row r="15" spans="1:22" s="17" customFormat="1" x14ac:dyDescent="0.15">
      <c r="A15" s="83" t="s">
        <v>9</v>
      </c>
      <c r="B15" s="31">
        <v>65.777000000000001</v>
      </c>
      <c r="C15" s="31">
        <v>64.909000000000006</v>
      </c>
      <c r="D15" s="31">
        <v>57.545000000000002</v>
      </c>
      <c r="E15" s="31">
        <v>72.441999999999993</v>
      </c>
      <c r="F15" s="27">
        <v>63.267000000000003</v>
      </c>
      <c r="G15" s="28">
        <v>70.238</v>
      </c>
      <c r="H15" s="28">
        <v>67.379000000000005</v>
      </c>
      <c r="I15" s="28">
        <v>92.391999999999996</v>
      </c>
      <c r="J15" s="27">
        <v>69.867999999999995</v>
      </c>
      <c r="K15" s="31">
        <v>70.838999999999999</v>
      </c>
      <c r="L15" s="31">
        <v>63.265999999999998</v>
      </c>
      <c r="M15" s="28">
        <f>L15*1.1</f>
        <v>69.592600000000004</v>
      </c>
      <c r="N15" s="27">
        <v>65.718000000000004</v>
      </c>
      <c r="O15" s="31">
        <v>74.126000000000005</v>
      </c>
      <c r="P15" s="31">
        <v>78.338999999999999</v>
      </c>
      <c r="Q15" s="62">
        <v>80.635000000000005</v>
      </c>
      <c r="R15" s="55">
        <v>77</v>
      </c>
      <c r="S15" s="17">
        <v>88</v>
      </c>
      <c r="T15" s="17">
        <v>94</v>
      </c>
      <c r="U15" s="17">
        <v>101</v>
      </c>
      <c r="V15" s="55">
        <v>109</v>
      </c>
    </row>
    <row r="16" spans="1:22" s="17" customFormat="1" x14ac:dyDescent="0.15">
      <c r="A16" s="83" t="s">
        <v>10</v>
      </c>
      <c r="B16" s="53">
        <f>SUM(B13:B15)</f>
        <v>439.08</v>
      </c>
      <c r="C16" s="53">
        <f>SUM(C13:C15)</f>
        <v>465.76400000000001</v>
      </c>
      <c r="D16" s="53">
        <f>SUM(D13:D15)</f>
        <v>474.27900000000005</v>
      </c>
      <c r="E16" s="53">
        <f>SUM(E13:E15)</f>
        <v>559.68899999999996</v>
      </c>
      <c r="F16" s="56">
        <f>SUM(F13:F15)</f>
        <v>455.23200000000003</v>
      </c>
      <c r="G16" s="57">
        <f t="shared" ref="G16:L16" si="6">SUM(G13:G15)</f>
        <v>485.36799999999999</v>
      </c>
      <c r="H16" s="57">
        <f t="shared" si="6"/>
        <v>468.86400000000003</v>
      </c>
      <c r="I16" s="57">
        <f t="shared" si="6"/>
        <v>555.12300000000005</v>
      </c>
      <c r="J16" s="56">
        <f t="shared" si="6"/>
        <v>368.19</v>
      </c>
      <c r="K16" s="53">
        <f t="shared" si="6"/>
        <v>399.30599999999998</v>
      </c>
      <c r="L16" s="53">
        <f t="shared" si="6"/>
        <v>372.33800000000002</v>
      </c>
      <c r="M16" s="57">
        <f>SUM(M13:M15)</f>
        <v>394.11820000000006</v>
      </c>
      <c r="N16" s="56">
        <f t="shared" ref="N16" si="7">SUM(N13:N15)</f>
        <v>367.12299999999999</v>
      </c>
      <c r="O16" s="53">
        <f t="shared" ref="O16" si="8">SUM(O13:O15)</f>
        <v>400.73199999999997</v>
      </c>
      <c r="P16" s="53">
        <f>SUM(P13:P15)</f>
        <v>422.59899999999999</v>
      </c>
      <c r="Q16" s="53">
        <f>SUM(Q13:Q15)</f>
        <v>433.58299999999997</v>
      </c>
      <c r="R16" s="56">
        <f>SUM(R13:R15)</f>
        <v>429</v>
      </c>
      <c r="S16" s="53">
        <f>SUM(S13:S15)</f>
        <v>487</v>
      </c>
      <c r="T16" s="53">
        <f>SUM(T13:T15)</f>
        <v>499</v>
      </c>
      <c r="U16" s="53">
        <f>SUM(U13:U15)</f>
        <v>541</v>
      </c>
      <c r="V16" s="56">
        <f>SUM(V13:V15)</f>
        <v>530</v>
      </c>
    </row>
    <row r="17" spans="1:22" s="17" customFormat="1" x14ac:dyDescent="0.15">
      <c r="A17" s="83" t="s">
        <v>11</v>
      </c>
      <c r="B17" s="53">
        <f>B12-B16</f>
        <v>-146.61599999999993</v>
      </c>
      <c r="C17" s="53">
        <f>C12-C16</f>
        <v>-131.00399999999996</v>
      </c>
      <c r="D17" s="53">
        <f>D12-D16</f>
        <v>-105.23700000000008</v>
      </c>
      <c r="E17" s="53">
        <f>E12-E16</f>
        <v>-67.178999999999974</v>
      </c>
      <c r="F17" s="56">
        <f>F12-F16</f>
        <v>-59.116000000000042</v>
      </c>
      <c r="G17" s="57">
        <f t="shared" ref="G17:H17" si="9">G12-G16</f>
        <v>-86.376000000000033</v>
      </c>
      <c r="H17" s="57">
        <f t="shared" si="9"/>
        <v>-78.089000000000055</v>
      </c>
      <c r="I17" s="57">
        <f t="shared" ref="I17:P17" si="10">I12-I16</f>
        <v>-143.62700000000001</v>
      </c>
      <c r="J17" s="56">
        <f t="shared" si="10"/>
        <v>-40.27800000000002</v>
      </c>
      <c r="K17" s="53">
        <f t="shared" si="10"/>
        <v>-38.35899999999998</v>
      </c>
      <c r="L17" s="53">
        <f t="shared" si="10"/>
        <v>7.2790000000000532</v>
      </c>
      <c r="M17" s="57">
        <f t="shared" si="10"/>
        <v>2.8025462561288919</v>
      </c>
      <c r="N17" s="56">
        <f t="shared" si="10"/>
        <v>74.925000000000011</v>
      </c>
      <c r="O17" s="53">
        <f t="shared" si="10"/>
        <v>79.623999999999967</v>
      </c>
      <c r="P17" s="53">
        <f t="shared" si="10"/>
        <v>91.867999999999995</v>
      </c>
      <c r="Q17" s="53">
        <f>Q12-Q16</f>
        <v>207.07200000000012</v>
      </c>
      <c r="R17" s="56">
        <f>R12-R16</f>
        <v>93.889999999999986</v>
      </c>
      <c r="S17" s="53">
        <f t="shared" ref="S17:T17" si="11">S12-S16</f>
        <v>76</v>
      </c>
      <c r="T17" s="53">
        <f t="shared" si="11"/>
        <v>43</v>
      </c>
      <c r="U17" s="53">
        <f t="shared" ref="U17:V17" si="12">U12-U16</f>
        <v>152.99199999999996</v>
      </c>
      <c r="V17" s="56">
        <f t="shared" si="12"/>
        <v>-6.3630000000000564</v>
      </c>
    </row>
    <row r="18" spans="1:22" s="17" customFormat="1" x14ac:dyDescent="0.15">
      <c r="A18" s="83" t="s">
        <v>12</v>
      </c>
      <c r="B18" s="31">
        <f>-24.319+9.125</f>
        <v>-15.193999999999999</v>
      </c>
      <c r="C18" s="31">
        <f>-24.437-0.695</f>
        <v>-25.132000000000001</v>
      </c>
      <c r="D18" s="31">
        <f>-25.239+1.948</f>
        <v>-23.291</v>
      </c>
      <c r="E18" s="31">
        <f>-24.183+4.531</f>
        <v>-19.652000000000001</v>
      </c>
      <c r="F18" s="27">
        <f>-24.893+6.306</f>
        <v>-18.587</v>
      </c>
      <c r="G18" s="28">
        <f>-24.934+6.734</f>
        <v>-18.200000000000003</v>
      </c>
      <c r="H18" s="28">
        <f>-24.86+6.64</f>
        <v>-18.22</v>
      </c>
      <c r="I18" s="28">
        <f>-25.281+6.662</f>
        <v>-18.619</v>
      </c>
      <c r="J18" s="27">
        <f>-25.409+7.322</f>
        <v>-18.087</v>
      </c>
      <c r="K18" s="31">
        <f>-26.396-48.32</f>
        <v>-74.716000000000008</v>
      </c>
      <c r="L18" s="31">
        <f>-26.732+1.922</f>
        <v>-24.81</v>
      </c>
      <c r="M18" s="28">
        <f>L18*1.02</f>
        <v>-25.3062</v>
      </c>
      <c r="N18" s="27">
        <f>-27.015+16.181-0.209</f>
        <v>-11.042999999999999</v>
      </c>
      <c r="O18" s="31">
        <f>-29.982+21.96-5.735</f>
        <v>-13.756999999999998</v>
      </c>
      <c r="P18" s="31">
        <f>-38.336+36.067-2.341</f>
        <v>-4.6099999999999985</v>
      </c>
      <c r="Q18" s="62">
        <f>-37.273+37.013-0.111</f>
        <v>-0.3710000000000051</v>
      </c>
      <c r="R18" s="92">
        <f>-37+41-0</f>
        <v>4</v>
      </c>
      <c r="S18" s="17">
        <f>-38+43+8</f>
        <v>13</v>
      </c>
      <c r="T18" s="17">
        <f>-36+40-1</f>
        <v>3</v>
      </c>
      <c r="U18" s="17">
        <f>-26+34-2</f>
        <v>6</v>
      </c>
      <c r="V18" s="55">
        <f>-33+33-8</f>
        <v>-8</v>
      </c>
    </row>
    <row r="19" spans="1:22" s="17" customFormat="1" x14ac:dyDescent="0.15">
      <c r="A19" s="83" t="s">
        <v>13</v>
      </c>
      <c r="B19" s="53">
        <f>B17+B18</f>
        <v>-161.80999999999992</v>
      </c>
      <c r="C19" s="53">
        <f>C17+C18</f>
        <v>-156.13599999999997</v>
      </c>
      <c r="D19" s="53">
        <f>D17+D18</f>
        <v>-128.52800000000008</v>
      </c>
      <c r="E19" s="53">
        <f>E17+E18</f>
        <v>-86.830999999999975</v>
      </c>
      <c r="F19" s="56">
        <f>F17+F18</f>
        <v>-77.703000000000046</v>
      </c>
      <c r="G19" s="57">
        <f t="shared" ref="G19:I19" si="13">G17+G18</f>
        <v>-104.57600000000004</v>
      </c>
      <c r="H19" s="57">
        <f>H17+H18</f>
        <v>-96.309000000000054</v>
      </c>
      <c r="I19" s="57">
        <f t="shared" si="13"/>
        <v>-162.24600000000001</v>
      </c>
      <c r="J19" s="56">
        <f>J17+J18</f>
        <v>-58.365000000000023</v>
      </c>
      <c r="K19" s="53">
        <f t="shared" ref="K19" si="14">K17+K18</f>
        <v>-113.07499999999999</v>
      </c>
      <c r="L19" s="53">
        <f t="shared" ref="L19" si="15">L17+L18</f>
        <v>-17.530999999999946</v>
      </c>
      <c r="M19" s="57">
        <f>M17+M18</f>
        <v>-22.503653743871109</v>
      </c>
      <c r="N19" s="56">
        <f t="shared" ref="N19" si="16">N17+N18</f>
        <v>63.882000000000012</v>
      </c>
      <c r="O19" s="53">
        <f t="shared" ref="O19:P19" si="17">O17+O18</f>
        <v>65.866999999999962</v>
      </c>
      <c r="P19" s="53">
        <f t="shared" si="17"/>
        <v>87.257999999999996</v>
      </c>
      <c r="Q19" s="53">
        <f>Q17+Q18</f>
        <v>206.70100000000011</v>
      </c>
      <c r="R19" s="56">
        <f>R17+R18</f>
        <v>97.889999999999986</v>
      </c>
      <c r="S19" s="53">
        <f t="shared" ref="S19:V19" si="18">S17+S18</f>
        <v>89</v>
      </c>
      <c r="T19" s="53">
        <f t="shared" si="18"/>
        <v>46</v>
      </c>
      <c r="U19" s="53">
        <f t="shared" si="18"/>
        <v>158.99199999999996</v>
      </c>
      <c r="V19" s="56">
        <f t="shared" si="18"/>
        <v>-14.363000000000056</v>
      </c>
    </row>
    <row r="20" spans="1:22" s="17" customFormat="1" x14ac:dyDescent="0.15">
      <c r="A20" s="83" t="s">
        <v>14</v>
      </c>
      <c r="B20" s="31">
        <v>0.63200000000000001</v>
      </c>
      <c r="C20" s="31">
        <v>-19.472999999999999</v>
      </c>
      <c r="D20" s="31">
        <v>3.1619999999999999</v>
      </c>
      <c r="E20" s="31">
        <v>3.4049999999999998</v>
      </c>
      <c r="F20" s="27">
        <v>2.028</v>
      </c>
      <c r="G20" s="28">
        <v>2.641</v>
      </c>
      <c r="H20" s="28">
        <v>6.5620000000000003</v>
      </c>
      <c r="I20" s="28">
        <v>4.8079999999999998</v>
      </c>
      <c r="J20" s="27">
        <v>3.194</v>
      </c>
      <c r="K20" s="31">
        <v>3.4129999999999998</v>
      </c>
      <c r="L20" s="31">
        <v>3.5640000000000001</v>
      </c>
      <c r="M20" s="28">
        <f>M19*L27</f>
        <v>4.5749256712769881</v>
      </c>
      <c r="N20" s="27">
        <v>2.8849999999999998</v>
      </c>
      <c r="O20" s="31">
        <v>-34.25</v>
      </c>
      <c r="P20" s="31">
        <v>-701.92100000000005</v>
      </c>
      <c r="Q20" s="62">
        <v>-48.765999999999998</v>
      </c>
      <c r="R20" s="92">
        <v>-94</v>
      </c>
      <c r="S20" s="17">
        <v>-1032</v>
      </c>
      <c r="T20" s="17">
        <v>11</v>
      </c>
      <c r="U20" s="17">
        <v>39</v>
      </c>
      <c r="V20" s="27">
        <v>-7</v>
      </c>
    </row>
    <row r="21" spans="1:22" s="54" customFormat="1" x14ac:dyDescent="0.15">
      <c r="A21" s="86" t="s">
        <v>15</v>
      </c>
      <c r="B21" s="48">
        <f>B19-B20</f>
        <v>-162.44199999999992</v>
      </c>
      <c r="C21" s="48">
        <f>C19-C20</f>
        <v>-136.66299999999995</v>
      </c>
      <c r="D21" s="48">
        <f>D19-D20</f>
        <v>-131.69000000000008</v>
      </c>
      <c r="E21" s="48">
        <f>E19-E20</f>
        <v>-90.235999999999976</v>
      </c>
      <c r="F21" s="49">
        <f>F19-F20</f>
        <v>-79.731000000000051</v>
      </c>
      <c r="G21" s="50">
        <f t="shared" ref="G21" si="19">G19-G20</f>
        <v>-107.21700000000004</v>
      </c>
      <c r="H21" s="50">
        <f t="shared" ref="H21:N21" si="20">H19-H20</f>
        <v>-102.87100000000005</v>
      </c>
      <c r="I21" s="50">
        <f t="shared" si="20"/>
        <v>-167.054</v>
      </c>
      <c r="J21" s="49">
        <f t="shared" si="20"/>
        <v>-61.559000000000026</v>
      </c>
      <c r="K21" s="48">
        <f t="shared" si="20"/>
        <v>-116.48799999999999</v>
      </c>
      <c r="L21" s="48">
        <f t="shared" si="20"/>
        <v>-21.094999999999946</v>
      </c>
      <c r="M21" s="50">
        <f t="shared" si="20"/>
        <v>-27.078579415148099</v>
      </c>
      <c r="N21" s="49">
        <f t="shared" si="20"/>
        <v>60.997000000000014</v>
      </c>
      <c r="O21" s="48">
        <f t="shared" ref="O21:P21" si="21">O19-O20</f>
        <v>100.11699999999996</v>
      </c>
      <c r="P21" s="48">
        <f t="shared" si="21"/>
        <v>789.17900000000009</v>
      </c>
      <c r="Q21" s="48">
        <f t="shared" ref="Q21:S21" si="22">Q19-Q20</f>
        <v>255.4670000000001</v>
      </c>
      <c r="R21" s="49">
        <f t="shared" si="22"/>
        <v>191.89</v>
      </c>
      <c r="S21" s="48">
        <f t="shared" si="22"/>
        <v>1121</v>
      </c>
      <c r="T21" s="48">
        <f t="shared" ref="T21:V21" si="23">T19-T20</f>
        <v>35</v>
      </c>
      <c r="U21" s="48">
        <f t="shared" si="23"/>
        <v>119.99199999999996</v>
      </c>
      <c r="V21" s="49">
        <f t="shared" si="23"/>
        <v>-7.3630000000000564</v>
      </c>
    </row>
    <row r="22" spans="1:22" x14ac:dyDescent="0.15">
      <c r="A22" s="78" t="s">
        <v>16</v>
      </c>
      <c r="B22" s="35">
        <f t="shared" ref="B22:K22" si="24">IFERROR(B21/B23,0)</f>
        <v>-0.25363174198705923</v>
      </c>
      <c r="C22" s="35">
        <f t="shared" si="24"/>
        <v>-0.20841638440739271</v>
      </c>
      <c r="D22" s="35">
        <f t="shared" si="24"/>
        <v>-0.19637520802142558</v>
      </c>
      <c r="E22" s="35">
        <f t="shared" si="24"/>
        <v>-0.1324226913052666</v>
      </c>
      <c r="F22" s="36">
        <f t="shared" si="24"/>
        <v>-0.11529084799093078</v>
      </c>
      <c r="G22" s="35">
        <f t="shared" si="24"/>
        <v>-0.15353430919083644</v>
      </c>
      <c r="H22" s="35">
        <f t="shared" si="24"/>
        <v>-0.14604910280127045</v>
      </c>
      <c r="I22" s="35">
        <f t="shared" si="24"/>
        <v>-0.2340944314745424</v>
      </c>
      <c r="J22" s="36">
        <f t="shared" si="24"/>
        <v>-8.5256104857294845E-2</v>
      </c>
      <c r="K22" s="35">
        <f t="shared" si="24"/>
        <v>-0.15955752127538628</v>
      </c>
      <c r="L22" s="35">
        <f t="shared" ref="L22" si="25">IFERROR(L21/L23,0)</f>
        <v>-2.8641643415273206E-2</v>
      </c>
      <c r="M22" s="37">
        <f t="shared" ref="M22:N22" si="26">IFERROR(M21/M23,0)</f>
        <v>-3.6765822033696667E-2</v>
      </c>
      <c r="N22" s="36">
        <f t="shared" si="26"/>
        <v>7.9645000855246603E-2</v>
      </c>
      <c r="O22" s="35">
        <f t="shared" ref="O22:P22" si="27">IFERROR(O21/O23,0)</f>
        <v>0.12959190013410027</v>
      </c>
      <c r="P22" s="35">
        <f t="shared" si="27"/>
        <v>1.0169806263385921</v>
      </c>
      <c r="Q22" s="35">
        <f t="shared" ref="Q22:S22" si="28">IFERROR(Q21/Q23,0)</f>
        <v>0.32915533371385441</v>
      </c>
      <c r="R22" s="36">
        <f t="shared" si="28"/>
        <v>0.24674387833697017</v>
      </c>
      <c r="S22" s="35">
        <f t="shared" si="28"/>
        <v>1.4279236130925692</v>
      </c>
      <c r="T22" s="35">
        <f t="shared" ref="T22:V22" si="29">IFERROR(T21/T23,0)</f>
        <v>4.4274486637327436E-2</v>
      </c>
      <c r="U22" s="35">
        <f t="shared" si="29"/>
        <v>0.15214204928716693</v>
      </c>
      <c r="V22" s="36">
        <f t="shared" si="29"/>
        <v>-9.4314245895928423E-3</v>
      </c>
    </row>
    <row r="23" spans="1:22" x14ac:dyDescent="0.15">
      <c r="A23" s="78" t="s">
        <v>17</v>
      </c>
      <c r="B23" s="31">
        <v>640.46400000000006</v>
      </c>
      <c r="C23" s="31">
        <v>655.721</v>
      </c>
      <c r="D23" s="31">
        <v>670.60400000000004</v>
      </c>
      <c r="E23" s="31">
        <v>681.42399999999998</v>
      </c>
      <c r="F23" s="27">
        <v>691.56399999999996</v>
      </c>
      <c r="G23" s="28">
        <v>698.32600000000002</v>
      </c>
      <c r="H23" s="31">
        <v>704.35900000000004</v>
      </c>
      <c r="I23" s="28">
        <v>713.61800000000005</v>
      </c>
      <c r="J23" s="27">
        <v>722.048</v>
      </c>
      <c r="K23" s="31">
        <v>730.06899999999996</v>
      </c>
      <c r="L23" s="31">
        <v>736.51499999999999</v>
      </c>
      <c r="M23" s="28">
        <f>L23</f>
        <v>736.51499999999999</v>
      </c>
      <c r="N23" s="27">
        <v>765.86099999999999</v>
      </c>
      <c r="O23" s="31">
        <v>772.55600000000004</v>
      </c>
      <c r="P23" s="31">
        <v>776.00199999999995</v>
      </c>
      <c r="Q23" s="62">
        <v>776.12900000000002</v>
      </c>
      <c r="R23" s="92">
        <v>777.68899999999996</v>
      </c>
      <c r="S23" s="73">
        <v>785.05600000000004</v>
      </c>
      <c r="T23" s="73">
        <v>790.52300000000002</v>
      </c>
      <c r="U23" s="31">
        <v>788.68399999999997</v>
      </c>
      <c r="V23" s="27">
        <v>780.68799999999999</v>
      </c>
    </row>
    <row r="24" spans="1:22" x14ac:dyDescent="0.15">
      <c r="B24" s="31"/>
      <c r="C24" s="31"/>
      <c r="D24" s="31"/>
      <c r="E24" s="31"/>
      <c r="F24" s="27"/>
      <c r="G24" s="28"/>
      <c r="H24" s="31"/>
      <c r="I24" s="28"/>
      <c r="J24" s="27"/>
      <c r="K24" s="31"/>
      <c r="L24" s="31"/>
      <c r="M24" s="28"/>
      <c r="N24" s="27"/>
      <c r="O24" s="31"/>
      <c r="P24" s="31"/>
      <c r="Q24" s="62"/>
    </row>
    <row r="25" spans="1:22" x14ac:dyDescent="0.15">
      <c r="A25" s="78" t="s">
        <v>19</v>
      </c>
      <c r="B25" s="38">
        <f t="shared" ref="B25:Q25" si="30">IFERROR(B12/B10,0)</f>
        <v>0.6708828528762053</v>
      </c>
      <c r="C25" s="38">
        <f t="shared" si="30"/>
        <v>0.6663442035259951</v>
      </c>
      <c r="D25" s="38">
        <f t="shared" si="30"/>
        <v>0.64830993066156972</v>
      </c>
      <c r="E25" s="38">
        <f t="shared" si="30"/>
        <v>0.6932142389647461</v>
      </c>
      <c r="F25" s="39">
        <f t="shared" si="30"/>
        <v>0.66627755789955279</v>
      </c>
      <c r="G25" s="40">
        <f t="shared" si="30"/>
        <v>0.66282365214848871</v>
      </c>
      <c r="H25" s="40">
        <f t="shared" si="30"/>
        <v>0.63444297603314637</v>
      </c>
      <c r="I25" s="40">
        <f t="shared" si="30"/>
        <v>0.57374868587267813</v>
      </c>
      <c r="J25" s="39">
        <f t="shared" si="30"/>
        <v>0.59810561221046565</v>
      </c>
      <c r="K25" s="38">
        <f t="shared" si="30"/>
        <v>0.62898641642923736</v>
      </c>
      <c r="L25" s="38">
        <f t="shared" si="30"/>
        <v>0.64381912138567554</v>
      </c>
      <c r="M25" s="40">
        <f t="shared" si="30"/>
        <v>0.64381912138567554</v>
      </c>
      <c r="N25" s="39">
        <f t="shared" si="30"/>
        <v>0.66486280797327602</v>
      </c>
      <c r="O25" s="38">
        <f t="shared" si="30"/>
        <v>0.67604262104509094</v>
      </c>
      <c r="P25" s="38">
        <f t="shared" si="30"/>
        <v>0.67861698352879718</v>
      </c>
      <c r="Q25" s="63">
        <f t="shared" si="30"/>
        <v>0.70479097909790978</v>
      </c>
      <c r="R25" s="93">
        <f t="shared" ref="R25" si="31">IFERROR(R12/R10,0)</f>
        <v>0.6645020269669204</v>
      </c>
      <c r="S25" s="63">
        <f t="shared" ref="S25:T25" si="32">IFERROR(S12/S10,0)</f>
        <v>0.66944114149821643</v>
      </c>
      <c r="T25" s="63">
        <f t="shared" si="32"/>
        <v>0.65856622114216279</v>
      </c>
      <c r="U25" s="63">
        <f t="shared" ref="U25:V25" si="33">IFERROR(U12/U10,0)</f>
        <v>0.68848412698412698</v>
      </c>
      <c r="V25" s="93">
        <f t="shared" si="33"/>
        <v>0.64835687319922186</v>
      </c>
    </row>
    <row r="26" spans="1:22" x14ac:dyDescent="0.15">
      <c r="A26" s="78" t="s">
        <v>20</v>
      </c>
      <c r="B26" s="41">
        <f t="shared" ref="B26:Q26" si="34">IFERROR(B17/B10,0)</f>
        <v>-0.3363222836222497</v>
      </c>
      <c r="C26" s="41">
        <f t="shared" si="34"/>
        <v>-0.26076519308973423</v>
      </c>
      <c r="D26" s="41">
        <f t="shared" si="34"/>
        <v>-0.18487378719232953</v>
      </c>
      <c r="E26" s="41">
        <f t="shared" si="34"/>
        <v>-9.455531737307396E-2</v>
      </c>
      <c r="F26" s="42">
        <f t="shared" si="34"/>
        <v>-9.9434670936771025E-2</v>
      </c>
      <c r="G26" s="43">
        <f t="shared" si="34"/>
        <v>-0.14349173862628295</v>
      </c>
      <c r="H26" s="43">
        <f t="shared" si="34"/>
        <v>-0.12678144086866461</v>
      </c>
      <c r="I26" s="43">
        <f t="shared" si="34"/>
        <v>-0.20025906085559797</v>
      </c>
      <c r="J26" s="42">
        <f t="shared" si="34"/>
        <v>-7.3466350266575026E-2</v>
      </c>
      <c r="K26" s="41">
        <f t="shared" si="34"/>
        <v>-6.6844411915902069E-2</v>
      </c>
      <c r="L26" s="41">
        <f t="shared" si="34"/>
        <v>1.2344967123617661E-2</v>
      </c>
      <c r="M26" s="43">
        <f t="shared" si="34"/>
        <v>4.5458265542494469E-3</v>
      </c>
      <c r="N26" s="42">
        <f t="shared" si="34"/>
        <v>0.11269103329818869</v>
      </c>
      <c r="O26" s="41">
        <f t="shared" si="34"/>
        <v>0.11206109147818349</v>
      </c>
      <c r="P26" s="41">
        <f t="shared" si="34"/>
        <v>0.12118014380479902</v>
      </c>
      <c r="Q26" s="64">
        <f t="shared" si="34"/>
        <v>0.22780198019801989</v>
      </c>
      <c r="R26" s="94">
        <f t="shared" ref="R26" si="35">IFERROR(R17/R10,0)</f>
        <v>0.11931782078816605</v>
      </c>
      <c r="S26" s="64">
        <f t="shared" ref="S26:T26" si="36">IFERROR(S17/S10,0)</f>
        <v>9.0368608799048747E-2</v>
      </c>
      <c r="T26" s="64">
        <f t="shared" si="36"/>
        <v>5.2247873633049821E-2</v>
      </c>
      <c r="U26" s="64">
        <f t="shared" ref="U26:V26" si="37">IFERROR(U17/U10,0)</f>
        <v>0.15177777777777773</v>
      </c>
      <c r="V26" s="94">
        <f t="shared" si="37"/>
        <v>-7.8785394923710245E-3</v>
      </c>
    </row>
    <row r="27" spans="1:22" x14ac:dyDescent="0.15">
      <c r="A27" s="78" t="s">
        <v>21</v>
      </c>
      <c r="B27" s="41">
        <f t="shared" ref="B27:Q27" si="38">IFERROR(B20/B19,0)</f>
        <v>-3.9058154625795705E-3</v>
      </c>
      <c r="C27" s="41">
        <f t="shared" si="38"/>
        <v>0.12471819439463035</v>
      </c>
      <c r="D27" s="41">
        <f t="shared" si="38"/>
        <v>-2.4601643221710431E-2</v>
      </c>
      <c r="E27" s="41">
        <f t="shared" si="38"/>
        <v>-3.921410556137786E-2</v>
      </c>
      <c r="F27" s="42">
        <f t="shared" si="38"/>
        <v>-2.6099378402378273E-2</v>
      </c>
      <c r="G27" s="43">
        <f t="shared" si="38"/>
        <v>-2.5254360465116272E-2</v>
      </c>
      <c r="H27" s="43">
        <f t="shared" si="38"/>
        <v>-6.8134857593786624E-2</v>
      </c>
      <c r="I27" s="43">
        <f t="shared" si="38"/>
        <v>-2.9634012548845578E-2</v>
      </c>
      <c r="J27" s="42">
        <f t="shared" si="38"/>
        <v>-5.4724578086181766E-2</v>
      </c>
      <c r="K27" s="41">
        <f t="shared" si="38"/>
        <v>-3.0183506522219766E-2</v>
      </c>
      <c r="L27" s="41">
        <f t="shared" si="38"/>
        <v>-0.20329701671325145</v>
      </c>
      <c r="M27" s="43">
        <f t="shared" si="38"/>
        <v>-0.20329701671325143</v>
      </c>
      <c r="N27" s="42">
        <f t="shared" si="38"/>
        <v>4.5161391315237456E-2</v>
      </c>
      <c r="O27" s="41">
        <f t="shared" si="38"/>
        <v>-0.5199872470281024</v>
      </c>
      <c r="P27" s="41">
        <f t="shared" si="38"/>
        <v>-8.0442022507964897</v>
      </c>
      <c r="Q27" s="64">
        <f t="shared" si="38"/>
        <v>-0.23592532208358921</v>
      </c>
      <c r="R27" s="94">
        <f t="shared" ref="R27" si="39">IFERROR(R20/R19,0)</f>
        <v>-0.96026151803044246</v>
      </c>
      <c r="S27" s="64">
        <f t="shared" ref="S27:T27" si="40">IFERROR(S20/S19,0)</f>
        <v>-11.595505617977528</v>
      </c>
      <c r="T27" s="64">
        <f t="shared" si="40"/>
        <v>0.2391304347826087</v>
      </c>
      <c r="U27" s="64">
        <f t="shared" ref="U27:V27" si="41">IFERROR(U20/U19,0)</f>
        <v>0.24529536077286915</v>
      </c>
      <c r="V27" s="94">
        <f t="shared" si="41"/>
        <v>0.4873633641996778</v>
      </c>
    </row>
    <row r="28" spans="1:22" x14ac:dyDescent="0.15">
      <c r="B28" s="31"/>
      <c r="C28" s="31"/>
      <c r="D28" s="31"/>
      <c r="E28" s="31"/>
      <c r="F28" s="27"/>
      <c r="G28" s="28"/>
      <c r="H28" s="31"/>
      <c r="I28" s="28"/>
      <c r="J28" s="27"/>
      <c r="K28" s="31"/>
      <c r="L28" s="31"/>
      <c r="M28" s="28"/>
      <c r="N28" s="27"/>
      <c r="O28" s="31"/>
      <c r="P28" s="31"/>
      <c r="Q28" s="62"/>
      <c r="R28" s="92"/>
      <c r="S28" s="62"/>
      <c r="T28" s="62"/>
      <c r="U28" s="62"/>
      <c r="V28" s="92"/>
    </row>
    <row r="29" spans="1:22" s="16" customFormat="1" x14ac:dyDescent="0.15">
      <c r="A29" s="87" t="s">
        <v>18</v>
      </c>
      <c r="B29" s="44"/>
      <c r="C29" s="44"/>
      <c r="D29" s="44"/>
      <c r="E29" s="44"/>
      <c r="F29" s="45">
        <f t="shared" ref="F29:R29" si="42">IFERROR((F10/B10)-1,0)</f>
        <v>0.36377107806367381</v>
      </c>
      <c r="G29" s="44">
        <f t="shared" si="42"/>
        <v>0.19820535328623756</v>
      </c>
      <c r="H29" s="44">
        <f t="shared" si="42"/>
        <v>8.2034372326465155E-2</v>
      </c>
      <c r="I29" s="44">
        <f t="shared" si="42"/>
        <v>9.4767851839550055E-3</v>
      </c>
      <c r="J29" s="45">
        <f t="shared" si="42"/>
        <v>-7.7827360177352811E-2</v>
      </c>
      <c r="K29" s="44">
        <f t="shared" si="42"/>
        <v>-4.6685981413985611E-2</v>
      </c>
      <c r="L29" s="44">
        <f t="shared" si="42"/>
        <v>-4.2701003678965455E-2</v>
      </c>
      <c r="M29" s="44">
        <f t="shared" si="42"/>
        <v>-0.14040077746142654</v>
      </c>
      <c r="N29" s="45">
        <f t="shared" si="42"/>
        <v>0.21271279030954804</v>
      </c>
      <c r="O29" s="44">
        <f t="shared" si="42"/>
        <v>0.23818908957837759</v>
      </c>
      <c r="P29" s="44">
        <f t="shared" si="42"/>
        <v>0.28573366823091639</v>
      </c>
      <c r="Q29" s="65">
        <f t="shared" si="42"/>
        <v>0.47442930826784036</v>
      </c>
      <c r="R29" s="95">
        <f t="shared" si="42"/>
        <v>0.18352281871220133</v>
      </c>
      <c r="S29" s="65">
        <f t="shared" ref="S29:V29" si="43">IFERROR((S10/O10)-1,0)</f>
        <v>0.18360516845614838</v>
      </c>
      <c r="T29" s="65">
        <f t="shared" si="43"/>
        <v>8.5593006828815321E-2</v>
      </c>
      <c r="U29" s="65">
        <f t="shared" si="43"/>
        <v>0.10891089108910879</v>
      </c>
      <c r="V29" s="95">
        <f t="shared" si="43"/>
        <v>2.6365819873171548E-2</v>
      </c>
    </row>
    <row r="30" spans="1:22" x14ac:dyDescent="0.15">
      <c r="A30" s="78" t="s">
        <v>61</v>
      </c>
      <c r="B30" s="46"/>
      <c r="C30" s="46"/>
      <c r="D30" s="46"/>
      <c r="E30" s="46"/>
      <c r="F30" s="47">
        <f t="shared" ref="F30:R32" si="44">F13/B13-1</f>
        <v>-0.17893394327153145</v>
      </c>
      <c r="G30" s="46">
        <f t="shared" si="44"/>
        <v>-0.10254038319415615</v>
      </c>
      <c r="H30" s="46">
        <f t="shared" si="44"/>
        <v>-0.14854499199276705</v>
      </c>
      <c r="I30" s="46">
        <f t="shared" si="44"/>
        <v>-3.7751478163174035E-2</v>
      </c>
      <c r="J30" s="47">
        <f t="shared" si="44"/>
        <v>-0.17372941191573488</v>
      </c>
      <c r="K30" s="46">
        <f t="shared" si="44"/>
        <v>-0.19797099338416124</v>
      </c>
      <c r="L30" s="46">
        <f t="shared" si="44"/>
        <v>-0.23120153177933789</v>
      </c>
      <c r="M30" s="46">
        <f t="shared" si="44"/>
        <v>-0.29291958560911879</v>
      </c>
      <c r="N30" s="47">
        <f t="shared" si="44"/>
        <v>-4.1809085824373926E-2</v>
      </c>
      <c r="O30" s="46">
        <f t="shared" si="44"/>
        <v>-3.2108457718392547E-2</v>
      </c>
      <c r="P30" s="46">
        <f t="shared" si="44"/>
        <v>0.10762223120155756</v>
      </c>
      <c r="Q30" s="66">
        <f t="shared" si="44"/>
        <v>-1.2221808239881282E-2</v>
      </c>
      <c r="R30" s="96">
        <f t="shared" si="44"/>
        <v>0.18366221847485931</v>
      </c>
      <c r="S30" s="66">
        <f t="shared" ref="S30:V32" si="45">S13/O13-1</f>
        <v>0.14740138842784356</v>
      </c>
      <c r="T30" s="66">
        <f t="shared" si="45"/>
        <v>0.18728608951739134</v>
      </c>
      <c r="U30" s="66">
        <f t="shared" si="45"/>
        <v>0.4025245441795231</v>
      </c>
      <c r="V30" s="96">
        <f t="shared" si="45"/>
        <v>0.36986301369863006</v>
      </c>
    </row>
    <row r="31" spans="1:22" x14ac:dyDescent="0.15">
      <c r="A31" s="78" t="s">
        <v>62</v>
      </c>
      <c r="B31" s="46"/>
      <c r="C31" s="46"/>
      <c r="D31" s="46"/>
      <c r="E31" s="46"/>
      <c r="F31" s="47">
        <f t="shared" si="44"/>
        <v>0.28663575891957271</v>
      </c>
      <c r="G31" s="46">
        <f t="shared" si="44"/>
        <v>0.17168280943609249</v>
      </c>
      <c r="H31" s="46">
        <f t="shared" si="44"/>
        <v>7.49005014439863E-2</v>
      </c>
      <c r="I31" s="46">
        <f t="shared" si="44"/>
        <v>-5.9836429295534899E-2</v>
      </c>
      <c r="J31" s="47">
        <f t="shared" si="44"/>
        <v>-0.2819016729403695</v>
      </c>
      <c r="K31" s="46">
        <f t="shared" si="44"/>
        <v>-0.21690143226030034</v>
      </c>
      <c r="L31" s="46">
        <f t="shared" si="44"/>
        <v>-0.22937051096971972</v>
      </c>
      <c r="M31" s="46">
        <f t="shared" si="44"/>
        <v>-0.30313599613204767</v>
      </c>
      <c r="N31" s="47">
        <f t="shared" si="44"/>
        <v>4.9913322405273686E-2</v>
      </c>
      <c r="O31" s="46">
        <f t="shared" si="44"/>
        <v>1.4765564286331134E-2</v>
      </c>
      <c r="P31" s="46">
        <f t="shared" si="44"/>
        <v>0.1187520597605185</v>
      </c>
      <c r="Q31" s="66">
        <f t="shared" si="44"/>
        <v>0.16612524390180106</v>
      </c>
      <c r="R31" s="96">
        <f t="shared" si="44"/>
        <v>0.15691989733739953</v>
      </c>
      <c r="S31" s="66">
        <f t="shared" si="45"/>
        <v>0.2763784887678693</v>
      </c>
      <c r="T31" s="66">
        <f t="shared" si="45"/>
        <v>0.16798280067805016</v>
      </c>
      <c r="U31" s="66">
        <f t="shared" si="45"/>
        <v>0.14272762473202572</v>
      </c>
      <c r="V31" s="96">
        <f t="shared" si="45"/>
        <v>7.2815533980582492E-2</v>
      </c>
    </row>
    <row r="32" spans="1:22" x14ac:dyDescent="0.15">
      <c r="A32" s="78" t="s">
        <v>63</v>
      </c>
      <c r="B32" s="46"/>
      <c r="C32" s="46"/>
      <c r="D32" s="46"/>
      <c r="E32" s="46"/>
      <c r="F32" s="47">
        <f t="shared" si="44"/>
        <v>-3.8159234990954305E-2</v>
      </c>
      <c r="G32" s="46">
        <f t="shared" si="44"/>
        <v>8.2099554761281057E-2</v>
      </c>
      <c r="H32" s="46">
        <f t="shared" si="44"/>
        <v>0.17089234512120943</v>
      </c>
      <c r="I32" s="46">
        <f t="shared" si="44"/>
        <v>0.27539272797548398</v>
      </c>
      <c r="J32" s="47">
        <f t="shared" si="44"/>
        <v>0.10433559359539712</v>
      </c>
      <c r="K32" s="46">
        <f t="shared" si="44"/>
        <v>8.5566217716905868E-3</v>
      </c>
      <c r="L32" s="46">
        <f t="shared" si="44"/>
        <v>-6.1042758129387642E-2</v>
      </c>
      <c r="M32" s="46">
        <f t="shared" si="44"/>
        <v>-0.2467681184518139</v>
      </c>
      <c r="N32" s="47">
        <f t="shared" si="44"/>
        <v>-5.9397721417530081E-2</v>
      </c>
      <c r="O32" s="46">
        <f t="shared" si="44"/>
        <v>4.64009938028489E-2</v>
      </c>
      <c r="P32" s="46">
        <f t="shared" si="44"/>
        <v>0.23824803211835732</v>
      </c>
      <c r="Q32" s="66">
        <f t="shared" si="44"/>
        <v>0.15867204271718549</v>
      </c>
      <c r="R32" s="96">
        <f t="shared" si="44"/>
        <v>0.17167290544447478</v>
      </c>
      <c r="S32" s="66">
        <f t="shared" si="45"/>
        <v>0.18716779537544181</v>
      </c>
      <c r="T32" s="66">
        <f t="shared" si="45"/>
        <v>0.19991319776867211</v>
      </c>
      <c r="U32" s="66">
        <f t="shared" si="45"/>
        <v>0.25255782228560797</v>
      </c>
      <c r="V32" s="96">
        <f t="shared" si="45"/>
        <v>0.4155844155844155</v>
      </c>
    </row>
    <row r="33" spans="1:22" x14ac:dyDescent="0.15">
      <c r="B33" s="32"/>
      <c r="C33" s="32"/>
      <c r="D33" s="32"/>
      <c r="E33" s="32"/>
      <c r="K33" s="32"/>
      <c r="L33" s="32"/>
      <c r="O33" s="32"/>
      <c r="P33" s="32"/>
      <c r="Q33" s="67"/>
      <c r="S33" s="3"/>
    </row>
    <row r="34" spans="1:22" s="16" customFormat="1" x14ac:dyDescent="0.15">
      <c r="A34" s="87" t="s">
        <v>33</v>
      </c>
      <c r="B34" s="34"/>
      <c r="C34" s="34"/>
      <c r="D34" s="34"/>
      <c r="E34" s="48">
        <f>E35-E36</f>
        <v>2040.2529999999999</v>
      </c>
      <c r="F34" s="49">
        <f>F35-F36</f>
        <v>2100.8969999999999</v>
      </c>
      <c r="G34" s="50">
        <f t="shared" ref="G34:K34" si="46">G35-G36</f>
        <v>2091.7179999999998</v>
      </c>
      <c r="H34" s="50">
        <f t="shared" si="46"/>
        <v>2146.5100000000002</v>
      </c>
      <c r="I34" s="50">
        <f t="shared" si="46"/>
        <v>2235.6120000000001</v>
      </c>
      <c r="J34" s="49">
        <f t="shared" si="46"/>
        <v>2383.3469999999998</v>
      </c>
      <c r="K34" s="48">
        <f t="shared" si="46"/>
        <v>2497.4440000000004</v>
      </c>
      <c r="L34" s="48">
        <f>L35-L36</f>
        <v>2653.1639999999998</v>
      </c>
      <c r="M34" s="50">
        <f>L34+M21</f>
        <v>2626.0854205848518</v>
      </c>
      <c r="N34" s="49">
        <f>N35-N36</f>
        <v>2878.7669999999998</v>
      </c>
      <c r="O34" s="48">
        <f>O35-O36</f>
        <v>3100.1719999999996</v>
      </c>
      <c r="P34" s="48">
        <f>P35-P36</f>
        <v>3362.0429999999997</v>
      </c>
      <c r="Q34" s="48">
        <f>Q35-Q36</f>
        <v>3581.1509999999998</v>
      </c>
      <c r="R34" s="49">
        <f>R35-R36</f>
        <v>3797</v>
      </c>
      <c r="S34" s="48">
        <f>S35-S36</f>
        <v>3989</v>
      </c>
      <c r="T34" s="48">
        <f>T35-T36</f>
        <v>4021</v>
      </c>
      <c r="U34" s="48">
        <f>U35-U36</f>
        <v>4130</v>
      </c>
      <c r="V34" s="49">
        <f>V35-V36</f>
        <v>4272</v>
      </c>
    </row>
    <row r="35" spans="1:22" x14ac:dyDescent="0.15">
      <c r="A35" s="78" t="s">
        <v>34</v>
      </c>
      <c r="B35" s="31"/>
      <c r="C35" s="31"/>
      <c r="D35" s="31"/>
      <c r="E35" s="31">
        <f>911.471+2583.877</f>
        <v>3495.348</v>
      </c>
      <c r="F35" s="27">
        <f>1027.661+2548.749</f>
        <v>3576.41</v>
      </c>
      <c r="G35" s="28">
        <f>947.71+2640.448</f>
        <v>3588.1579999999999</v>
      </c>
      <c r="H35" s="28">
        <f>1011.957+2652.226</f>
        <v>3664.183</v>
      </c>
      <c r="I35" s="28">
        <f>988.598+2785.981</f>
        <v>3774.5790000000002</v>
      </c>
      <c r="J35" s="27">
        <f>1191.566+2752.111</f>
        <v>3943.6769999999997</v>
      </c>
      <c r="K35" s="31">
        <f>1288.323+2791.589</f>
        <v>4079.9120000000003</v>
      </c>
      <c r="L35" s="31">
        <f>1586.558+2671.538</f>
        <v>4258.0959999999995</v>
      </c>
      <c r="M35" s="28">
        <f>1638.413+2764.689</f>
        <v>4403.1019999999999</v>
      </c>
      <c r="N35" s="27">
        <f>1601.028+2927.803</f>
        <v>4528.8310000000001</v>
      </c>
      <c r="O35" s="31">
        <f>2544.641+3116.474</f>
        <v>5661.1149999999998</v>
      </c>
      <c r="P35" s="31">
        <f>1928.929+4027.614</f>
        <v>5956.5429999999997</v>
      </c>
      <c r="Q35" s="31">
        <f>1894.444+4314.957</f>
        <v>6209.4009999999998</v>
      </c>
      <c r="R35" s="27">
        <f>2247+4212</f>
        <v>6459</v>
      </c>
      <c r="S35" s="31">
        <f>2183+4503</f>
        <v>6686</v>
      </c>
      <c r="T35" s="31">
        <f>1869+3947</f>
        <v>5816</v>
      </c>
      <c r="U35" s="31">
        <f>1799+4840</f>
        <v>6639</v>
      </c>
      <c r="V35" s="27">
        <f>3463+4207</f>
        <v>7670</v>
      </c>
    </row>
    <row r="36" spans="1:22" x14ac:dyDescent="0.15">
      <c r="A36" s="78" t="s">
        <v>35</v>
      </c>
      <c r="B36" s="31"/>
      <c r="C36" s="31"/>
      <c r="D36" s="31"/>
      <c r="E36" s="31">
        <v>1455.095</v>
      </c>
      <c r="F36" s="27">
        <v>1475.5129999999999</v>
      </c>
      <c r="G36" s="28">
        <f>1496.44</f>
        <v>1496.44</v>
      </c>
      <c r="H36" s="28">
        <v>1517.673</v>
      </c>
      <c r="I36" s="28">
        <v>1538.9670000000001</v>
      </c>
      <c r="J36" s="27">
        <v>1560.33</v>
      </c>
      <c r="K36" s="31">
        <v>1582.4680000000001</v>
      </c>
      <c r="L36" s="31">
        <v>1604.932</v>
      </c>
      <c r="M36" s="28">
        <v>1627.46</v>
      </c>
      <c r="N36" s="27">
        <v>1650.0640000000001</v>
      </c>
      <c r="O36" s="31">
        <v>2560.9430000000002</v>
      </c>
      <c r="P36" s="31">
        <f>884.435+1710.065</f>
        <v>2594.5</v>
      </c>
      <c r="Q36" s="31">
        <f>897.328+1730.922</f>
        <v>2628.25</v>
      </c>
      <c r="R36" s="27">
        <f>910+1752</f>
        <v>2662</v>
      </c>
      <c r="S36" s="31">
        <f>924+1773</f>
        <v>2697</v>
      </c>
      <c r="T36" s="31">
        <v>1795</v>
      </c>
      <c r="U36" s="31">
        <f>1817+692</f>
        <v>2509</v>
      </c>
      <c r="V36" s="27">
        <f>2706+692</f>
        <v>3398</v>
      </c>
    </row>
    <row r="37" spans="1:22" x14ac:dyDescent="0.15">
      <c r="B37" s="31"/>
      <c r="C37" s="31"/>
      <c r="D37" s="31"/>
      <c r="E37" s="31"/>
      <c r="F37" s="27"/>
      <c r="G37" s="28"/>
      <c r="H37" s="28"/>
      <c r="I37" s="28"/>
      <c r="J37" s="27"/>
      <c r="K37" s="31"/>
      <c r="L37" s="31"/>
      <c r="M37" s="28"/>
      <c r="N37" s="27"/>
      <c r="O37" s="31"/>
      <c r="P37" s="31"/>
      <c r="Q37" s="31"/>
      <c r="R37" s="27"/>
      <c r="S37" s="31"/>
      <c r="T37" s="31"/>
      <c r="U37" s="31"/>
      <c r="V37" s="27"/>
    </row>
    <row r="38" spans="1:22" x14ac:dyDescent="0.15">
      <c r="A38" s="78" t="s">
        <v>78</v>
      </c>
      <c r="B38" s="31"/>
      <c r="C38" s="31"/>
      <c r="D38" s="31"/>
      <c r="E38" s="31"/>
      <c r="F38" s="27"/>
      <c r="G38" s="28"/>
      <c r="H38" s="28"/>
      <c r="I38" s="28"/>
      <c r="J38" s="27"/>
      <c r="K38" s="31"/>
      <c r="L38" s="31"/>
      <c r="M38" s="31">
        <f>49.654+1188.935</f>
        <v>1238.5889999999999</v>
      </c>
      <c r="N38" s="27">
        <f>44.794+1190.932</f>
        <v>1235.7260000000001</v>
      </c>
      <c r="O38" s="31">
        <f>49.19+1228.993</f>
        <v>1278.183</v>
      </c>
      <c r="P38" s="31">
        <f>44.81+1227.939</f>
        <v>1272.749</v>
      </c>
      <c r="Q38" s="31">
        <f>45.025+1227.269</f>
        <v>1272.2940000000001</v>
      </c>
      <c r="R38" s="27">
        <f>40+1229</f>
        <v>1269</v>
      </c>
      <c r="S38" s="31">
        <f>51+1247</f>
        <v>1298</v>
      </c>
      <c r="T38" s="31">
        <f>47+1243</f>
        <v>1290</v>
      </c>
      <c r="U38" s="31">
        <f>1257+55</f>
        <v>1312</v>
      </c>
      <c r="V38" s="27">
        <f>65+1270</f>
        <v>1335</v>
      </c>
    </row>
    <row r="39" spans="1:22" x14ac:dyDescent="0.15">
      <c r="A39" s="78" t="s">
        <v>79</v>
      </c>
      <c r="B39" s="31"/>
      <c r="C39" s="31"/>
      <c r="D39" s="31"/>
      <c r="E39" s="31"/>
      <c r="F39" s="27"/>
      <c r="G39" s="28"/>
      <c r="H39" s="28"/>
      <c r="I39" s="28"/>
      <c r="J39" s="27"/>
      <c r="K39" s="31"/>
      <c r="L39" s="31"/>
      <c r="M39" s="31">
        <v>7412.4769999999999</v>
      </c>
      <c r="N39" s="27">
        <v>7539.4409999999998</v>
      </c>
      <c r="O39" s="31">
        <v>8861.23</v>
      </c>
      <c r="P39" s="31">
        <v>9746.1919999999991</v>
      </c>
      <c r="Q39" s="31">
        <v>10162.572</v>
      </c>
      <c r="R39" s="27">
        <v>11145</v>
      </c>
      <c r="S39" s="31">
        <v>12522</v>
      </c>
      <c r="T39" s="31">
        <v>11601</v>
      </c>
      <c r="U39" s="31">
        <v>12703</v>
      </c>
      <c r="V39" s="27">
        <v>13541</v>
      </c>
    </row>
    <row r="40" spans="1:22" x14ac:dyDescent="0.15">
      <c r="A40" s="78" t="s">
        <v>80</v>
      </c>
      <c r="B40" s="31"/>
      <c r="C40" s="31"/>
      <c r="D40" s="31"/>
      <c r="E40" s="31"/>
      <c r="F40" s="27"/>
      <c r="G40" s="28"/>
      <c r="H40" s="28"/>
      <c r="I40" s="28"/>
      <c r="J40" s="27"/>
      <c r="K40" s="31"/>
      <c r="L40" s="31"/>
      <c r="M40" s="31">
        <v>2365.259</v>
      </c>
      <c r="N40" s="27">
        <v>2329.0050000000001</v>
      </c>
      <c r="O40" s="31">
        <v>3290.326</v>
      </c>
      <c r="P40" s="31">
        <v>3293.62</v>
      </c>
      <c r="Q40" s="31">
        <v>3356.9780000000001</v>
      </c>
      <c r="R40" s="27">
        <v>4056</v>
      </c>
      <c r="S40" s="31">
        <v>4177</v>
      </c>
      <c r="T40" s="31">
        <v>3185</v>
      </c>
      <c r="U40" s="31">
        <v>3999</v>
      </c>
      <c r="V40" s="27">
        <v>4745</v>
      </c>
    </row>
    <row r="41" spans="1:22" x14ac:dyDescent="0.15">
      <c r="B41" s="31"/>
      <c r="C41" s="31"/>
      <c r="D41" s="31"/>
      <c r="E41" s="31"/>
      <c r="F41" s="27"/>
      <c r="G41" s="28"/>
      <c r="H41" s="28"/>
      <c r="I41" s="28"/>
      <c r="J41" s="27"/>
      <c r="K41" s="31"/>
      <c r="L41" s="31"/>
      <c r="M41" s="31"/>
      <c r="N41" s="27"/>
      <c r="O41" s="31"/>
      <c r="P41" s="31"/>
      <c r="Q41" s="31"/>
      <c r="R41" s="27"/>
      <c r="S41" s="31"/>
      <c r="T41" s="31"/>
      <c r="U41" s="31"/>
      <c r="V41" s="27"/>
    </row>
    <row r="42" spans="1:22" x14ac:dyDescent="0.15">
      <c r="A42" s="78" t="s">
        <v>81</v>
      </c>
      <c r="B42" s="31"/>
      <c r="C42" s="31"/>
      <c r="D42" s="31"/>
      <c r="E42" s="31"/>
      <c r="F42" s="27"/>
      <c r="G42" s="28"/>
      <c r="H42" s="28"/>
      <c r="I42" s="28"/>
      <c r="J42" s="27"/>
      <c r="K42" s="31"/>
      <c r="L42" s="31"/>
      <c r="M42" s="53">
        <f>M39-M38-M35</f>
        <v>1770.7860000000001</v>
      </c>
      <c r="N42" s="56">
        <f>N39-N38-N35</f>
        <v>1774.884</v>
      </c>
      <c r="O42" s="53">
        <f>O39-O38-O35</f>
        <v>1921.9319999999998</v>
      </c>
      <c r="P42" s="53">
        <f>P39-P38-P35</f>
        <v>2516.8999999999996</v>
      </c>
      <c r="Q42" s="53">
        <f>Q39-Q38-Q35</f>
        <v>2680.8770000000004</v>
      </c>
      <c r="R42" s="56">
        <f>R39-R38-R35</f>
        <v>3417</v>
      </c>
      <c r="S42" s="53">
        <f>S39-S38-S35</f>
        <v>4538</v>
      </c>
      <c r="T42" s="53">
        <f>T39-T38-T35</f>
        <v>4495</v>
      </c>
      <c r="U42" s="53">
        <f>U39-U38-U35</f>
        <v>4752</v>
      </c>
      <c r="V42" s="56">
        <f>V39-V38-V35</f>
        <v>4536</v>
      </c>
    </row>
    <row r="43" spans="1:22" x14ac:dyDescent="0.15">
      <c r="A43" s="78" t="s">
        <v>82</v>
      </c>
      <c r="B43" s="31"/>
      <c r="C43" s="31"/>
      <c r="D43" s="31"/>
      <c r="E43" s="31"/>
      <c r="F43" s="27"/>
      <c r="G43" s="28"/>
      <c r="H43" s="28"/>
      <c r="I43" s="28"/>
      <c r="J43" s="27"/>
      <c r="K43" s="31"/>
      <c r="L43" s="31"/>
      <c r="M43" s="53">
        <f>M39-M40</f>
        <v>5047.2179999999998</v>
      </c>
      <c r="N43" s="56">
        <f>N39-N40</f>
        <v>5210.4359999999997</v>
      </c>
      <c r="O43" s="53">
        <f>O39-O40</f>
        <v>5570.9039999999995</v>
      </c>
      <c r="P43" s="53">
        <f>P39-P40</f>
        <v>6452.5719999999992</v>
      </c>
      <c r="Q43" s="53">
        <f>Q39-Q40</f>
        <v>6805.5940000000001</v>
      </c>
      <c r="R43" s="56">
        <f>R39-R40</f>
        <v>7089</v>
      </c>
      <c r="S43" s="53">
        <f>S39-S40</f>
        <v>8345</v>
      </c>
      <c r="T43" s="53">
        <f>T39-T40</f>
        <v>8416</v>
      </c>
      <c r="U43" s="53">
        <f>U39-U40</f>
        <v>8704</v>
      </c>
      <c r="V43" s="56">
        <f>V39-V40</f>
        <v>8796</v>
      </c>
    </row>
    <row r="44" spans="1:22" x14ac:dyDescent="0.15">
      <c r="B44" s="31"/>
      <c r="C44" s="31"/>
      <c r="D44" s="31"/>
      <c r="E44" s="31"/>
      <c r="F44" s="27"/>
      <c r="G44" s="28"/>
      <c r="H44" s="28"/>
      <c r="I44" s="28"/>
      <c r="J44" s="27"/>
      <c r="K44" s="31"/>
      <c r="L44" s="31"/>
      <c r="M44" s="31"/>
      <c r="N44" s="27"/>
      <c r="O44" s="31"/>
      <c r="P44" s="31"/>
      <c r="Q44" s="31"/>
      <c r="R44" s="27"/>
      <c r="S44" s="31"/>
      <c r="T44" s="31"/>
      <c r="U44" s="31"/>
      <c r="V44" s="27"/>
    </row>
    <row r="45" spans="1:22" s="54" customFormat="1" x14ac:dyDescent="0.15">
      <c r="A45" s="86" t="s">
        <v>90</v>
      </c>
      <c r="B45" s="34"/>
      <c r="C45" s="34"/>
      <c r="D45" s="34"/>
      <c r="E45" s="34"/>
      <c r="F45" s="33"/>
      <c r="G45" s="51"/>
      <c r="H45" s="51"/>
      <c r="I45" s="51"/>
      <c r="J45" s="33"/>
      <c r="K45" s="34"/>
      <c r="L45" s="34"/>
      <c r="M45" s="48">
        <f>SUM(J21:M21)</f>
        <v>-226.22057941514805</v>
      </c>
      <c r="N45" s="49">
        <f>SUM(K21:N21)</f>
        <v>-103.66457941514801</v>
      </c>
      <c r="O45" s="48">
        <f>SUM(L21:O21)</f>
        <v>112.94042058485194</v>
      </c>
      <c r="P45" s="48">
        <f>SUM(M21:P21)</f>
        <v>923.21442058485195</v>
      </c>
      <c r="Q45" s="48">
        <f>SUM(N21:Q21)</f>
        <v>1205.7600000000002</v>
      </c>
      <c r="R45" s="49">
        <f>SUM(O21:R21)</f>
        <v>1336.6530000000002</v>
      </c>
      <c r="S45" s="48">
        <f>SUM(P21:S21)</f>
        <v>2357.5360000000001</v>
      </c>
      <c r="T45" s="48">
        <f>SUM(Q21:T21)</f>
        <v>1603.357</v>
      </c>
      <c r="U45" s="48">
        <f>SUM(R21:U21)</f>
        <v>1467.8819999999998</v>
      </c>
      <c r="V45" s="49">
        <f>SUM(S21:V21)</f>
        <v>1268.6289999999999</v>
      </c>
    </row>
    <row r="46" spans="1:22" s="14" customFormat="1" x14ac:dyDescent="0.15">
      <c r="A46" s="88" t="s">
        <v>83</v>
      </c>
      <c r="B46" s="38"/>
      <c r="C46" s="38"/>
      <c r="D46" s="38"/>
      <c r="E46" s="38"/>
      <c r="F46" s="39"/>
      <c r="G46" s="40"/>
      <c r="H46" s="40"/>
      <c r="I46" s="40"/>
      <c r="J46" s="39"/>
      <c r="K46" s="38"/>
      <c r="L46" s="38"/>
      <c r="M46" s="38">
        <f>M45/M43</f>
        <v>-4.4820845744160065E-2</v>
      </c>
      <c r="N46" s="39">
        <f>N45/N43</f>
        <v>-1.9895567168495693E-2</v>
      </c>
      <c r="O46" s="38">
        <f>O45/O43</f>
        <v>2.0273266346871523E-2</v>
      </c>
      <c r="P46" s="38">
        <f>P45/P43</f>
        <v>0.14307696536898032</v>
      </c>
      <c r="Q46" s="38">
        <f>Q45/Q43</f>
        <v>0.17717189711875264</v>
      </c>
      <c r="R46" s="39">
        <f>R45/R43</f>
        <v>0.18855311045281425</v>
      </c>
      <c r="S46" s="38">
        <f>S45/S43</f>
        <v>0.28250880766926306</v>
      </c>
      <c r="T46" s="38">
        <f>T45/T43</f>
        <v>0.19051295152091255</v>
      </c>
      <c r="U46" s="38">
        <f>U45/U43</f>
        <v>0.16864453124999998</v>
      </c>
      <c r="V46" s="39">
        <f>V45/V43</f>
        <v>0.14422794452023646</v>
      </c>
    </row>
    <row r="47" spans="1:22" s="14" customFormat="1" x14ac:dyDescent="0.15">
      <c r="A47" s="88" t="s">
        <v>84</v>
      </c>
      <c r="B47" s="38"/>
      <c r="C47" s="38"/>
      <c r="D47" s="38"/>
      <c r="E47" s="38"/>
      <c r="F47" s="39"/>
      <c r="G47" s="40"/>
      <c r="H47" s="40"/>
      <c r="I47" s="40"/>
      <c r="J47" s="39"/>
      <c r="K47" s="38"/>
      <c r="L47" s="38"/>
      <c r="M47" s="38">
        <f>M45/M39</f>
        <v>-3.0518891244471727E-2</v>
      </c>
      <c r="N47" s="39">
        <f>N45/N39</f>
        <v>-1.3749637329232766E-2</v>
      </c>
      <c r="O47" s="38">
        <f>O45/O39</f>
        <v>1.2745456396555777E-2</v>
      </c>
      <c r="P47" s="38">
        <f>P45/P39</f>
        <v>9.4725654961943295E-2</v>
      </c>
      <c r="Q47" s="38">
        <f>Q45/Q39</f>
        <v>0.11864712988011304</v>
      </c>
      <c r="R47" s="39">
        <f>R45/R39</f>
        <v>0.11993297442799464</v>
      </c>
      <c r="S47" s="38">
        <f>S45/S39</f>
        <v>0.18827152212106693</v>
      </c>
      <c r="T47" s="38">
        <f>T45/T39</f>
        <v>0.13820851650719765</v>
      </c>
      <c r="U47" s="38">
        <f>U45/U39</f>
        <v>0.11555396363063841</v>
      </c>
      <c r="V47" s="39">
        <f>V45/V39</f>
        <v>9.3687984639243771E-2</v>
      </c>
    </row>
    <row r="48" spans="1:22" s="14" customFormat="1" x14ac:dyDescent="0.15">
      <c r="A48" s="88" t="s">
        <v>85</v>
      </c>
      <c r="B48" s="38"/>
      <c r="C48" s="38"/>
      <c r="D48" s="38"/>
      <c r="E48" s="38"/>
      <c r="F48" s="39"/>
      <c r="G48" s="40"/>
      <c r="H48" s="40"/>
      <c r="I48" s="40"/>
      <c r="J48" s="39"/>
      <c r="K48" s="38"/>
      <c r="L48" s="38"/>
      <c r="M48" s="38">
        <f>M45/(M43-M38)</f>
        <v>-5.939685367494394E-2</v>
      </c>
      <c r="N48" s="39">
        <f>N45/(N43-N38)</f>
        <v>-2.6081042243370718E-2</v>
      </c>
      <c r="O48" s="38">
        <f>O45/(O43-O38)</f>
        <v>2.6309750991236548E-2</v>
      </c>
      <c r="P48" s="38">
        <f>P45/(P43-P38)</f>
        <v>0.1782328123151799</v>
      </c>
      <c r="Q48" s="38">
        <f>Q45/(Q43-Q38)</f>
        <v>0.21790974644425573</v>
      </c>
      <c r="R48" s="39">
        <f>R45/(R43-R38)</f>
        <v>0.22966546391752582</v>
      </c>
      <c r="S48" s="38">
        <f>S45/(S43-S38)</f>
        <v>0.33454462892010783</v>
      </c>
      <c r="T48" s="38">
        <f>T45/(T43-T38)</f>
        <v>0.22500098231827112</v>
      </c>
      <c r="U48" s="38">
        <f>U45/(U43-U38)</f>
        <v>0.19857711038961037</v>
      </c>
      <c r="V48" s="39">
        <f>V45/(V43-V38)</f>
        <v>0.17003471384532903</v>
      </c>
    </row>
    <row r="49" spans="1:22" s="14" customFormat="1" x14ac:dyDescent="0.15">
      <c r="A49" s="88" t="s">
        <v>86</v>
      </c>
      <c r="B49" s="38"/>
      <c r="C49" s="38"/>
      <c r="D49" s="38"/>
      <c r="E49" s="38"/>
      <c r="F49" s="39"/>
      <c r="G49" s="40"/>
      <c r="H49" s="40"/>
      <c r="I49" s="40"/>
      <c r="J49" s="39"/>
      <c r="K49" s="38"/>
      <c r="L49" s="38"/>
      <c r="M49" s="38">
        <f>M45/M42</f>
        <v>-0.127751506627649</v>
      </c>
      <c r="N49" s="39">
        <f>N45/N42</f>
        <v>-5.8406396933629472E-2</v>
      </c>
      <c r="O49" s="38">
        <f>O45/O42</f>
        <v>5.8764004441807488E-2</v>
      </c>
      <c r="P49" s="38">
        <f>P45/P42</f>
        <v>0.36680615860179272</v>
      </c>
      <c r="Q49" s="38">
        <f>Q45/Q42</f>
        <v>0.4497632677664809</v>
      </c>
      <c r="R49" s="39">
        <f>R45/R42</f>
        <v>0.39117734855136094</v>
      </c>
      <c r="S49" s="38">
        <f>S45/S42</f>
        <v>0.51950991626267085</v>
      </c>
      <c r="T49" s="38">
        <f>T45/T42</f>
        <v>0.35669788654060064</v>
      </c>
      <c r="U49" s="38">
        <f>U45/U42</f>
        <v>0.30889772727272724</v>
      </c>
      <c r="V49" s="39">
        <f>V45/V42</f>
        <v>0.27968011463844794</v>
      </c>
    </row>
    <row r="50" spans="1:22" x14ac:dyDescent="0.15">
      <c r="B50" s="31"/>
      <c r="C50" s="31"/>
      <c r="D50" s="31"/>
      <c r="E50" s="31"/>
      <c r="F50" s="27"/>
      <c r="G50" s="28"/>
      <c r="H50" s="28"/>
      <c r="I50" s="28"/>
      <c r="J50" s="27"/>
      <c r="K50" s="31"/>
      <c r="L50" s="31"/>
      <c r="M50" s="31"/>
      <c r="N50" s="27"/>
      <c r="O50" s="31"/>
      <c r="P50" s="31"/>
      <c r="Q50" s="31"/>
      <c r="S50" s="31"/>
      <c r="T50" s="31"/>
      <c r="U50" s="31"/>
      <c r="V50" s="27"/>
    </row>
    <row r="51" spans="1:22" x14ac:dyDescent="0.15">
      <c r="A51" s="78" t="s">
        <v>87</v>
      </c>
      <c r="B51" s="31"/>
      <c r="C51" s="31"/>
      <c r="D51" s="31"/>
      <c r="E51" s="31"/>
      <c r="F51" s="27"/>
      <c r="G51" s="28"/>
      <c r="H51" s="28"/>
      <c r="I51" s="28"/>
      <c r="J51" s="27"/>
      <c r="K51" s="31"/>
      <c r="L51" s="31"/>
      <c r="M51" s="38">
        <f>M3/I3-1</f>
        <v>-0.17227231464627213</v>
      </c>
      <c r="N51" s="39">
        <f>N3/J3-1</f>
        <v>0.21397272995905259</v>
      </c>
      <c r="O51" s="38">
        <f>O3/K3-1</f>
        <v>0.22878965057610356</v>
      </c>
      <c r="P51" s="38">
        <f>P3/L3-1</f>
        <v>0.29238944952486268</v>
      </c>
      <c r="Q51" s="38">
        <f>Q3/M3-1</f>
        <v>0.49827035957162691</v>
      </c>
      <c r="R51" s="39">
        <f>R3/N3-1</f>
        <v>0.1813594920334658</v>
      </c>
      <c r="S51" s="38">
        <f>S3/O3-1</f>
        <v>0.20952983063254926</v>
      </c>
      <c r="T51" s="38">
        <f>T3/P3-1</f>
        <v>8.0305809644576343E-2</v>
      </c>
      <c r="U51" s="38">
        <f>U3/Q3-1</f>
        <v>0.11883691529709228</v>
      </c>
      <c r="V51" s="39">
        <f>V3/R3-1</f>
        <v>4.01197410907983E-3</v>
      </c>
    </row>
    <row r="52" spans="1:22" x14ac:dyDescent="0.15">
      <c r="A52" s="78" t="s">
        <v>88</v>
      </c>
      <c r="B52" s="31"/>
      <c r="C52" s="31"/>
      <c r="D52" s="31"/>
      <c r="E52" s="31"/>
      <c r="F52" s="27"/>
      <c r="G52" s="28"/>
      <c r="H52" s="28"/>
      <c r="I52" s="28"/>
      <c r="J52" s="27"/>
      <c r="K52" s="31"/>
      <c r="L52" s="31"/>
      <c r="M52" s="38">
        <f>M4/I4-1</f>
        <v>0.11567197833343834</v>
      </c>
      <c r="N52" s="39">
        <f>N4/J4-1</f>
        <v>0.20469713042660898</v>
      </c>
      <c r="O52" s="38">
        <f>O4/K4-1</f>
        <v>0.29246697439408798</v>
      </c>
      <c r="P52" s="38">
        <f>P4/L4-1</f>
        <v>0.24719282283976929</v>
      </c>
      <c r="Q52" s="38">
        <f>Q4/M4-1</f>
        <v>0.33231535407635415</v>
      </c>
      <c r="R52" s="39">
        <f>R4/N4-1</f>
        <v>0.19739174051162012</v>
      </c>
      <c r="S52" s="38">
        <f>S4/O4-1</f>
        <v>4.1276568537006453E-2</v>
      </c>
      <c r="T52" s="38">
        <f>T4/P4-1</f>
        <v>0.11731843575418988</v>
      </c>
      <c r="U52" s="38">
        <f>U4/Q4-1</f>
        <v>4.2372881355932313E-2</v>
      </c>
      <c r="V52" s="39">
        <f>V4/R4-1</f>
        <v>0.16775580875781926</v>
      </c>
    </row>
    <row r="53" spans="1:22" x14ac:dyDescent="0.15">
      <c r="B53" s="31"/>
      <c r="C53" s="31"/>
      <c r="D53" s="31"/>
      <c r="E53" s="31"/>
      <c r="F53" s="27"/>
      <c r="G53" s="28"/>
      <c r="H53" s="28"/>
      <c r="I53" s="28"/>
      <c r="J53" s="27"/>
      <c r="K53" s="31"/>
      <c r="L53" s="31"/>
      <c r="M53" s="28"/>
      <c r="N53" s="27"/>
      <c r="O53" s="31"/>
      <c r="P53" s="31"/>
      <c r="Q53" s="62"/>
      <c r="R53" s="92"/>
      <c r="S53" s="3"/>
    </row>
    <row r="54" spans="1:22" x14ac:dyDescent="0.15">
      <c r="A54" s="89" t="s">
        <v>96</v>
      </c>
      <c r="B54" s="31"/>
      <c r="C54" s="31"/>
      <c r="D54" s="31"/>
      <c r="E54" s="31"/>
      <c r="F54" s="27"/>
      <c r="G54" s="28"/>
      <c r="H54" s="28"/>
      <c r="I54" s="28"/>
      <c r="J54" s="27"/>
      <c r="K54" s="31"/>
      <c r="L54" s="31"/>
      <c r="M54" s="28"/>
      <c r="N54" s="27"/>
      <c r="O54" s="31"/>
      <c r="P54" s="31"/>
      <c r="Q54" s="62"/>
      <c r="R54" s="93"/>
      <c r="S54" s="63">
        <f>S6/O6-1</f>
        <v>0.13934426229508201</v>
      </c>
      <c r="T54" s="63">
        <f>T6/P6-1</f>
        <v>0.16935483870967749</v>
      </c>
      <c r="U54" s="63">
        <f>U6/Q6-1</f>
        <v>0.20634920634920628</v>
      </c>
      <c r="V54" s="93">
        <f>V6/R6-1</f>
        <v>0.23880597014925375</v>
      </c>
    </row>
    <row r="55" spans="1:22" x14ac:dyDescent="0.15">
      <c r="A55" s="78" t="s">
        <v>91</v>
      </c>
      <c r="B55" s="31"/>
      <c r="C55" s="31"/>
      <c r="D55" s="31"/>
      <c r="E55" s="31"/>
      <c r="F55" s="27"/>
      <c r="G55" s="28"/>
      <c r="H55" s="38">
        <f>H7/D7-1</f>
        <v>3.2573289902280145E-2</v>
      </c>
      <c r="I55" s="38">
        <f>I7/E7-1</f>
        <v>4.2622950819672045E-2</v>
      </c>
      <c r="J55" s="39">
        <f>J7/F7-1</f>
        <v>5.4838709677419439E-2</v>
      </c>
      <c r="K55" s="38">
        <f>K7/G7-1</f>
        <v>4.1533546325878579E-2</v>
      </c>
      <c r="L55" s="38">
        <f>L7/H7-1</f>
        <v>4.1009463722397443E-2</v>
      </c>
      <c r="M55" s="38">
        <f>M7/I7-1</f>
        <v>3.7735849056603765E-2</v>
      </c>
      <c r="N55" s="39">
        <f>N7/J7-1</f>
        <v>2.7522935779816571E-2</v>
      </c>
      <c r="O55" s="38">
        <f>O7/K7-1</f>
        <v>2.7607361963190247E-2</v>
      </c>
      <c r="P55" s="38">
        <f>P7/L7-1</f>
        <v>-1.2121212121212088E-2</v>
      </c>
      <c r="Q55" s="63">
        <f>Q7/M7-1</f>
        <v>-2.7272727272727226E-2</v>
      </c>
      <c r="R55" s="93">
        <f>R7/N7-1</f>
        <v>-1.7857142857142905E-2</v>
      </c>
      <c r="S55" s="3"/>
    </row>
    <row r="56" spans="1:22" x14ac:dyDescent="0.15">
      <c r="A56" s="78" t="s">
        <v>89</v>
      </c>
      <c r="E56" s="32"/>
      <c r="H56" s="38">
        <f>H8/D8-1</f>
        <v>4.7900795912380945E-2</v>
      </c>
      <c r="I56" s="38">
        <f t="shared" ref="I56:V56" si="47">I8/E8-1</f>
        <v>-3.1791133707212982E-2</v>
      </c>
      <c r="J56" s="39">
        <f t="shared" si="47"/>
        <v>-0.12576905704886665</v>
      </c>
      <c r="K56" s="38">
        <f t="shared" si="47"/>
        <v>-8.4701571112200891E-2</v>
      </c>
      <c r="L56" s="38">
        <f t="shared" si="47"/>
        <v>-8.0412782321915288E-2</v>
      </c>
      <c r="M56" s="38">
        <f t="shared" si="47"/>
        <v>-0.17165893100828378</v>
      </c>
      <c r="N56" s="39">
        <f t="shared" si="47"/>
        <v>0.18022941199768527</v>
      </c>
      <c r="O56" s="38">
        <f t="shared" si="47"/>
        <v>0.20492430806731665</v>
      </c>
      <c r="P56" s="38">
        <f t="shared" si="47"/>
        <v>0.3015095414607436</v>
      </c>
      <c r="Q56" s="63">
        <f t="shared" si="47"/>
        <v>0.51576844775198527</v>
      </c>
      <c r="R56" s="39">
        <f t="shared" si="47"/>
        <v>1.9676393066216389</v>
      </c>
      <c r="S56" s="38">
        <f t="shared" si="47"/>
        <v>1.8525736074302857</v>
      </c>
      <c r="T56" s="38">
        <f t="shared" si="47"/>
        <v>1.440712553284095</v>
      </c>
      <c r="U56" s="38">
        <f t="shared" si="47"/>
        <v>1.3418447107868681</v>
      </c>
      <c r="V56" s="39">
        <f>V8/R8-1</f>
        <v>-0.17148783215057239</v>
      </c>
    </row>
    <row r="59" spans="1:22" x14ac:dyDescent="0.15">
      <c r="F59" s="27"/>
      <c r="J59" s="30"/>
    </row>
    <row r="61" spans="1:22" x14ac:dyDescent="0.15">
      <c r="C61" s="29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2020-05-22T09:04:05Z</dcterms:modified>
</cp:coreProperties>
</file>