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73096502-7BB1-3340-9ACE-C60C4A2F063D}" xr6:coauthVersionLast="45" xr6:coauthVersionMax="45" xr10:uidLastSave="{00000000-0000-0000-0000-000000000000}"/>
  <bookViews>
    <workbookView xWindow="0" yWindow="500" windowWidth="2666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F56" i="2"/>
  <c r="F5" i="2"/>
  <c r="F6" i="2"/>
  <c r="F4" i="2"/>
  <c r="M20" i="2"/>
  <c r="N20" i="2" s="1"/>
  <c r="O20" i="2" s="1"/>
  <c r="P20" i="2" s="1"/>
  <c r="L20" i="2"/>
  <c r="H18" i="2"/>
  <c r="I18" i="2" s="1"/>
  <c r="J18" i="2" s="1"/>
  <c r="K18" i="2" s="1"/>
  <c r="L18" i="2" s="1"/>
  <c r="M18" i="2" s="1"/>
  <c r="N18" i="2" s="1"/>
  <c r="O18" i="2" s="1"/>
  <c r="P18" i="2" s="1"/>
  <c r="G18" i="2"/>
  <c r="G15" i="2"/>
  <c r="H13" i="2"/>
  <c r="I13" i="2" s="1"/>
  <c r="J13" i="2" s="1"/>
  <c r="K13" i="2" s="1"/>
  <c r="G13" i="2"/>
  <c r="H12" i="2"/>
  <c r="I12" i="2" s="1"/>
  <c r="J12" i="2" s="1"/>
  <c r="K12" i="2" s="1"/>
  <c r="G12" i="2"/>
  <c r="H11" i="2"/>
  <c r="I11" i="2" s="1"/>
  <c r="J11" i="2" s="1"/>
  <c r="K11" i="2" s="1"/>
  <c r="G11" i="2"/>
  <c r="M19" i="2"/>
  <c r="N19" i="2" s="1"/>
  <c r="O19" i="2" s="1"/>
  <c r="P19" i="2" s="1"/>
  <c r="L19" i="2"/>
  <c r="H20" i="2"/>
  <c r="I20" i="2" s="1"/>
  <c r="J20" i="2" s="1"/>
  <c r="K20" i="2" s="1"/>
  <c r="G20" i="2"/>
  <c r="H19" i="2"/>
  <c r="I19" i="2" s="1"/>
  <c r="J19" i="2" s="1"/>
  <c r="K19" i="2" s="1"/>
  <c r="G19" i="2"/>
  <c r="C5" i="2"/>
  <c r="C3" i="2"/>
  <c r="U28" i="2"/>
  <c r="U10" i="2"/>
  <c r="T28" i="2"/>
  <c r="T10" i="2"/>
  <c r="S28" i="2"/>
  <c r="S10" i="2"/>
  <c r="R28" i="2"/>
  <c r="R10" i="2"/>
  <c r="Q28" i="2"/>
  <c r="Q10" i="2"/>
  <c r="F28" i="2"/>
  <c r="F25" i="2"/>
  <c r="F23" i="2"/>
  <c r="F20" i="2"/>
  <c r="F19" i="2"/>
  <c r="F18" i="2"/>
  <c r="F16" i="2"/>
  <c r="E28" i="2"/>
  <c r="E25" i="2"/>
  <c r="E23" i="2"/>
  <c r="E20" i="2"/>
  <c r="E19" i="2"/>
  <c r="E18" i="2"/>
  <c r="E16" i="2"/>
  <c r="E15" i="2"/>
  <c r="F13" i="2"/>
  <c r="F12" i="2"/>
  <c r="F11" i="2"/>
  <c r="E13" i="2"/>
  <c r="E12" i="2"/>
  <c r="E11" i="2"/>
  <c r="W21" i="1"/>
  <c r="W37" i="1"/>
  <c r="U21" i="1"/>
  <c r="Q21" i="1"/>
  <c r="U37" i="1"/>
  <c r="Q37" i="1"/>
  <c r="R50" i="1"/>
  <c r="W50" i="1"/>
  <c r="V50" i="1"/>
  <c r="U50" i="1"/>
  <c r="T50" i="1"/>
  <c r="S50" i="1"/>
  <c r="W51" i="1"/>
  <c r="V51" i="1"/>
  <c r="U51" i="1"/>
  <c r="T51" i="1"/>
  <c r="S51" i="1"/>
  <c r="R51" i="1"/>
  <c r="W7" i="1"/>
  <c r="V7" i="1"/>
  <c r="U7" i="1"/>
  <c r="T7" i="1"/>
  <c r="S7" i="1"/>
  <c r="R7" i="1"/>
  <c r="Q7" i="1"/>
  <c r="P7" i="1"/>
  <c r="O7" i="1"/>
  <c r="N7" i="1"/>
  <c r="W55" i="1"/>
  <c r="V55" i="1"/>
  <c r="U55" i="1"/>
  <c r="T55" i="1"/>
  <c r="S55" i="1"/>
  <c r="R55" i="1"/>
  <c r="G34" i="2" l="1"/>
  <c r="W52" i="1"/>
  <c r="W42" i="1"/>
  <c r="W41" i="1"/>
  <c r="W33" i="1"/>
  <c r="W29" i="1"/>
  <c r="W28" i="1"/>
  <c r="W13" i="1"/>
  <c r="W9" i="1"/>
  <c r="W23" i="1" s="1"/>
  <c r="W14" i="1" l="1"/>
  <c r="F46" i="2"/>
  <c r="F45" i="2"/>
  <c r="G62" i="2"/>
  <c r="V41" i="1"/>
  <c r="F44" i="2"/>
  <c r="F42" i="2"/>
  <c r="F41" i="2"/>
  <c r="U52" i="1"/>
  <c r="U42" i="1"/>
  <c r="U29" i="1"/>
  <c r="U28" i="1"/>
  <c r="U9" i="1"/>
  <c r="U23" i="1" s="1"/>
  <c r="U41" i="1" l="1"/>
  <c r="U33" i="1"/>
  <c r="U13" i="1"/>
  <c r="U14" i="1" s="1"/>
  <c r="U24" i="1" s="1"/>
  <c r="W16" i="1"/>
  <c r="W24" i="1"/>
  <c r="F49" i="2"/>
  <c r="G35" i="2"/>
  <c r="F15" i="2"/>
  <c r="F40" i="2"/>
  <c r="F48" i="2"/>
  <c r="U16" i="1" l="1"/>
  <c r="W19" i="1"/>
  <c r="W20" i="1" s="1"/>
  <c r="W25" i="1"/>
  <c r="F17" i="2"/>
  <c r="U19" i="1"/>
  <c r="U25" i="1"/>
  <c r="U20" i="1" l="1"/>
  <c r="T42" i="1" l="1"/>
  <c r="T52" i="1"/>
  <c r="T13" i="1"/>
  <c r="T9" i="1"/>
  <c r="V52" i="1"/>
  <c r="V42" i="1"/>
  <c r="V29" i="1"/>
  <c r="V28" i="1"/>
  <c r="V13" i="1"/>
  <c r="T14" i="1" l="1"/>
  <c r="T16" i="1" s="1"/>
  <c r="T19" i="1" s="1"/>
  <c r="T41" i="1"/>
  <c r="T33" i="1"/>
  <c r="V9" i="1"/>
  <c r="V33" i="1"/>
  <c r="T28" i="1"/>
  <c r="T29" i="1"/>
  <c r="W30" i="1"/>
  <c r="S52" i="1"/>
  <c r="S42" i="1"/>
  <c r="S33" i="1"/>
  <c r="S29" i="1"/>
  <c r="S28" i="1"/>
  <c r="F63" i="2"/>
  <c r="F62" i="2"/>
  <c r="F61" i="2"/>
  <c r="N33" i="1"/>
  <c r="O33" i="1"/>
  <c r="O13" i="1"/>
  <c r="P33" i="1"/>
  <c r="P13" i="1"/>
  <c r="U30" i="1"/>
  <c r="E44" i="2"/>
  <c r="E41" i="2"/>
  <c r="R52" i="1"/>
  <c r="P9" i="1"/>
  <c r="P23" i="1" s="1"/>
  <c r="O9" i="1"/>
  <c r="R42" i="1"/>
  <c r="N13" i="1"/>
  <c r="R29" i="1"/>
  <c r="R28" i="1"/>
  <c r="N9" i="1"/>
  <c r="N23" i="1" s="1"/>
  <c r="R27" i="1"/>
  <c r="E45" i="2"/>
  <c r="Q42" i="1"/>
  <c r="E42" i="2"/>
  <c r="E46" i="2"/>
  <c r="P42" i="1"/>
  <c r="O42" i="1"/>
  <c r="N42" i="1"/>
  <c r="G28" i="2"/>
  <c r="H28" i="2" s="1"/>
  <c r="I28" i="2" s="1"/>
  <c r="J28" i="2" s="1"/>
  <c r="K28" i="2" s="1"/>
  <c r="L28" i="2" s="1"/>
  <c r="M28" i="2" s="1"/>
  <c r="N28" i="2" s="1"/>
  <c r="O28" i="2" s="1"/>
  <c r="P28" i="2" s="1"/>
  <c r="E10" i="2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S41" i="1" l="1"/>
  <c r="Q13" i="1"/>
  <c r="U31" i="1" s="1"/>
  <c r="R41" i="1"/>
  <c r="R13" i="1"/>
  <c r="V31" i="1" s="1"/>
  <c r="R9" i="1"/>
  <c r="R14" i="1" s="1"/>
  <c r="R16" i="1" s="1"/>
  <c r="Q9" i="1"/>
  <c r="Q23" i="1" s="1"/>
  <c r="U27" i="1"/>
  <c r="S9" i="1"/>
  <c r="S23" i="1" s="1"/>
  <c r="W27" i="1"/>
  <c r="V30" i="1"/>
  <c r="N41" i="1"/>
  <c r="V27" i="1"/>
  <c r="Q41" i="1"/>
  <c r="P41" i="1"/>
  <c r="T20" i="1"/>
  <c r="H59" i="2"/>
  <c r="E59" i="2"/>
  <c r="K59" i="2"/>
  <c r="J59" i="2"/>
  <c r="I59" i="2"/>
  <c r="G59" i="2"/>
  <c r="F59" i="2"/>
  <c r="E56" i="2"/>
  <c r="E40" i="2"/>
  <c r="V14" i="1"/>
  <c r="V23" i="1"/>
  <c r="O14" i="1"/>
  <c r="O24" i="1" s="1"/>
  <c r="O23" i="1"/>
  <c r="E49" i="2"/>
  <c r="E48" i="2"/>
  <c r="O41" i="1"/>
  <c r="R33" i="1"/>
  <c r="Q33" i="1"/>
  <c r="R31" i="1"/>
  <c r="T30" i="1"/>
  <c r="P14" i="1"/>
  <c r="N14" i="1"/>
  <c r="S27" i="1"/>
  <c r="S13" i="1"/>
  <c r="R30" i="1"/>
  <c r="C6" i="2"/>
  <c r="C7" i="2" s="1"/>
  <c r="S30" i="1"/>
  <c r="T31" i="1"/>
  <c r="R23" i="1" l="1"/>
  <c r="Q14" i="1"/>
  <c r="O16" i="1"/>
  <c r="O25" i="1" s="1"/>
  <c r="S31" i="1"/>
  <c r="W31" i="1"/>
  <c r="F21" i="2"/>
  <c r="F22" i="2" s="1"/>
  <c r="F24" i="2" s="1"/>
  <c r="V24" i="1"/>
  <c r="V16" i="1"/>
  <c r="R24" i="1"/>
  <c r="H62" i="2"/>
  <c r="T27" i="1"/>
  <c r="R25" i="1"/>
  <c r="R19" i="1"/>
  <c r="N24" i="1"/>
  <c r="N16" i="1"/>
  <c r="F36" i="2"/>
  <c r="Q24" i="1"/>
  <c r="Q16" i="1"/>
  <c r="P16" i="1"/>
  <c r="P24" i="1"/>
  <c r="E17" i="2"/>
  <c r="S14" i="1"/>
  <c r="E21" i="2"/>
  <c r="G63" i="2"/>
  <c r="O19" i="1" l="1"/>
  <c r="O20" i="1" s="1"/>
  <c r="R20" i="1"/>
  <c r="I62" i="2"/>
  <c r="V19" i="1"/>
  <c r="W44" i="1" s="1"/>
  <c r="V25" i="1"/>
  <c r="F35" i="2"/>
  <c r="S16" i="1"/>
  <c r="S24" i="1"/>
  <c r="G36" i="2"/>
  <c r="P19" i="1"/>
  <c r="P25" i="1"/>
  <c r="T23" i="1"/>
  <c r="H63" i="2"/>
  <c r="F37" i="2"/>
  <c r="E22" i="2"/>
  <c r="E30" i="2"/>
  <c r="N25" i="1"/>
  <c r="N19" i="1"/>
  <c r="Q25" i="1"/>
  <c r="Q19" i="1"/>
  <c r="F38" i="2"/>
  <c r="W48" i="1" l="1"/>
  <c r="W45" i="1"/>
  <c r="W46" i="1"/>
  <c r="W47" i="1"/>
  <c r="Q20" i="1"/>
  <c r="J62" i="2"/>
  <c r="V20" i="1"/>
  <c r="T24" i="1"/>
  <c r="G37" i="2"/>
  <c r="H21" i="2"/>
  <c r="G61" i="2"/>
  <c r="S25" i="1"/>
  <c r="S19" i="1"/>
  <c r="H36" i="2"/>
  <c r="F34" i="2"/>
  <c r="P20" i="1"/>
  <c r="N20" i="1"/>
  <c r="Q44" i="1"/>
  <c r="E31" i="2"/>
  <c r="E24" i="2"/>
  <c r="R44" i="1"/>
  <c r="P44" i="1"/>
  <c r="G21" i="2"/>
  <c r="G38" i="2" s="1"/>
  <c r="I63" i="2"/>
  <c r="S20" i="1" l="1"/>
  <c r="U44" i="1"/>
  <c r="T44" i="1"/>
  <c r="J63" i="2"/>
  <c r="K63" i="2"/>
  <c r="K62" i="2"/>
  <c r="H38" i="2"/>
  <c r="H35" i="2"/>
  <c r="F30" i="2"/>
  <c r="H61" i="2"/>
  <c r="H15" i="2"/>
  <c r="H34" i="2" s="1"/>
  <c r="H37" i="2"/>
  <c r="P48" i="1"/>
  <c r="P45" i="1"/>
  <c r="P47" i="1"/>
  <c r="P46" i="1"/>
  <c r="I36" i="2"/>
  <c r="R47" i="1"/>
  <c r="R46" i="1"/>
  <c r="R45" i="1"/>
  <c r="R48" i="1"/>
  <c r="E32" i="2"/>
  <c r="E26" i="2"/>
  <c r="E58" i="2" s="1"/>
  <c r="Q48" i="1"/>
  <c r="Q47" i="1"/>
  <c r="Q46" i="1"/>
  <c r="Q45" i="1"/>
  <c r="O44" i="1"/>
  <c r="N44" i="1"/>
  <c r="S44" i="1"/>
  <c r="T47" i="1" l="1"/>
  <c r="T46" i="1"/>
  <c r="T45" i="1"/>
  <c r="T48" i="1"/>
  <c r="U48" i="1"/>
  <c r="U46" i="1"/>
  <c r="U47" i="1"/>
  <c r="U45" i="1"/>
  <c r="G17" i="2"/>
  <c r="G16" i="2" s="1"/>
  <c r="I21" i="2"/>
  <c r="I38" i="2" s="1"/>
  <c r="E54" i="2"/>
  <c r="E53" i="2"/>
  <c r="E51" i="2"/>
  <c r="Q18" i="2"/>
  <c r="I35" i="2"/>
  <c r="O48" i="1"/>
  <c r="O47" i="1"/>
  <c r="O46" i="1"/>
  <c r="O45" i="1"/>
  <c r="I61" i="2"/>
  <c r="I15" i="2"/>
  <c r="T25" i="1"/>
  <c r="E27" i="2"/>
  <c r="E52" i="2"/>
  <c r="J36" i="2"/>
  <c r="S47" i="1"/>
  <c r="S46" i="1"/>
  <c r="S45" i="1"/>
  <c r="S48" i="1"/>
  <c r="F31" i="2"/>
  <c r="I37" i="2"/>
  <c r="N48" i="1"/>
  <c r="N47" i="1"/>
  <c r="N46" i="1"/>
  <c r="N45" i="1"/>
  <c r="R18" i="2" l="1"/>
  <c r="Q35" i="2"/>
  <c r="G30" i="2"/>
  <c r="H17" i="2" s="1"/>
  <c r="H22" i="2" s="1"/>
  <c r="G22" i="2"/>
  <c r="G31" i="2" s="1"/>
  <c r="J21" i="2"/>
  <c r="J38" i="2" s="1"/>
  <c r="K61" i="2"/>
  <c r="K15" i="2"/>
  <c r="L15" i="2" s="1"/>
  <c r="M15" i="2" s="1"/>
  <c r="N15" i="2" s="1"/>
  <c r="O15" i="2" s="1"/>
  <c r="P15" i="2" s="1"/>
  <c r="J35" i="2"/>
  <c r="F32" i="2"/>
  <c r="I34" i="2"/>
  <c r="K36" i="2"/>
  <c r="J37" i="2"/>
  <c r="J15" i="2"/>
  <c r="J61" i="2"/>
  <c r="R35" i="2" l="1"/>
  <c r="S18" i="2"/>
  <c r="H16" i="2"/>
  <c r="H30" i="2"/>
  <c r="I17" i="2" s="1"/>
  <c r="I16" i="2" s="1"/>
  <c r="F26" i="2"/>
  <c r="F58" i="2" s="1"/>
  <c r="V44" i="1"/>
  <c r="K35" i="2"/>
  <c r="J34" i="2"/>
  <c r="K37" i="2"/>
  <c r="K21" i="2"/>
  <c r="K38" i="2" s="1"/>
  <c r="L36" i="2"/>
  <c r="H31" i="2"/>
  <c r="T18" i="2" l="1"/>
  <c r="S35" i="2"/>
  <c r="I30" i="2"/>
  <c r="J17" i="2" s="1"/>
  <c r="J16" i="2" s="1"/>
  <c r="I22" i="2"/>
  <c r="I31" i="2" s="1"/>
  <c r="V48" i="1"/>
  <c r="V47" i="1"/>
  <c r="F27" i="2"/>
  <c r="F51" i="2"/>
  <c r="F53" i="2"/>
  <c r="F52" i="2"/>
  <c r="F54" i="2"/>
  <c r="G23" i="2"/>
  <c r="G24" i="2" s="1"/>
  <c r="V46" i="1"/>
  <c r="V45" i="1"/>
  <c r="L35" i="2"/>
  <c r="M21" i="2"/>
  <c r="L37" i="2"/>
  <c r="K34" i="2"/>
  <c r="L21" i="2"/>
  <c r="L38" i="2" s="1"/>
  <c r="M36" i="2"/>
  <c r="J30" i="2" l="1"/>
  <c r="K17" i="2" s="1"/>
  <c r="K16" i="2" s="1"/>
  <c r="J22" i="2"/>
  <c r="J31" i="2" s="1"/>
  <c r="U18" i="2"/>
  <c r="T35" i="2"/>
  <c r="M35" i="2"/>
  <c r="G25" i="2"/>
  <c r="G32" i="2" s="1"/>
  <c r="K30" i="2"/>
  <c r="L17" i="2" s="1"/>
  <c r="L34" i="2"/>
  <c r="M38" i="2"/>
  <c r="N36" i="2"/>
  <c r="M37" i="2"/>
  <c r="K22" i="2" l="1"/>
  <c r="K31" i="2" s="1"/>
  <c r="U35" i="2"/>
  <c r="G26" i="2"/>
  <c r="N35" i="2"/>
  <c r="M34" i="2"/>
  <c r="O36" i="2"/>
  <c r="Q19" i="2"/>
  <c r="L22" i="2"/>
  <c r="L30" i="2"/>
  <c r="M17" i="2" s="1"/>
  <c r="L16" i="2"/>
  <c r="N37" i="2"/>
  <c r="N21" i="2"/>
  <c r="N38" i="2" s="1"/>
  <c r="R19" i="2" l="1"/>
  <c r="Q36" i="2"/>
  <c r="G58" i="2"/>
  <c r="G27" i="2"/>
  <c r="G40" i="2"/>
  <c r="O35" i="2"/>
  <c r="M22" i="2"/>
  <c r="M30" i="2"/>
  <c r="N17" i="2" s="1"/>
  <c r="M16" i="2"/>
  <c r="O37" i="2"/>
  <c r="L31" i="2"/>
  <c r="O21" i="2"/>
  <c r="O38" i="2" s="1"/>
  <c r="P36" i="2"/>
  <c r="N34" i="2"/>
  <c r="P21" i="2" l="1"/>
  <c r="Q20" i="2"/>
  <c r="S19" i="2"/>
  <c r="R36" i="2"/>
  <c r="P35" i="2"/>
  <c r="N30" i="2"/>
  <c r="O17" i="2" s="1"/>
  <c r="O16" i="2" s="1"/>
  <c r="N22" i="2"/>
  <c r="N16" i="2"/>
  <c r="O34" i="2"/>
  <c r="Q15" i="2"/>
  <c r="P38" i="2"/>
  <c r="H23" i="2"/>
  <c r="H24" i="2" s="1"/>
  <c r="P37" i="2"/>
  <c r="M31" i="2"/>
  <c r="R15" i="2" l="1"/>
  <c r="Q34" i="2"/>
  <c r="Q37" i="2"/>
  <c r="R20" i="2"/>
  <c r="Q21" i="2"/>
  <c r="S36" i="2"/>
  <c r="T19" i="2"/>
  <c r="H25" i="2"/>
  <c r="H32" i="2" s="1"/>
  <c r="N31" i="2"/>
  <c r="P34" i="2"/>
  <c r="O22" i="2"/>
  <c r="O30" i="2"/>
  <c r="P17" i="2" s="1"/>
  <c r="S15" i="2" l="1"/>
  <c r="R34" i="2"/>
  <c r="Q38" i="2"/>
  <c r="S20" i="2"/>
  <c r="R37" i="2"/>
  <c r="R21" i="2"/>
  <c r="T36" i="2"/>
  <c r="U19" i="2"/>
  <c r="H26" i="2"/>
  <c r="P22" i="2"/>
  <c r="P30" i="2"/>
  <c r="Q17" i="2" s="1"/>
  <c r="P16" i="2"/>
  <c r="O31" i="2"/>
  <c r="Q30" i="2" l="1"/>
  <c r="R17" i="2" s="1"/>
  <c r="Q16" i="2"/>
  <c r="T15" i="2"/>
  <c r="S34" i="2"/>
  <c r="Q22" i="2"/>
  <c r="Q31" i="2" s="1"/>
  <c r="R38" i="2"/>
  <c r="R22" i="2"/>
  <c r="R31" i="2" s="1"/>
  <c r="S37" i="2"/>
  <c r="T20" i="2"/>
  <c r="S21" i="2"/>
  <c r="U36" i="2"/>
  <c r="H58" i="2"/>
  <c r="H27" i="2"/>
  <c r="H40" i="2"/>
  <c r="I23" i="2" s="1"/>
  <c r="I24" i="2" s="1"/>
  <c r="P31" i="2"/>
  <c r="U15" i="2" l="1"/>
  <c r="T34" i="2"/>
  <c r="R30" i="2"/>
  <c r="S17" i="2" s="1"/>
  <c r="R16" i="2"/>
  <c r="S22" i="2"/>
  <c r="S31" i="2" s="1"/>
  <c r="S38" i="2"/>
  <c r="T37" i="2"/>
  <c r="U20" i="2"/>
  <c r="T21" i="2"/>
  <c r="I25" i="2"/>
  <c r="I32" i="2" s="1"/>
  <c r="U34" i="2" l="1"/>
  <c r="S30" i="2"/>
  <c r="T17" i="2" s="1"/>
  <c r="S16" i="2"/>
  <c r="T38" i="2"/>
  <c r="T22" i="2"/>
  <c r="T31" i="2" s="1"/>
  <c r="U37" i="2"/>
  <c r="U21" i="2"/>
  <c r="I26" i="2"/>
  <c r="I40" i="2" s="1"/>
  <c r="T30" i="2" l="1"/>
  <c r="U17" i="2" s="1"/>
  <c r="T16" i="2"/>
  <c r="U22" i="2"/>
  <c r="U31" i="2" s="1"/>
  <c r="U38" i="2"/>
  <c r="I58" i="2"/>
  <c r="I27" i="2"/>
  <c r="J23" i="2"/>
  <c r="J24" i="2" s="1"/>
  <c r="U30" i="2" l="1"/>
  <c r="U16" i="2"/>
  <c r="J25" i="2"/>
  <c r="J32" i="2" s="1"/>
  <c r="J26" i="2" l="1"/>
  <c r="J27" i="2" l="1"/>
  <c r="J58" i="2"/>
  <c r="J40" i="2"/>
  <c r="K23" i="2" s="1"/>
  <c r="K24" i="2" s="1"/>
  <c r="K25" i="2" l="1"/>
  <c r="K32" i="2" s="1"/>
  <c r="K26" i="2" l="1"/>
  <c r="K58" i="2" s="1"/>
  <c r="K27" i="2"/>
  <c r="K40" i="2"/>
  <c r="L23" i="2" l="1"/>
  <c r="L24" i="2" s="1"/>
  <c r="L25" i="2" l="1"/>
  <c r="L32" i="2" s="1"/>
  <c r="L26" i="2" l="1"/>
  <c r="L27" i="2" s="1"/>
  <c r="L40" i="2" l="1"/>
  <c r="M23" i="2"/>
  <c r="M24" i="2" s="1"/>
  <c r="M25" i="2" l="1"/>
  <c r="M32" i="2" s="1"/>
  <c r="M26" i="2" l="1"/>
  <c r="M27" i="2" l="1"/>
  <c r="M40" i="2"/>
  <c r="N23" i="2" l="1"/>
  <c r="N24" i="2" s="1"/>
  <c r="N25" i="2" l="1"/>
  <c r="N32" i="2" s="1"/>
  <c r="N26" i="2" l="1"/>
  <c r="N27" i="2"/>
  <c r="N40" i="2"/>
  <c r="O23" i="2" l="1"/>
  <c r="O24" i="2" s="1"/>
  <c r="O25" i="2" l="1"/>
  <c r="O32" i="2" s="1"/>
  <c r="O26" i="2" l="1"/>
  <c r="O27" i="2"/>
  <c r="O40" i="2"/>
  <c r="P23" i="2" l="1"/>
  <c r="P24" i="2" s="1"/>
  <c r="P25" i="2" l="1"/>
  <c r="P32" i="2" s="1"/>
  <c r="P26" i="2" l="1"/>
  <c r="P27" i="2" l="1"/>
  <c r="P40" i="2"/>
  <c r="Q23" i="2" l="1"/>
  <c r="Q24" i="2" s="1"/>
  <c r="Q25" i="2" l="1"/>
  <c r="Q32" i="2" s="1"/>
  <c r="Q26" i="2" l="1"/>
  <c r="Q27" i="2" s="1"/>
  <c r="Q40" i="2"/>
  <c r="R23" i="2" l="1"/>
  <c r="R24" i="2" s="1"/>
  <c r="R25" i="2" l="1"/>
  <c r="R32" i="2" s="1"/>
  <c r="R26" i="2" l="1"/>
  <c r="R27" i="2" l="1"/>
  <c r="R40" i="2"/>
  <c r="S23" i="2" l="1"/>
  <c r="S24" i="2" s="1"/>
  <c r="S25" i="2" l="1"/>
  <c r="S32" i="2" s="1"/>
  <c r="S26" i="2" l="1"/>
  <c r="S27" i="2" l="1"/>
  <c r="S40" i="2"/>
  <c r="T23" i="2" l="1"/>
  <c r="T24" i="2" s="1"/>
  <c r="T25" i="2" l="1"/>
  <c r="T32" i="2" s="1"/>
  <c r="T26" i="2"/>
  <c r="T27" i="2" l="1"/>
  <c r="T40" i="2"/>
  <c r="U23" i="2" l="1"/>
  <c r="U24" i="2" s="1"/>
  <c r="U25" i="2" l="1"/>
  <c r="U32" i="2" s="1"/>
  <c r="U26" i="2"/>
  <c r="U27" i="2" l="1"/>
  <c r="V26" i="2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F7" i="2" s="1"/>
  <c r="G7" i="2" s="1"/>
  <c r="U40" i="2"/>
</calcChain>
</file>

<file path=xl/sharedStrings.xml><?xml version="1.0" encoding="utf-8"?>
<sst xmlns="http://schemas.openxmlformats.org/spreadsheetml/2006/main" count="203" uniqueCount="156">
  <si>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</si>
  <si>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</si>
  <si>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</si>
  <si>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</si>
  <si>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</si>
  <si>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</si>
  <si>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</si>
  <si>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</si>
  <si>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</si>
  <si>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</si>
  <si>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</si>
  <si>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</si>
  <si>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</si>
  <si>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</si>
  <si>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</si>
  <si>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</si>
  <si>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</si>
  <si>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</si>
  <si>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</si>
  <si>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</si>
  <si>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</si>
  <si>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</si>
  <si>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</si>
  <si>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</si>
  <si>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</si>
  <si>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</si>
  <si>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</si>
  <si>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</si>
  <si>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</si>
  <si>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</si>
  <si>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</si>
  <si>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</si>
  <si>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</si>
  <si>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</si>
  <si>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</si>
  <si>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</si>
  <si>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</si>
  <si>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</si>
  <si>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Q115</t>
  </si>
  <si>
    <t>Q215</t>
  </si>
  <si>
    <t>Q315</t>
  </si>
  <si>
    <t>Q415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</si>
  <si>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</si>
  <si>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</si>
  <si>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</si>
  <si>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</si>
  <si>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</si>
  <si>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</si>
  <si>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</si>
  <si>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</si>
  <si>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</si>
  <si>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</si>
  <si>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</si>
  <si>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</si>
  <si>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</si>
  <si>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</si>
  <si>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</si>
  <si>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</si>
  <si>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</si>
  <si>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</si>
  <si>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</si>
  <si>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</si>
  <si>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</si>
  <si>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</si>
  <si>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</si>
  <si>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</si>
  <si>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</si>
  <si>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</si>
  <si>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Tax anomaly</t>
  </si>
  <si>
    <t>Operating Expenses y/y</t>
  </si>
  <si>
    <t>Q120</t>
  </si>
  <si>
    <t>Q420</t>
  </si>
  <si>
    <t>BADWILL</t>
  </si>
  <si>
    <t>Intangibles per share</t>
  </si>
  <si>
    <t>Risk-free rate + market premium (opportunity cost)</t>
  </si>
  <si>
    <t>http://www.worldgovernmentbonds.com/country/united-states/</t>
  </si>
  <si>
    <t>Net present value on future net income (terminal value)</t>
  </si>
  <si>
    <t>RORC</t>
  </si>
  <si>
    <t>PRR</t>
  </si>
  <si>
    <t>Return on research capital</t>
  </si>
  <si>
    <t>Price to R&amp;D ratio</t>
  </si>
  <si>
    <t>Q220</t>
  </si>
  <si>
    <t>Q320</t>
  </si>
  <si>
    <t>Unity Software Inc (U)</t>
  </si>
  <si>
    <t>David Helgason</t>
  </si>
  <si>
    <t>Nicholas Francis</t>
  </si>
  <si>
    <t>Joachim Ante</t>
  </si>
  <si>
    <t>John Riccitiello</t>
  </si>
  <si>
    <t>Unity Platform</t>
  </si>
  <si>
    <t>3d content creator</t>
  </si>
  <si>
    <t>AI-assisted world creator</t>
  </si>
  <si>
    <t>MARS</t>
  </si>
  <si>
    <t>ArtEngine</t>
  </si>
  <si>
    <t>AR</t>
  </si>
  <si>
    <t>Reflect</t>
  </si>
  <si>
    <t>BIM to real-time 3d</t>
  </si>
  <si>
    <t>Unity Build Server</t>
  </si>
  <si>
    <t>Storage</t>
  </si>
  <si>
    <t>Backtrace</t>
  </si>
  <si>
    <t>Game crash management system</t>
  </si>
  <si>
    <t>Interact</t>
  </si>
  <si>
    <t>VR</t>
  </si>
  <si>
    <t>OTOY OctaneRender</t>
  </si>
  <si>
    <t>GPU renderer</t>
  </si>
  <si>
    <t>Pixyz</t>
  </si>
  <si>
    <t>Products</t>
  </si>
  <si>
    <t>Visualize CAD data</t>
  </si>
  <si>
    <t>Unity Simulation</t>
  </si>
  <si>
    <t>Multiplay</t>
  </si>
  <si>
    <t>Server hosting for games</t>
  </si>
  <si>
    <t>Unity Teams</t>
  </si>
  <si>
    <t>Team collaboration tool</t>
  </si>
  <si>
    <t>Furioos</t>
  </si>
  <si>
    <t>3d in browser</t>
  </si>
  <si>
    <t>Vivox</t>
  </si>
  <si>
    <t>In-game communication</t>
  </si>
  <si>
    <t>deltaDNA</t>
  </si>
  <si>
    <t>Personalized engagement</t>
  </si>
  <si>
    <t>GameTune</t>
  </si>
  <si>
    <t>Real-time game adjustment</t>
  </si>
  <si>
    <t>Overtune</t>
  </si>
  <si>
    <t>Voice technology for developers</t>
  </si>
  <si>
    <t>Large customers</t>
  </si>
  <si>
    <t>Large customers y/y</t>
  </si>
  <si>
    <t>Create Solutions</t>
  </si>
  <si>
    <t>Operate Solutions</t>
  </si>
  <si>
    <t>Other</t>
  </si>
  <si>
    <t>Create Solutions y/y</t>
  </si>
  <si>
    <t>Operate Solutions y/y</t>
  </si>
  <si>
    <t>Other y/y</t>
  </si>
  <si>
    <t>Granite</t>
  </si>
  <si>
    <t>Texture system for content</t>
  </si>
  <si>
    <t>Forma</t>
  </si>
  <si>
    <t>High fidelity toolkit for interactivity</t>
  </si>
  <si>
    <t>GameSim</t>
  </si>
  <si>
    <t>Simulator for game creators</t>
  </si>
  <si>
    <t>General purpose simulator</t>
  </si>
  <si>
    <t>EA</t>
  </si>
  <si>
    <t>Nintendo</t>
  </si>
  <si>
    <t>Take-Two</t>
  </si>
  <si>
    <t>Tencent</t>
  </si>
  <si>
    <t>Zynga</t>
  </si>
  <si>
    <t>Apex Legends, Battlefield, FIFA, Madden NFL, Need for Speed, The Sims</t>
  </si>
  <si>
    <t>Arena of Valor, Honor of Kings</t>
  </si>
  <si>
    <t>Pokemon GO</t>
  </si>
  <si>
    <t>Kerbal Space Program, The Outer Worlds</t>
  </si>
  <si>
    <t>Ubisoft</t>
  </si>
  <si>
    <t>Assasins Creed, Just Dance Now, Hungry Shark</t>
  </si>
  <si>
    <t>Engineering</t>
  </si>
  <si>
    <t>Game Publishers</t>
  </si>
  <si>
    <t>Other customers</t>
  </si>
  <si>
    <t>Samsung, Skanska</t>
  </si>
  <si>
    <t>Automotive</t>
  </si>
  <si>
    <t>BMW, Honda, Volvo</t>
  </si>
  <si>
    <t>Animation</t>
  </si>
  <si>
    <t>Fremantle Media, Keyframe Studios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</si>
</sst>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Border="1"/>
    <xf numFmtId="3" fontId="7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left"/>
    </xf>
    <xf numFmtId="9" fontId="6" fillId="2" borderId="0" xfId="0" applyNumberFormat="1" applyFont="1" applyFill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4" applyFont="1"/>
    <xf numFmtId="0" fontId="4" fillId="0" borderId="0" xfId="4"/>
    <xf numFmtId="0" fontId="4" fillId="0" borderId="0" xfId="4" applyBorder="1"/>
    <xf numFmtId="0" fontId="5" fillId="0" borderId="2" xfId="0" applyFont="1" applyBorder="1"/>
    <xf numFmtId="0" fontId="6" fillId="0" borderId="2" xfId="0" applyFont="1" applyBorder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152400</xdr:rowOff>
    </xdr:from>
    <xdr:to>
      <xdr:col>6</xdr:col>
      <xdr:colOff>165100</xdr:colOff>
      <xdr:row>64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765800" y="1308100"/>
          <a:ext cx="0" cy="9271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215900</xdr:colOff>
      <xdr:row>0</xdr:row>
      <xdr:rowOff>152400</xdr:rowOff>
    </xdr:from>
    <xdr:to>
      <xdr:col>23</xdr:col>
      <xdr:colOff>215900</xdr:colOff>
      <xdr:row>56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9926300" y="152400"/>
          <a:ext cx="0" cy="94234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John_Riccitiello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unity.com/overview/default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810806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63"/>
  <sheetViews>
    <sheetView tabSelected="1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D16" sqref="D16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7" x14ac:dyDescent="0.15">
      <c r="A1" s="73" t="s">
        <v>66</v>
      </c>
      <c r="B1" s="2" t="s">
        <v>83</v>
      </c>
    </row>
    <row r="2" spans="1:117" x14ac:dyDescent="0.15">
      <c r="B2" s="3" t="s">
        <v>48</v>
      </c>
      <c r="C2" s="4">
        <v>90.99</v>
      </c>
      <c r="D2" s="69">
        <v>44099</v>
      </c>
      <c r="E2" s="6" t="s">
        <v>29</v>
      </c>
      <c r="F2" s="7">
        <v>-0.02</v>
      </c>
      <c r="I2" s="16"/>
      <c r="L2" s="2"/>
    </row>
    <row r="3" spans="1:117" x14ac:dyDescent="0.15">
      <c r="A3" s="2" t="s">
        <v>46</v>
      </c>
      <c r="B3" s="3" t="s">
        <v>17</v>
      </c>
      <c r="C3" s="8">
        <f>Reports!W21</f>
        <v>238.36673300000001</v>
      </c>
      <c r="D3" s="70" t="s">
        <v>81</v>
      </c>
      <c r="E3" s="6" t="s">
        <v>30</v>
      </c>
      <c r="F3" s="7">
        <v>0.02</v>
      </c>
      <c r="G3" s="5" t="s">
        <v>67</v>
      </c>
      <c r="I3" s="16"/>
    </row>
    <row r="4" spans="1:117" x14ac:dyDescent="0.15">
      <c r="A4" s="72" t="s">
        <v>87</v>
      </c>
      <c r="B4" s="3" t="s">
        <v>49</v>
      </c>
      <c r="C4" s="10">
        <f>C2*C3</f>
        <v>21688.989035669998</v>
      </c>
      <c r="D4" s="70"/>
      <c r="E4" s="6" t="s">
        <v>31</v>
      </c>
      <c r="F4" s="7">
        <f>7%</f>
        <v>7.0000000000000007E-2</v>
      </c>
      <c r="G4" s="5" t="s">
        <v>74</v>
      </c>
      <c r="I4" s="19"/>
      <c r="L4" s="9" t="s">
        <v>75</v>
      </c>
    </row>
    <row r="5" spans="1:117" x14ac:dyDescent="0.15">
      <c r="B5" s="3" t="s">
        <v>26</v>
      </c>
      <c r="C5" s="8">
        <f>Reports!W33</f>
        <v>329</v>
      </c>
      <c r="D5" s="70" t="s">
        <v>81</v>
      </c>
      <c r="E5" s="6" t="s">
        <v>32</v>
      </c>
      <c r="F5" s="11">
        <f>NPV(F4,G26:GR26)</f>
        <v>14315.261319748743</v>
      </c>
      <c r="G5" s="5" t="s">
        <v>76</v>
      </c>
      <c r="I5" s="19"/>
    </row>
    <row r="6" spans="1:117" x14ac:dyDescent="0.15">
      <c r="A6" s="2" t="s">
        <v>47</v>
      </c>
      <c r="B6" s="3" t="s">
        <v>50</v>
      </c>
      <c r="C6" s="10">
        <f>C4-C5</f>
        <v>21359.989035669998</v>
      </c>
      <c r="D6" s="70"/>
      <c r="E6" s="12" t="s">
        <v>33</v>
      </c>
      <c r="F6" s="13">
        <f>F5+C5</f>
        <v>14644.261319748743</v>
      </c>
      <c r="I6" s="19"/>
    </row>
    <row r="7" spans="1:117" x14ac:dyDescent="0.15">
      <c r="A7" s="71" t="s">
        <v>84</v>
      </c>
      <c r="B7" s="5" t="s">
        <v>51</v>
      </c>
      <c r="C7" s="43">
        <f>C6/C3</f>
        <v>89.60977384235072</v>
      </c>
      <c r="D7" s="70"/>
      <c r="E7" s="14" t="s">
        <v>51</v>
      </c>
      <c r="F7" s="42">
        <f>F6/C3</f>
        <v>61.435843565254309</v>
      </c>
      <c r="G7" s="19">
        <f>F7/C2-1</f>
        <v>-0.32480664287004823</v>
      </c>
      <c r="I7" s="19"/>
    </row>
    <row r="8" spans="1:117" x14ac:dyDescent="0.15">
      <c r="A8" s="71" t="s">
        <v>85</v>
      </c>
    </row>
    <row r="9" spans="1:117" x14ac:dyDescent="0.15">
      <c r="A9" s="71" t="s">
        <v>86</v>
      </c>
      <c r="E9" s="6"/>
      <c r="F9" s="15"/>
    </row>
    <row r="10" spans="1:117" x14ac:dyDescent="0.15">
      <c r="B10" s="38">
        <v>2015</v>
      </c>
      <c r="C10" s="38">
        <v>2016</v>
      </c>
      <c r="D10" s="38">
        <v>2017</v>
      </c>
      <c r="E10" s="38">
        <f>D10+1</f>
        <v>2018</v>
      </c>
      <c r="F10" s="38">
        <f t="shared" ref="F10:U10" si="0">E10+1</f>
        <v>2019</v>
      </c>
      <c r="G10" s="38">
        <f t="shared" si="0"/>
        <v>2020</v>
      </c>
      <c r="H10" s="38">
        <f t="shared" si="0"/>
        <v>2021</v>
      </c>
      <c r="I10" s="38">
        <f t="shared" si="0"/>
        <v>2022</v>
      </c>
      <c r="J10" s="38">
        <f t="shared" si="0"/>
        <v>2023</v>
      </c>
      <c r="K10" s="38">
        <f t="shared" si="0"/>
        <v>2024</v>
      </c>
      <c r="L10" s="38">
        <f t="shared" si="0"/>
        <v>2025</v>
      </c>
      <c r="M10" s="38">
        <f t="shared" si="0"/>
        <v>2026</v>
      </c>
      <c r="N10" s="38">
        <f t="shared" si="0"/>
        <v>2027</v>
      </c>
      <c r="O10" s="38">
        <f t="shared" si="0"/>
        <v>2028</v>
      </c>
      <c r="P10" s="38">
        <f t="shared" si="0"/>
        <v>2029</v>
      </c>
      <c r="Q10" s="38">
        <f t="shared" si="0"/>
        <v>2030</v>
      </c>
      <c r="R10" s="38">
        <f t="shared" si="0"/>
        <v>2031</v>
      </c>
      <c r="S10" s="38">
        <f t="shared" si="0"/>
        <v>2032</v>
      </c>
      <c r="T10" s="38">
        <f t="shared" si="0"/>
        <v>2033</v>
      </c>
      <c r="U10" s="38">
        <f t="shared" si="0"/>
        <v>2034</v>
      </c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</row>
    <row r="11" spans="1:117" x14ac:dyDescent="0.15">
      <c r="A11" s="8" t="s">
        <v>124</v>
      </c>
      <c r="E11" s="37">
        <f>SUM(Reports!N3:Q3)</f>
        <v>125.69200000000001</v>
      </c>
      <c r="F11" s="37">
        <f>SUM(Reports!R3:U3)</f>
        <v>169</v>
      </c>
      <c r="G11" s="37">
        <f>F11*1.3</f>
        <v>219.70000000000002</v>
      </c>
      <c r="H11" s="37">
        <f t="shared" ref="H11:K11" si="1">G11*1.3</f>
        <v>285.61</v>
      </c>
      <c r="I11" s="37">
        <f t="shared" si="1"/>
        <v>371.29300000000001</v>
      </c>
      <c r="J11" s="37">
        <f t="shared" si="1"/>
        <v>482.68090000000001</v>
      </c>
      <c r="K11" s="37">
        <f t="shared" si="1"/>
        <v>627.48517000000004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</row>
    <row r="12" spans="1:117" x14ac:dyDescent="0.15">
      <c r="A12" s="8" t="s">
        <v>125</v>
      </c>
      <c r="E12" s="37">
        <f>SUM(Reports!N4:Q4)</f>
        <v>184.68600000000001</v>
      </c>
      <c r="F12" s="37">
        <f>SUM(Reports!R4:U4)</f>
        <v>294</v>
      </c>
      <c r="G12" s="37">
        <f>F12*1.5</f>
        <v>441</v>
      </c>
      <c r="H12" s="37">
        <f t="shared" ref="H12:K12" si="2">G12*1.5</f>
        <v>661.5</v>
      </c>
      <c r="I12" s="37">
        <f t="shared" si="2"/>
        <v>992.25</v>
      </c>
      <c r="J12" s="37">
        <f t="shared" si="2"/>
        <v>1488.375</v>
      </c>
      <c r="K12" s="37">
        <f t="shared" si="2"/>
        <v>2232.5625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</row>
    <row r="13" spans="1:117" x14ac:dyDescent="0.15">
      <c r="A13" s="8" t="s">
        <v>126</v>
      </c>
      <c r="E13" s="37">
        <f>SUM(Reports!N5:Q5)</f>
        <v>70.673000000000002</v>
      </c>
      <c r="F13" s="37">
        <f>SUM(Reports!R5:U5)</f>
        <v>81</v>
      </c>
      <c r="G13" s="37">
        <f>F13*1.1</f>
        <v>89.100000000000009</v>
      </c>
      <c r="H13" s="37">
        <f t="shared" ref="H13:K13" si="3">G13*1.1</f>
        <v>98.010000000000019</v>
      </c>
      <c r="I13" s="37">
        <f t="shared" si="3"/>
        <v>107.81100000000004</v>
      </c>
      <c r="J13" s="37">
        <f t="shared" si="3"/>
        <v>118.59210000000004</v>
      </c>
      <c r="K13" s="37">
        <f t="shared" si="3"/>
        <v>130.45131000000006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</row>
    <row r="14" spans="1:117" s="59" customFormat="1" x14ac:dyDescent="0.15">
      <c r="B14" s="3"/>
      <c r="C14" s="3"/>
      <c r="D14" s="3"/>
      <c r="F14" s="48"/>
      <c r="G14" s="48"/>
      <c r="H14" s="48"/>
      <c r="I14" s="48"/>
    </row>
    <row r="15" spans="1:117" x14ac:dyDescent="0.15">
      <c r="A15" s="2" t="s">
        <v>4</v>
      </c>
      <c r="E15" s="24">
        <f>SUM(E11:E13)</f>
        <v>381.05100000000004</v>
      </c>
      <c r="F15" s="24">
        <f>SUM(F11:F13)</f>
        <v>544</v>
      </c>
      <c r="G15" s="46">
        <f>SUM(G11:G13)</f>
        <v>749.80000000000007</v>
      </c>
      <c r="H15" s="46">
        <f>SUM(H11:H13)</f>
        <v>1045.1200000000001</v>
      </c>
      <c r="I15" s="46">
        <f>SUM(I11:I13)</f>
        <v>1471.3540000000003</v>
      </c>
      <c r="J15" s="46">
        <f>SUM(J11:J13)</f>
        <v>2089.6480000000001</v>
      </c>
      <c r="K15" s="46">
        <f>SUM(K11:K13)</f>
        <v>2990.4989799999998</v>
      </c>
      <c r="L15" s="46">
        <f>K15*1.2</f>
        <v>3588.5987759999998</v>
      </c>
      <c r="M15" s="46">
        <f t="shared" ref="M15:P15" si="4">L15*1.2</f>
        <v>4306.3185311999996</v>
      </c>
      <c r="N15" s="46">
        <f t="shared" si="4"/>
        <v>5167.5822374399995</v>
      </c>
      <c r="O15" s="46">
        <f t="shared" si="4"/>
        <v>6201.0986849279989</v>
      </c>
      <c r="P15" s="46">
        <f t="shared" si="4"/>
        <v>7441.3184219135983</v>
      </c>
      <c r="Q15" s="46">
        <f t="shared" ref="L15:U15" si="5">P15*1.1</f>
        <v>8185.4502641049585</v>
      </c>
      <c r="R15" s="46">
        <f t="shared" si="5"/>
        <v>9003.9952905154551</v>
      </c>
      <c r="S15" s="46">
        <f t="shared" si="5"/>
        <v>9904.3948195670018</v>
      </c>
      <c r="T15" s="46">
        <f t="shared" si="5"/>
        <v>10894.834301523702</v>
      </c>
      <c r="U15" s="46">
        <f t="shared" si="5"/>
        <v>11984.317731676074</v>
      </c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</row>
    <row r="16" spans="1:117" x14ac:dyDescent="0.15">
      <c r="A16" s="3" t="s">
        <v>5</v>
      </c>
      <c r="E16" s="37">
        <f>SUM(Reports!N8:Q8)</f>
        <v>81.206999999999994</v>
      </c>
      <c r="F16" s="37">
        <f>SUM(Reports!R8:U8)</f>
        <v>118.45099999999999</v>
      </c>
      <c r="G16" s="23">
        <f>G15-G17</f>
        <v>163.26205845588242</v>
      </c>
      <c r="H16" s="23">
        <f t="shared" ref="H16" si="6">H15-H17</f>
        <v>227.56527411764716</v>
      </c>
      <c r="I16" s="23">
        <f t="shared" ref="I16:P16" si="7">I15-I17</f>
        <v>320.37381002573557</v>
      </c>
      <c r="J16" s="23">
        <f t="shared" si="7"/>
        <v>455.00164567647084</v>
      </c>
      <c r="K16" s="23">
        <f>K15-K17</f>
        <v>651.15366669114019</v>
      </c>
      <c r="L16" s="23">
        <f t="shared" si="7"/>
        <v>781.38440002936795</v>
      </c>
      <c r="M16" s="23">
        <f t="shared" si="7"/>
        <v>937.66128003524182</v>
      </c>
      <c r="N16" s="23">
        <f t="shared" si="7"/>
        <v>1125.1935360422899</v>
      </c>
      <c r="O16" s="23">
        <f t="shared" si="7"/>
        <v>1350.2322432507481</v>
      </c>
      <c r="P16" s="23">
        <f t="shared" si="7"/>
        <v>1620.2786919008977</v>
      </c>
      <c r="Q16" s="23">
        <f t="shared" ref="Q16:U16" si="8">Q15-Q17</f>
        <v>1782.306561090988</v>
      </c>
      <c r="R16" s="23">
        <f t="shared" si="8"/>
        <v>1960.5372172000871</v>
      </c>
      <c r="S16" s="23">
        <f t="shared" si="8"/>
        <v>2156.5909389200961</v>
      </c>
      <c r="T16" s="23">
        <f t="shared" si="8"/>
        <v>2372.2500328121059</v>
      </c>
      <c r="U16" s="23">
        <f t="shared" si="8"/>
        <v>2609.4750360933158</v>
      </c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</row>
    <row r="17" spans="1:200" x14ac:dyDescent="0.15">
      <c r="A17" s="3" t="s">
        <v>6</v>
      </c>
      <c r="E17" s="26">
        <f>E15-E16</f>
        <v>299.84400000000005</v>
      </c>
      <c r="F17" s="26">
        <f>F15-F16</f>
        <v>425.54899999999998</v>
      </c>
      <c r="G17" s="23">
        <f>G15*F30</f>
        <v>586.53794154411764</v>
      </c>
      <c r="H17" s="23">
        <f t="shared" ref="H17:U17" si="9">H15*G30</f>
        <v>817.55472588235295</v>
      </c>
      <c r="I17" s="23">
        <f t="shared" si="9"/>
        <v>1150.9801899742647</v>
      </c>
      <c r="J17" s="23">
        <f t="shared" si="9"/>
        <v>1634.6463543235293</v>
      </c>
      <c r="K17" s="23">
        <f>K15*J30</f>
        <v>2339.3453133088597</v>
      </c>
      <c r="L17" s="23">
        <f t="shared" si="9"/>
        <v>2807.2143759706319</v>
      </c>
      <c r="M17" s="23">
        <f t="shared" si="9"/>
        <v>3368.6572511647578</v>
      </c>
      <c r="N17" s="23">
        <f t="shared" si="9"/>
        <v>4042.3887013977096</v>
      </c>
      <c r="O17" s="23">
        <f t="shared" si="9"/>
        <v>4850.8664416772508</v>
      </c>
      <c r="P17" s="23">
        <f t="shared" si="9"/>
        <v>5821.0397300127006</v>
      </c>
      <c r="Q17" s="23">
        <f t="shared" si="9"/>
        <v>6403.1437030139705</v>
      </c>
      <c r="R17" s="23">
        <f t="shared" si="9"/>
        <v>7043.458073315368</v>
      </c>
      <c r="S17" s="23">
        <f t="shared" si="9"/>
        <v>7747.8038806469058</v>
      </c>
      <c r="T17" s="23">
        <f t="shared" si="9"/>
        <v>8522.5842687115965</v>
      </c>
      <c r="U17" s="23">
        <f t="shared" si="9"/>
        <v>9374.8426955827581</v>
      </c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</row>
    <row r="18" spans="1:200" x14ac:dyDescent="0.15">
      <c r="A18" s="3" t="s">
        <v>7</v>
      </c>
      <c r="E18" s="37">
        <f>SUM(Reports!N10:Q10)</f>
        <v>204</v>
      </c>
      <c r="F18" s="37">
        <f>SUM(Reports!R10:U10)</f>
        <v>256</v>
      </c>
      <c r="G18" s="23">
        <f>F18*1.25</f>
        <v>320</v>
      </c>
      <c r="H18" s="23">
        <f t="shared" ref="H18:K18" si="10">G18*1.25</f>
        <v>400</v>
      </c>
      <c r="I18" s="23">
        <f t="shared" si="10"/>
        <v>500</v>
      </c>
      <c r="J18" s="23">
        <f t="shared" si="10"/>
        <v>625</v>
      </c>
      <c r="K18" s="23">
        <f t="shared" si="10"/>
        <v>781.25</v>
      </c>
      <c r="L18" s="23">
        <f>K18*1.25</f>
        <v>976.5625</v>
      </c>
      <c r="M18" s="23">
        <f t="shared" ref="M18:P18" si="11">L18*1.25</f>
        <v>1220.703125</v>
      </c>
      <c r="N18" s="23">
        <f t="shared" si="11"/>
        <v>1525.87890625</v>
      </c>
      <c r="O18" s="23">
        <f t="shared" si="11"/>
        <v>1907.3486328125</v>
      </c>
      <c r="P18" s="23">
        <f t="shared" si="11"/>
        <v>2384.185791015625</v>
      </c>
      <c r="Q18" s="23">
        <f t="shared" ref="M18:U18" si="12">P18*1.08</f>
        <v>2574.920654296875</v>
      </c>
      <c r="R18" s="23">
        <f t="shared" si="12"/>
        <v>2780.914306640625</v>
      </c>
      <c r="S18" s="23">
        <f t="shared" si="12"/>
        <v>3003.387451171875</v>
      </c>
      <c r="T18" s="23">
        <f t="shared" si="12"/>
        <v>3243.658447265625</v>
      </c>
      <c r="U18" s="23">
        <f t="shared" si="12"/>
        <v>3503.1511230468755</v>
      </c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</row>
    <row r="19" spans="1:200" x14ac:dyDescent="0.15">
      <c r="A19" s="3" t="s">
        <v>8</v>
      </c>
      <c r="E19" s="37">
        <f>SUM(Reports!N11:Q11)</f>
        <v>134</v>
      </c>
      <c r="F19" s="37">
        <f>SUM(Reports!R11:U11)</f>
        <v>175</v>
      </c>
      <c r="G19" s="23">
        <f>F19*1.3</f>
        <v>227.5</v>
      </c>
      <c r="H19" s="23">
        <f t="shared" ref="H19:K19" si="13">G19*1.3</f>
        <v>295.75</v>
      </c>
      <c r="I19" s="23">
        <f t="shared" si="13"/>
        <v>384.47500000000002</v>
      </c>
      <c r="J19" s="23">
        <f t="shared" si="13"/>
        <v>499.81750000000005</v>
      </c>
      <c r="K19" s="23">
        <f t="shared" si="13"/>
        <v>649.7627500000001</v>
      </c>
      <c r="L19" s="23">
        <f>K19*1.15</f>
        <v>747.22716250000008</v>
      </c>
      <c r="M19" s="23">
        <f t="shared" ref="M19:P19" si="14">L19*1.15</f>
        <v>859.31123687500008</v>
      </c>
      <c r="N19" s="23">
        <f t="shared" si="14"/>
        <v>988.20792240624996</v>
      </c>
      <c r="O19" s="23">
        <f t="shared" si="14"/>
        <v>1136.4391107671875</v>
      </c>
      <c r="P19" s="23">
        <f t="shared" si="14"/>
        <v>1306.9049773822655</v>
      </c>
      <c r="Q19" s="23">
        <f t="shared" ref="L19:U19" si="15">P19*0.98</f>
        <v>1280.7668778346201</v>
      </c>
      <c r="R19" s="23">
        <f t="shared" si="15"/>
        <v>1255.1515402779278</v>
      </c>
      <c r="S19" s="23">
        <f t="shared" si="15"/>
        <v>1230.0485094723692</v>
      </c>
      <c r="T19" s="23">
        <f t="shared" si="15"/>
        <v>1205.4475392829218</v>
      </c>
      <c r="U19" s="23">
        <f t="shared" si="15"/>
        <v>1181.3385884972633</v>
      </c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</row>
    <row r="20" spans="1:200" x14ac:dyDescent="0.15">
      <c r="A20" s="3" t="s">
        <v>9</v>
      </c>
      <c r="E20" s="37">
        <f>SUM(Reports!N12:Q12)</f>
        <v>91</v>
      </c>
      <c r="F20" s="37">
        <f>SUM(Reports!R12:U12)</f>
        <v>144</v>
      </c>
      <c r="G20" s="23">
        <f>F20*1.5</f>
        <v>216</v>
      </c>
      <c r="H20" s="23">
        <f t="shared" ref="H20:K20" si="16">G20*1.5</f>
        <v>324</v>
      </c>
      <c r="I20" s="23">
        <f t="shared" si="16"/>
        <v>486</v>
      </c>
      <c r="J20" s="23">
        <f t="shared" si="16"/>
        <v>729</v>
      </c>
      <c r="K20" s="23">
        <f t="shared" si="16"/>
        <v>1093.5</v>
      </c>
      <c r="L20" s="23">
        <f>K20*1.1</f>
        <v>1202.8500000000001</v>
      </c>
      <c r="M20" s="23">
        <f t="shared" ref="M20:P20" si="17">L20*1.1</f>
        <v>1323.1350000000002</v>
      </c>
      <c r="N20" s="23">
        <f t="shared" si="17"/>
        <v>1455.4485000000004</v>
      </c>
      <c r="O20" s="23">
        <f t="shared" si="17"/>
        <v>1600.9933500000006</v>
      </c>
      <c r="P20" s="23">
        <f t="shared" si="17"/>
        <v>1761.0926850000008</v>
      </c>
      <c r="Q20" s="23">
        <f t="shared" ref="L20:U20" si="18">P20*0.98</f>
        <v>1725.8708313000006</v>
      </c>
      <c r="R20" s="23">
        <f t="shared" si="18"/>
        <v>1691.3534146740005</v>
      </c>
      <c r="S20" s="23">
        <f t="shared" si="18"/>
        <v>1657.5263463805204</v>
      </c>
      <c r="T20" s="23">
        <f t="shared" si="18"/>
        <v>1624.37581945291</v>
      </c>
      <c r="U20" s="23">
        <f t="shared" si="18"/>
        <v>1591.8883030638517</v>
      </c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</row>
    <row r="21" spans="1:200" x14ac:dyDescent="0.15">
      <c r="A21" s="3" t="s">
        <v>10</v>
      </c>
      <c r="E21" s="26">
        <f>SUM(E18:E20)</f>
        <v>429</v>
      </c>
      <c r="F21" s="26">
        <f>SUM(F18:F20)</f>
        <v>575</v>
      </c>
      <c r="G21" s="23">
        <f t="shared" ref="G21:H21" si="19">SUM(G18:G20)</f>
        <v>763.5</v>
      </c>
      <c r="H21" s="23">
        <f t="shared" si="19"/>
        <v>1019.75</v>
      </c>
      <c r="I21" s="23">
        <f t="shared" ref="I21:P21" si="20">SUM(I18:I20)</f>
        <v>1370.4749999999999</v>
      </c>
      <c r="J21" s="23">
        <f t="shared" si="20"/>
        <v>1853.8175000000001</v>
      </c>
      <c r="K21" s="23">
        <f t="shared" si="20"/>
        <v>2524.5127499999999</v>
      </c>
      <c r="L21" s="23">
        <f t="shared" si="20"/>
        <v>2926.6396625000002</v>
      </c>
      <c r="M21" s="23">
        <f t="shared" si="20"/>
        <v>3403.1493618750001</v>
      </c>
      <c r="N21" s="23">
        <f t="shared" si="20"/>
        <v>3969.5353286562504</v>
      </c>
      <c r="O21" s="23">
        <f t="shared" si="20"/>
        <v>4644.7810935796879</v>
      </c>
      <c r="P21" s="23">
        <f t="shared" si="20"/>
        <v>5452.1834533978908</v>
      </c>
      <c r="Q21" s="23">
        <f t="shared" ref="Q21:U21" si="21">SUM(Q18:Q20)</f>
        <v>5581.5583634314953</v>
      </c>
      <c r="R21" s="23">
        <f t="shared" si="21"/>
        <v>5727.4192615925531</v>
      </c>
      <c r="S21" s="23">
        <f t="shared" si="21"/>
        <v>5890.9623070247644</v>
      </c>
      <c r="T21" s="23">
        <f t="shared" si="21"/>
        <v>6073.4818060014568</v>
      </c>
      <c r="U21" s="23">
        <f t="shared" si="21"/>
        <v>6276.3780146079907</v>
      </c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</row>
    <row r="22" spans="1:200" x14ac:dyDescent="0.15">
      <c r="A22" s="3" t="s">
        <v>11</v>
      </c>
      <c r="E22" s="26">
        <f>E17-E21</f>
        <v>-129.15599999999995</v>
      </c>
      <c r="F22" s="26">
        <f>F17-F21</f>
        <v>-149.45100000000002</v>
      </c>
      <c r="G22" s="23">
        <f t="shared" ref="G22:H22" si="22">G17-G21</f>
        <v>-176.96205845588236</v>
      </c>
      <c r="H22" s="23">
        <f t="shared" si="22"/>
        <v>-202.19527411764705</v>
      </c>
      <c r="I22" s="23">
        <f t="shared" ref="I22:P22" si="23">I17-I21</f>
        <v>-219.49481002573521</v>
      </c>
      <c r="J22" s="23">
        <f t="shared" si="23"/>
        <v>-219.17114567647081</v>
      </c>
      <c r="K22" s="23">
        <f t="shared" si="23"/>
        <v>-185.16743669114021</v>
      </c>
      <c r="L22" s="23">
        <f t="shared" si="23"/>
        <v>-119.42528652936835</v>
      </c>
      <c r="M22" s="23">
        <f t="shared" si="23"/>
        <v>-34.492110710242287</v>
      </c>
      <c r="N22" s="23">
        <f t="shared" si="23"/>
        <v>72.853372741459225</v>
      </c>
      <c r="O22" s="23">
        <f t="shared" si="23"/>
        <v>206.08534809756293</v>
      </c>
      <c r="P22" s="23">
        <f t="shared" si="23"/>
        <v>368.85627661480976</v>
      </c>
      <c r="Q22" s="23">
        <f t="shared" ref="Q22:U22" si="24">Q17-Q21</f>
        <v>821.58533958247517</v>
      </c>
      <c r="R22" s="23">
        <f t="shared" si="24"/>
        <v>1316.0388117228149</v>
      </c>
      <c r="S22" s="23">
        <f t="shared" si="24"/>
        <v>1856.8415736221414</v>
      </c>
      <c r="T22" s="23">
        <f t="shared" si="24"/>
        <v>2449.1024627101397</v>
      </c>
      <c r="U22" s="23">
        <f t="shared" si="24"/>
        <v>3098.4646809747674</v>
      </c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</row>
    <row r="23" spans="1:200" x14ac:dyDescent="0.15">
      <c r="A23" s="3" t="s">
        <v>12</v>
      </c>
      <c r="E23" s="37">
        <f>SUM(Reports!N15:Q15)</f>
        <v>-2</v>
      </c>
      <c r="F23" s="37">
        <f>SUM(Reports!R15:U15)</f>
        <v>-2</v>
      </c>
      <c r="G23" s="23">
        <f>F40*$F$3</f>
        <v>2.6</v>
      </c>
      <c r="H23" s="23">
        <f t="shared" ref="H23:U23" si="25">G40*$F$3</f>
        <v>-0.53851705220588264</v>
      </c>
      <c r="I23" s="23">
        <f t="shared" si="25"/>
        <v>-4.1877252932632354</v>
      </c>
      <c r="J23" s="23">
        <f t="shared" si="25"/>
        <v>-8.2140109290052088</v>
      </c>
      <c r="K23" s="23">
        <f t="shared" si="25"/>
        <v>-12.306943747903777</v>
      </c>
      <c r="L23" s="23">
        <f t="shared" si="25"/>
        <v>-15.861482595806569</v>
      </c>
      <c r="M23" s="23">
        <f t="shared" si="25"/>
        <v>-18.296644440059719</v>
      </c>
      <c r="N23" s="23">
        <f t="shared" si="25"/>
        <v>-19.246842032765155</v>
      </c>
      <c r="O23" s="23">
        <f t="shared" si="25"/>
        <v>-18.281924480008662</v>
      </c>
      <c r="P23" s="23">
        <f t="shared" si="25"/>
        <v>-14.901462854892685</v>
      </c>
      <c r="Q23" s="23">
        <f t="shared" si="25"/>
        <v>-8.5302762072141771</v>
      </c>
      <c r="R23" s="23">
        <f t="shared" si="25"/>
        <v>6.10471493354052</v>
      </c>
      <c r="S23" s="23">
        <f t="shared" si="25"/>
        <v>29.903298413354914</v>
      </c>
      <c r="T23" s="23">
        <f t="shared" si="25"/>
        <v>63.86470610999384</v>
      </c>
      <c r="U23" s="23">
        <f t="shared" si="25"/>
        <v>109.09811514875625</v>
      </c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</row>
    <row r="24" spans="1:200" x14ac:dyDescent="0.15">
      <c r="A24" s="3" t="s">
        <v>13</v>
      </c>
      <c r="E24" s="26">
        <f>E22+E23</f>
        <v>-131.15599999999995</v>
      </c>
      <c r="F24" s="26">
        <f>F22+F23</f>
        <v>-151.45100000000002</v>
      </c>
      <c r="G24" s="23">
        <f t="shared" ref="G24:H24" si="26">G22+G23</f>
        <v>-174.36205845588236</v>
      </c>
      <c r="H24" s="23">
        <f t="shared" si="26"/>
        <v>-202.73379116985294</v>
      </c>
      <c r="I24" s="23">
        <f t="shared" ref="I24" si="27">I22+I23</f>
        <v>-223.68253531899845</v>
      </c>
      <c r="J24" s="23">
        <f t="shared" ref="J24" si="28">J22+J23</f>
        <v>-227.38515660547603</v>
      </c>
      <c r="K24" s="23">
        <f t="shared" ref="K24" si="29">K22+K23</f>
        <v>-197.47438043904398</v>
      </c>
      <c r="L24" s="23">
        <f t="shared" ref="L24" si="30">L22+L23</f>
        <v>-135.28676912517491</v>
      </c>
      <c r="M24" s="23">
        <f t="shared" ref="M24" si="31">M22+M23</f>
        <v>-52.788755150302009</v>
      </c>
      <c r="N24" s="23">
        <f t="shared" ref="N24" si="32">N22+N23</f>
        <v>53.606530708694066</v>
      </c>
      <c r="O24" s="23">
        <f t="shared" ref="O24" si="33">O22+O23</f>
        <v>187.80342361755427</v>
      </c>
      <c r="P24" s="23">
        <f t="shared" ref="P24:Q24" si="34">P22+P23</f>
        <v>353.9548137599171</v>
      </c>
      <c r="Q24" s="23">
        <f t="shared" si="34"/>
        <v>813.05506337526094</v>
      </c>
      <c r="R24" s="23">
        <f t="shared" ref="R24:U24" si="35">R22+R23</f>
        <v>1322.1435266563553</v>
      </c>
      <c r="S24" s="23">
        <f t="shared" si="35"/>
        <v>1886.7448720354962</v>
      </c>
      <c r="T24" s="23">
        <f t="shared" si="35"/>
        <v>2512.9671688201333</v>
      </c>
      <c r="U24" s="23">
        <f t="shared" si="35"/>
        <v>3207.5627961235236</v>
      </c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</row>
    <row r="25" spans="1:200" x14ac:dyDescent="0.15">
      <c r="A25" s="3" t="s">
        <v>14</v>
      </c>
      <c r="E25" s="37">
        <f>SUM(Reports!N17:Q17)</f>
        <v>-2</v>
      </c>
      <c r="F25" s="37">
        <f>SUM(Reports!R17:U17)</f>
        <v>10</v>
      </c>
      <c r="G25" s="23">
        <f>G24*0.1</f>
        <v>-17.436205845588237</v>
      </c>
      <c r="H25" s="23">
        <f t="shared" ref="H25:P25" si="36">H24*0.1</f>
        <v>-20.273379116985296</v>
      </c>
      <c r="I25" s="23">
        <f t="shared" si="36"/>
        <v>-22.368253531899846</v>
      </c>
      <c r="J25" s="23">
        <f t="shared" si="36"/>
        <v>-22.738515660547606</v>
      </c>
      <c r="K25" s="23">
        <f t="shared" si="36"/>
        <v>-19.747438043904399</v>
      </c>
      <c r="L25" s="23">
        <f t="shared" si="36"/>
        <v>-13.528676912517492</v>
      </c>
      <c r="M25" s="23">
        <f t="shared" si="36"/>
        <v>-5.2788755150302009</v>
      </c>
      <c r="N25" s="23">
        <f t="shared" si="36"/>
        <v>5.3606530708694073</v>
      </c>
      <c r="O25" s="23">
        <f t="shared" si="36"/>
        <v>18.780342361755427</v>
      </c>
      <c r="P25" s="23">
        <f t="shared" si="36"/>
        <v>35.395481375991714</v>
      </c>
      <c r="Q25" s="23">
        <f t="shared" ref="Q25:U25" si="37">Q24*0.1</f>
        <v>81.305506337526097</v>
      </c>
      <c r="R25" s="23">
        <f t="shared" si="37"/>
        <v>132.21435266563554</v>
      </c>
      <c r="S25" s="23">
        <f t="shared" si="37"/>
        <v>188.67448720354963</v>
      </c>
      <c r="T25" s="23">
        <f t="shared" si="37"/>
        <v>251.29671688201336</v>
      </c>
      <c r="U25" s="23">
        <f t="shared" si="37"/>
        <v>320.75627961235239</v>
      </c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</row>
    <row r="26" spans="1:200" s="2" customFormat="1" x14ac:dyDescent="0.15">
      <c r="A26" s="2" t="s">
        <v>15</v>
      </c>
      <c r="B26" s="3"/>
      <c r="C26" s="3"/>
      <c r="D26" s="3"/>
      <c r="E26" s="24">
        <f>E24-E25</f>
        <v>-129.15599999999995</v>
      </c>
      <c r="F26" s="24">
        <f t="shared" ref="F26:H26" si="38">F24-F25</f>
        <v>-161.45100000000002</v>
      </c>
      <c r="G26" s="24">
        <f>G24-G25</f>
        <v>-156.92585261029413</v>
      </c>
      <c r="H26" s="24">
        <f t="shared" si="38"/>
        <v>-182.46041205286764</v>
      </c>
      <c r="I26" s="24">
        <f t="shared" ref="I26:P26" si="39">I24-I25</f>
        <v>-201.31428178709859</v>
      </c>
      <c r="J26" s="24">
        <f t="shared" si="39"/>
        <v>-204.64664094492844</v>
      </c>
      <c r="K26" s="24">
        <f t="shared" si="39"/>
        <v>-177.72694239513959</v>
      </c>
      <c r="L26" s="24">
        <f t="shared" si="39"/>
        <v>-121.75809221265742</v>
      </c>
      <c r="M26" s="24">
        <f t="shared" si="39"/>
        <v>-47.509879635271808</v>
      </c>
      <c r="N26" s="24">
        <f t="shared" si="39"/>
        <v>48.245877637824663</v>
      </c>
      <c r="O26" s="24">
        <f t="shared" si="39"/>
        <v>169.02308125579884</v>
      </c>
      <c r="P26" s="24">
        <f t="shared" si="39"/>
        <v>318.55933238392538</v>
      </c>
      <c r="Q26" s="24">
        <f t="shared" ref="Q26:U26" si="40">Q24-Q25</f>
        <v>731.7495570377348</v>
      </c>
      <c r="R26" s="24">
        <f t="shared" si="40"/>
        <v>1189.9291739907198</v>
      </c>
      <c r="S26" s="24">
        <f t="shared" si="40"/>
        <v>1698.0703848319465</v>
      </c>
      <c r="T26" s="24">
        <f t="shared" si="40"/>
        <v>2261.6704519381201</v>
      </c>
      <c r="U26" s="24">
        <f t="shared" si="40"/>
        <v>2886.8065165111711</v>
      </c>
      <c r="V26" s="24">
        <f t="shared" ref="Q26:BY26" si="41">U26*($F$2+1)</f>
        <v>2829.0703861809475</v>
      </c>
      <c r="W26" s="24">
        <f t="shared" si="41"/>
        <v>2772.4889784573284</v>
      </c>
      <c r="X26" s="24">
        <f t="shared" si="41"/>
        <v>2717.0391988881815</v>
      </c>
      <c r="Y26" s="24">
        <f t="shared" si="41"/>
        <v>2662.6984149104178</v>
      </c>
      <c r="Z26" s="24">
        <f t="shared" si="41"/>
        <v>2609.4444466122095</v>
      </c>
      <c r="AA26" s="24">
        <f t="shared" si="41"/>
        <v>2557.2555576799655</v>
      </c>
      <c r="AB26" s="24">
        <f t="shared" si="41"/>
        <v>2506.1104465263661</v>
      </c>
      <c r="AC26" s="24">
        <f t="shared" si="41"/>
        <v>2455.9882375958387</v>
      </c>
      <c r="AD26" s="24">
        <f t="shared" si="41"/>
        <v>2406.8684728439221</v>
      </c>
      <c r="AE26" s="24">
        <f t="shared" si="41"/>
        <v>2358.7311033870437</v>
      </c>
      <c r="AF26" s="24">
        <f t="shared" si="41"/>
        <v>2311.5564813193027</v>
      </c>
      <c r="AG26" s="24">
        <f t="shared" si="41"/>
        <v>2265.3253516929167</v>
      </c>
      <c r="AH26" s="24">
        <f t="shared" si="41"/>
        <v>2220.0188446590582</v>
      </c>
      <c r="AI26" s="24">
        <f t="shared" si="41"/>
        <v>2175.6184677658771</v>
      </c>
      <c r="AJ26" s="24">
        <f t="shared" si="41"/>
        <v>2132.1060984105593</v>
      </c>
      <c r="AK26" s="24">
        <f t="shared" si="41"/>
        <v>2089.4639764423482</v>
      </c>
      <c r="AL26" s="24">
        <f t="shared" si="41"/>
        <v>2047.6746969135013</v>
      </c>
      <c r="AM26" s="24">
        <f t="shared" si="41"/>
        <v>2006.7212029752313</v>
      </c>
      <c r="AN26" s="24">
        <f t="shared" si="41"/>
        <v>1966.5867789157267</v>
      </c>
      <c r="AO26" s="24">
        <f t="shared" si="41"/>
        <v>1927.2550433374122</v>
      </c>
      <c r="AP26" s="24">
        <f t="shared" si="41"/>
        <v>1888.7099424706639</v>
      </c>
      <c r="AQ26" s="24">
        <f t="shared" si="41"/>
        <v>1850.9357436212506</v>
      </c>
      <c r="AR26" s="24">
        <f t="shared" si="41"/>
        <v>1813.9170287488255</v>
      </c>
      <c r="AS26" s="24">
        <f t="shared" si="41"/>
        <v>1777.638688173849</v>
      </c>
      <c r="AT26" s="24">
        <f t="shared" si="41"/>
        <v>1742.085914410372</v>
      </c>
      <c r="AU26" s="24">
        <f t="shared" si="41"/>
        <v>1707.2441961221646</v>
      </c>
      <c r="AV26" s="24">
        <f t="shared" si="41"/>
        <v>1673.0993121997212</v>
      </c>
      <c r="AW26" s="24">
        <f t="shared" si="41"/>
        <v>1639.6373259557267</v>
      </c>
      <c r="AX26" s="24">
        <f t="shared" si="41"/>
        <v>1606.8445794366121</v>
      </c>
      <c r="AY26" s="24">
        <f t="shared" si="41"/>
        <v>1574.7076878478799</v>
      </c>
      <c r="AZ26" s="24">
        <f t="shared" si="41"/>
        <v>1543.2135340909224</v>
      </c>
      <c r="BA26" s="24">
        <f t="shared" si="41"/>
        <v>1512.349263409104</v>
      </c>
      <c r="BB26" s="24">
        <f t="shared" si="41"/>
        <v>1482.102278140922</v>
      </c>
      <c r="BC26" s="24">
        <f t="shared" si="41"/>
        <v>1452.4602325781034</v>
      </c>
      <c r="BD26" s="24">
        <f t="shared" si="41"/>
        <v>1423.4110279265412</v>
      </c>
      <c r="BE26" s="24">
        <f t="shared" si="41"/>
        <v>1394.9428073680103</v>
      </c>
      <c r="BF26" s="24">
        <f t="shared" si="41"/>
        <v>1367.0439512206501</v>
      </c>
      <c r="BG26" s="24">
        <f t="shared" si="41"/>
        <v>1339.7030721962371</v>
      </c>
      <c r="BH26" s="24">
        <f t="shared" si="41"/>
        <v>1312.9090107523123</v>
      </c>
      <c r="BI26" s="24">
        <f t="shared" si="41"/>
        <v>1286.6508305372661</v>
      </c>
      <c r="BJ26" s="24">
        <f t="shared" si="41"/>
        <v>1260.9178139265207</v>
      </c>
      <c r="BK26" s="24">
        <f t="shared" si="41"/>
        <v>1235.6994576479904</v>
      </c>
      <c r="BL26" s="24">
        <f t="shared" si="41"/>
        <v>1210.9854684950305</v>
      </c>
      <c r="BM26" s="24">
        <f t="shared" si="41"/>
        <v>1186.76575912513</v>
      </c>
      <c r="BN26" s="24">
        <f t="shared" si="41"/>
        <v>1163.0304439426275</v>
      </c>
      <c r="BO26" s="24">
        <f t="shared" si="41"/>
        <v>1139.769835063775</v>
      </c>
      <c r="BP26" s="24">
        <f t="shared" si="41"/>
        <v>1116.9744383624995</v>
      </c>
      <c r="BQ26" s="24">
        <f t="shared" si="41"/>
        <v>1094.6349495952495</v>
      </c>
      <c r="BR26" s="24">
        <f t="shared" si="41"/>
        <v>1072.7422506033445</v>
      </c>
      <c r="BS26" s="24">
        <f t="shared" si="41"/>
        <v>1051.2874055912775</v>
      </c>
      <c r="BT26" s="24">
        <f t="shared" si="41"/>
        <v>1030.261657479452</v>
      </c>
      <c r="BU26" s="24">
        <f t="shared" si="41"/>
        <v>1009.6564243298629</v>
      </c>
      <c r="BV26" s="24">
        <f t="shared" si="41"/>
        <v>989.46329584326566</v>
      </c>
      <c r="BW26" s="24">
        <f t="shared" si="41"/>
        <v>969.67402992640029</v>
      </c>
      <c r="BX26" s="24">
        <f t="shared" si="41"/>
        <v>950.28054932787222</v>
      </c>
      <c r="BY26" s="24">
        <f t="shared" si="41"/>
        <v>931.27493834131474</v>
      </c>
      <c r="BZ26" s="24">
        <f t="shared" ref="BZ26:DM26" si="42">BY26*($F$2+1)</f>
        <v>912.64943957448838</v>
      </c>
      <c r="CA26" s="24">
        <f t="shared" si="42"/>
        <v>894.39645078299861</v>
      </c>
      <c r="CB26" s="24">
        <f t="shared" si="42"/>
        <v>876.50852176733861</v>
      </c>
      <c r="CC26" s="24">
        <f t="shared" si="42"/>
        <v>858.9783513319918</v>
      </c>
      <c r="CD26" s="24">
        <f t="shared" si="42"/>
        <v>841.798784305352</v>
      </c>
      <c r="CE26" s="24">
        <f t="shared" si="42"/>
        <v>824.96280861924492</v>
      </c>
      <c r="CF26" s="24">
        <f t="shared" si="42"/>
        <v>808.46355244686004</v>
      </c>
      <c r="CG26" s="24">
        <f t="shared" si="42"/>
        <v>792.29428139792287</v>
      </c>
      <c r="CH26" s="24">
        <f t="shared" si="42"/>
        <v>776.44839576996435</v>
      </c>
      <c r="CI26" s="24">
        <f t="shared" si="42"/>
        <v>760.91942785456501</v>
      </c>
      <c r="CJ26" s="24">
        <f t="shared" si="42"/>
        <v>745.7010392974737</v>
      </c>
      <c r="CK26" s="24">
        <f t="shared" si="42"/>
        <v>730.78701851152425</v>
      </c>
      <c r="CL26" s="24">
        <f t="shared" si="42"/>
        <v>716.17127814129378</v>
      </c>
      <c r="CM26" s="24">
        <f t="shared" si="42"/>
        <v>701.84785257846795</v>
      </c>
      <c r="CN26" s="24">
        <f t="shared" si="42"/>
        <v>687.81089552689855</v>
      </c>
      <c r="CO26" s="24">
        <f t="shared" si="42"/>
        <v>674.05467761636055</v>
      </c>
      <c r="CP26" s="24">
        <f t="shared" si="42"/>
        <v>660.5735840640333</v>
      </c>
      <c r="CQ26" s="24">
        <f t="shared" si="42"/>
        <v>647.36211238275257</v>
      </c>
      <c r="CR26" s="24">
        <f t="shared" si="42"/>
        <v>634.41487013509754</v>
      </c>
      <c r="CS26" s="24">
        <f t="shared" si="42"/>
        <v>621.72657273239554</v>
      </c>
      <c r="CT26" s="24">
        <f t="shared" si="42"/>
        <v>609.29204127774767</v>
      </c>
      <c r="CU26" s="24">
        <f t="shared" si="42"/>
        <v>597.10620045219275</v>
      </c>
      <c r="CV26" s="24">
        <f t="shared" si="42"/>
        <v>585.16407644314893</v>
      </c>
      <c r="CW26" s="24">
        <f t="shared" si="42"/>
        <v>573.46079491428588</v>
      </c>
      <c r="CX26" s="24">
        <f t="shared" si="42"/>
        <v>561.99157901600017</v>
      </c>
      <c r="CY26" s="24">
        <f t="shared" si="42"/>
        <v>550.75174743568016</v>
      </c>
      <c r="CZ26" s="24">
        <f t="shared" si="42"/>
        <v>539.73671248696655</v>
      </c>
      <c r="DA26" s="24">
        <f t="shared" si="42"/>
        <v>528.9419782372272</v>
      </c>
      <c r="DB26" s="24">
        <f t="shared" si="42"/>
        <v>518.36313867248271</v>
      </c>
      <c r="DC26" s="24">
        <f t="shared" si="42"/>
        <v>507.99587589903302</v>
      </c>
      <c r="DD26" s="24">
        <f t="shared" si="42"/>
        <v>497.83595838105236</v>
      </c>
      <c r="DE26" s="24">
        <f t="shared" si="42"/>
        <v>487.87923921343133</v>
      </c>
      <c r="DF26" s="24">
        <f t="shared" si="42"/>
        <v>478.12165442916267</v>
      </c>
      <c r="DG26" s="24">
        <f t="shared" si="42"/>
        <v>468.55922134057943</v>
      </c>
      <c r="DH26" s="24">
        <f t="shared" si="42"/>
        <v>459.1880369137678</v>
      </c>
      <c r="DI26" s="24">
        <f t="shared" si="42"/>
        <v>450.00427617549246</v>
      </c>
      <c r="DJ26" s="24">
        <f t="shared" si="42"/>
        <v>441.00419065198258</v>
      </c>
      <c r="DK26" s="24">
        <f t="shared" si="42"/>
        <v>432.18410683894291</v>
      </c>
      <c r="DL26" s="24">
        <f t="shared" si="42"/>
        <v>423.54042470216405</v>
      </c>
      <c r="DM26" s="24">
        <f t="shared" si="42"/>
        <v>415.06961620812075</v>
      </c>
      <c r="DN26" s="24">
        <f t="shared" ref="DN26" si="43">DM26*($F$2+1)</f>
        <v>406.76822388395834</v>
      </c>
      <c r="DO26" s="24">
        <f t="shared" ref="DO26" si="44">DN26*($F$2+1)</f>
        <v>398.63285940627918</v>
      </c>
      <c r="DP26" s="24">
        <f t="shared" ref="DP26" si="45">DO26*($F$2+1)</f>
        <v>390.66020221815359</v>
      </c>
      <c r="DQ26" s="24">
        <f t="shared" ref="DQ26" si="46">DP26*($F$2+1)</f>
        <v>382.8469981737905</v>
      </c>
      <c r="DR26" s="24">
        <f t="shared" ref="DR26" si="47">DQ26*($F$2+1)</f>
        <v>375.1900582103147</v>
      </c>
      <c r="DS26" s="24">
        <f t="shared" ref="DS26" si="48">DR26*($F$2+1)</f>
        <v>367.68625704610838</v>
      </c>
      <c r="DT26" s="24">
        <f t="shared" ref="DT26" si="49">DS26*($F$2+1)</f>
        <v>360.33253190518622</v>
      </c>
      <c r="DU26" s="24">
        <f t="shared" ref="DU26" si="50">DT26*($F$2+1)</f>
        <v>353.12588126708249</v>
      </c>
      <c r="DV26" s="24">
        <f t="shared" ref="DV26" si="51">DU26*($F$2+1)</f>
        <v>346.06336364174081</v>
      </c>
      <c r="DW26" s="24">
        <f t="shared" ref="DW26" si="52">DV26*($F$2+1)</f>
        <v>339.14209636890598</v>
      </c>
      <c r="DX26" s="24">
        <f t="shared" ref="DX26" si="53">DW26*($F$2+1)</f>
        <v>332.35925444152787</v>
      </c>
      <c r="DY26" s="24">
        <f t="shared" ref="DY26" si="54">DX26*($F$2+1)</f>
        <v>325.71206935269731</v>
      </c>
      <c r="DZ26" s="24">
        <f t="shared" ref="DZ26" si="55">DY26*($F$2+1)</f>
        <v>319.19782796564334</v>
      </c>
      <c r="EA26" s="24">
        <f t="shared" ref="EA26" si="56">DZ26*($F$2+1)</f>
        <v>312.81387140633046</v>
      </c>
      <c r="EB26" s="24">
        <f t="shared" ref="EB26" si="57">EA26*($F$2+1)</f>
        <v>306.55759397820384</v>
      </c>
      <c r="EC26" s="24">
        <f t="shared" ref="EC26" si="58">EB26*($F$2+1)</f>
        <v>300.42644209863977</v>
      </c>
      <c r="ED26" s="24">
        <f t="shared" ref="ED26" si="59">EC26*($F$2+1)</f>
        <v>294.41791325666696</v>
      </c>
      <c r="EE26" s="24">
        <f t="shared" ref="EE26" si="60">ED26*($F$2+1)</f>
        <v>288.52955499153364</v>
      </c>
      <c r="EF26" s="24">
        <f t="shared" ref="EF26" si="61">EE26*($F$2+1)</f>
        <v>282.75896389170299</v>
      </c>
      <c r="EG26" s="24">
        <f t="shared" ref="EG26" si="62">EF26*($F$2+1)</f>
        <v>277.10378461386892</v>
      </c>
      <c r="EH26" s="24">
        <f t="shared" ref="EH26" si="63">EG26*($F$2+1)</f>
        <v>271.56170892159156</v>
      </c>
      <c r="EI26" s="24">
        <f t="shared" ref="EI26" si="64">EH26*($F$2+1)</f>
        <v>266.13047474315971</v>
      </c>
      <c r="EJ26" s="24">
        <f t="shared" ref="EJ26" si="65">EI26*($F$2+1)</f>
        <v>260.80786524829654</v>
      </c>
      <c r="EK26" s="24">
        <f t="shared" ref="EK26" si="66">EJ26*($F$2+1)</f>
        <v>255.59170794333059</v>
      </c>
      <c r="EL26" s="24">
        <f t="shared" ref="EL26" si="67">EK26*($F$2+1)</f>
        <v>250.47987378446396</v>
      </c>
      <c r="EM26" s="24">
        <f t="shared" ref="EM26" si="68">EL26*($F$2+1)</f>
        <v>245.47027630877469</v>
      </c>
      <c r="EN26" s="24">
        <f t="shared" ref="EN26" si="69">EM26*($F$2+1)</f>
        <v>240.56087078259918</v>
      </c>
      <c r="EO26" s="24">
        <f t="shared" ref="EO26" si="70">EN26*($F$2+1)</f>
        <v>235.7496533669472</v>
      </c>
      <c r="EP26" s="24">
        <f t="shared" ref="EP26" si="71">EO26*($F$2+1)</f>
        <v>231.03466029960825</v>
      </c>
      <c r="EQ26" s="24">
        <f t="shared" ref="EQ26" si="72">EP26*($F$2+1)</f>
        <v>226.41396709361607</v>
      </c>
      <c r="ER26" s="24">
        <f t="shared" ref="ER26" si="73">EQ26*($F$2+1)</f>
        <v>221.88568775174375</v>
      </c>
      <c r="ES26" s="24">
        <f t="shared" ref="ES26" si="74">ER26*($F$2+1)</f>
        <v>217.44797399670887</v>
      </c>
      <c r="ET26" s="24">
        <f t="shared" ref="ET26" si="75">ES26*($F$2+1)</f>
        <v>213.09901451677467</v>
      </c>
      <c r="EU26" s="24">
        <f t="shared" ref="EU26" si="76">ET26*($F$2+1)</f>
        <v>208.83703422643919</v>
      </c>
      <c r="EV26" s="24">
        <f t="shared" ref="EV26" si="77">EU26*($F$2+1)</f>
        <v>204.66029354191039</v>
      </c>
      <c r="EW26" s="24">
        <f t="shared" ref="EW26" si="78">EV26*($F$2+1)</f>
        <v>200.56708767107219</v>
      </c>
      <c r="EX26" s="24">
        <f t="shared" ref="EX26" si="79">EW26*($F$2+1)</f>
        <v>196.55574591765074</v>
      </c>
      <c r="EY26" s="24">
        <f t="shared" ref="EY26" si="80">EX26*($F$2+1)</f>
        <v>192.62463099929772</v>
      </c>
      <c r="EZ26" s="24">
        <f t="shared" ref="EZ26" si="81">EY26*($F$2+1)</f>
        <v>188.77213837931177</v>
      </c>
      <c r="FA26" s="24">
        <f t="shared" ref="FA26" si="82">EZ26*($F$2+1)</f>
        <v>184.99669561172553</v>
      </c>
      <c r="FB26" s="24">
        <f t="shared" ref="FB26" si="83">FA26*($F$2+1)</f>
        <v>181.29676169949101</v>
      </c>
      <c r="FC26" s="24">
        <f t="shared" ref="FC26" si="84">FB26*($F$2+1)</f>
        <v>177.67082646550119</v>
      </c>
      <c r="FD26" s="24">
        <f t="shared" ref="FD26" si="85">FC26*($F$2+1)</f>
        <v>174.11740993619117</v>
      </c>
      <c r="FE26" s="24">
        <f t="shared" ref="FE26" si="86">FD26*($F$2+1)</f>
        <v>170.63506173746734</v>
      </c>
      <c r="FF26" s="24">
        <f t="shared" ref="FF26" si="87">FE26*($F$2+1)</f>
        <v>167.22236050271798</v>
      </c>
      <c r="FG26" s="24">
        <f t="shared" ref="FG26" si="88">FF26*($F$2+1)</f>
        <v>163.87791329266361</v>
      </c>
      <c r="FH26" s="24">
        <f t="shared" ref="FH26" si="89">FG26*($F$2+1)</f>
        <v>160.60035502681032</v>
      </c>
      <c r="FI26" s="24">
        <f t="shared" ref="FI26" si="90">FH26*($F$2+1)</f>
        <v>157.38834792627412</v>
      </c>
      <c r="FJ26" s="24">
        <f t="shared" ref="FJ26" si="91">FI26*($F$2+1)</f>
        <v>154.24058096774863</v>
      </c>
      <c r="FK26" s="24">
        <f t="shared" ref="FK26" si="92">FJ26*($F$2+1)</f>
        <v>151.15576934839365</v>
      </c>
      <c r="FL26" s="24">
        <f t="shared" ref="FL26" si="93">FK26*($F$2+1)</f>
        <v>148.13265396142577</v>
      </c>
      <c r="FM26" s="24">
        <f t="shared" ref="FM26" si="94">FL26*($F$2+1)</f>
        <v>145.17000088219726</v>
      </c>
      <c r="FN26" s="24">
        <f t="shared" ref="FN26" si="95">FM26*($F$2+1)</f>
        <v>142.26660086455331</v>
      </c>
      <c r="FO26" s="24">
        <f t="shared" ref="FO26" si="96">FN26*($F$2+1)</f>
        <v>139.42126884726224</v>
      </c>
      <c r="FP26" s="24">
        <f t="shared" ref="FP26" si="97">FO26*($F$2+1)</f>
        <v>136.632843470317</v>
      </c>
      <c r="FQ26" s="24">
        <f t="shared" ref="FQ26" si="98">FP26*($F$2+1)</f>
        <v>133.90018660091064</v>
      </c>
      <c r="FR26" s="24">
        <f t="shared" ref="FR26" si="99">FQ26*($F$2+1)</f>
        <v>131.22218286889242</v>
      </c>
      <c r="FS26" s="24">
        <f t="shared" ref="FS26" si="100">FR26*($F$2+1)</f>
        <v>128.59773921151458</v>
      </c>
      <c r="FT26" s="24">
        <f t="shared" ref="FT26" si="101">FS26*($F$2+1)</f>
        <v>126.02578442728428</v>
      </c>
      <c r="FU26" s="24">
        <f t="shared" ref="FU26" si="102">FT26*($F$2+1)</f>
        <v>123.50526873873859</v>
      </c>
      <c r="FV26" s="24">
        <f t="shared" ref="FV26" si="103">FU26*($F$2+1)</f>
        <v>121.03516336396382</v>
      </c>
      <c r="FW26" s="24">
        <f t="shared" ref="FW26" si="104">FV26*($F$2+1)</f>
        <v>118.61446009668454</v>
      </c>
      <c r="FX26" s="24">
        <f t="shared" ref="FX26" si="105">FW26*($F$2+1)</f>
        <v>116.24217089475084</v>
      </c>
      <c r="FY26" s="24">
        <f t="shared" ref="FY26" si="106">FX26*($F$2+1)</f>
        <v>113.91732747685582</v>
      </c>
      <c r="FZ26" s="24">
        <f t="shared" ref="FZ26" si="107">FY26*($F$2+1)</f>
        <v>111.6389809273187</v>
      </c>
      <c r="GA26" s="24">
        <f t="shared" ref="GA26" si="108">FZ26*($F$2+1)</f>
        <v>109.40620130877232</v>
      </c>
      <c r="GB26" s="24">
        <f t="shared" ref="GB26" si="109">GA26*($F$2+1)</f>
        <v>107.21807728259688</v>
      </c>
      <c r="GC26" s="24">
        <f t="shared" ref="GC26" si="110">GB26*($F$2+1)</f>
        <v>105.07371573694495</v>
      </c>
      <c r="GD26" s="24">
        <f t="shared" ref="GD26" si="111">GC26*($F$2+1)</f>
        <v>102.97224142220605</v>
      </c>
      <c r="GE26" s="24">
        <f t="shared" ref="GE26" si="112">GD26*($F$2+1)</f>
        <v>100.91279659376193</v>
      </c>
      <c r="GF26" s="24">
        <f t="shared" ref="GF26" si="113">GE26*($F$2+1)</f>
        <v>98.89454066188668</v>
      </c>
      <c r="GG26" s="24">
        <f t="shared" ref="GG26" si="114">GF26*($F$2+1)</f>
        <v>96.916649848648944</v>
      </c>
      <c r="GH26" s="24">
        <f t="shared" ref="GH26" si="115">GG26*($F$2+1)</f>
        <v>94.97831685167597</v>
      </c>
      <c r="GI26" s="24">
        <f t="shared" ref="GI26" si="116">GH26*($F$2+1)</f>
        <v>93.078750514642451</v>
      </c>
      <c r="GJ26" s="24">
        <f t="shared" ref="GJ26" si="117">GI26*($F$2+1)</f>
        <v>91.217175504349598</v>
      </c>
      <c r="GK26" s="24">
        <f t="shared" ref="GK26" si="118">GJ26*($F$2+1)</f>
        <v>89.392831994262608</v>
      </c>
      <c r="GL26" s="24">
        <f t="shared" ref="GL26" si="119">GK26*($F$2+1)</f>
        <v>87.604975354377359</v>
      </c>
      <c r="GM26" s="24">
        <f t="shared" ref="GM26" si="120">GL26*($F$2+1)</f>
        <v>85.852875847289809</v>
      </c>
      <c r="GN26" s="24">
        <f t="shared" ref="GN26" si="121">GM26*($F$2+1)</f>
        <v>84.135818330344009</v>
      </c>
      <c r="GO26" s="24">
        <f t="shared" ref="GO26" si="122">GN26*($F$2+1)</f>
        <v>82.453101963737126</v>
      </c>
      <c r="GP26" s="24">
        <f t="shared" ref="GP26" si="123">GO26*($F$2+1)</f>
        <v>80.804039924462387</v>
      </c>
      <c r="GQ26" s="24">
        <f t="shared" ref="GQ26" si="124">GP26*($F$2+1)</f>
        <v>79.187959125973137</v>
      </c>
      <c r="GR26" s="24">
        <f t="shared" ref="GR26" si="125">GQ26*($F$2+1)</f>
        <v>77.604199943453679</v>
      </c>
    </row>
    <row r="27" spans="1:200" x14ac:dyDescent="0.15">
      <c r="A27" s="3" t="s">
        <v>16</v>
      </c>
      <c r="E27" s="28">
        <f t="shared" ref="B27:G27" si="126">E26/E28</f>
        <v>-0.64072923714391838</v>
      </c>
      <c r="F27" s="28">
        <f t="shared" si="126"/>
        <v>-0.73668016367093025</v>
      </c>
      <c r="G27" s="49">
        <f t="shared" si="126"/>
        <v>-0.71603249769373833</v>
      </c>
      <c r="H27" s="49">
        <f t="shared" ref="H27" si="127">H26/H28</f>
        <v>-0.83254341078452221</v>
      </c>
      <c r="I27" s="49">
        <f t="shared" ref="I27:P27" si="128">I26/I28</f>
        <v>-0.91857119532375486</v>
      </c>
      <c r="J27" s="49">
        <f t="shared" si="128"/>
        <v>-0.93377632189342874</v>
      </c>
      <c r="K27" s="49">
        <f t="shared" si="128"/>
        <v>-0.81094519707146695</v>
      </c>
      <c r="L27" s="49">
        <f t="shared" si="128"/>
        <v>-0.55556652668289863</v>
      </c>
      <c r="M27" s="49">
        <f t="shared" si="128"/>
        <v>-0.21678147491002364</v>
      </c>
      <c r="N27" s="49">
        <f t="shared" si="128"/>
        <v>0.22013973920682028</v>
      </c>
      <c r="O27" s="49">
        <f t="shared" si="128"/>
        <v>0.77123059729383414</v>
      </c>
      <c r="P27" s="49">
        <f t="shared" si="128"/>
        <v>1.4535452931198469</v>
      </c>
      <c r="Q27" s="49">
        <f t="shared" ref="Q27:U27" si="129">Q26/Q28</f>
        <v>3.338879185912067</v>
      </c>
      <c r="R27" s="49">
        <f t="shared" si="129"/>
        <v>5.4294938938272184</v>
      </c>
      <c r="S27" s="49">
        <f t="shared" si="129"/>
        <v>7.7480769336997461</v>
      </c>
      <c r="T27" s="49">
        <f t="shared" si="129"/>
        <v>10.31971160725843</v>
      </c>
      <c r="U27" s="49">
        <f t="shared" si="129"/>
        <v>13.172127128786798</v>
      </c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</row>
    <row r="28" spans="1:200" s="16" customFormat="1" x14ac:dyDescent="0.15">
      <c r="A28" s="16" t="s">
        <v>17</v>
      </c>
      <c r="B28" s="3"/>
      <c r="C28" s="3"/>
      <c r="D28" s="3"/>
      <c r="E28" s="23">
        <f>AVERAGE(Reports!N21:Q21)</f>
        <v>201.57656700000001</v>
      </c>
      <c r="F28" s="23">
        <f>AVERAGE(Reports!R21:U21)</f>
        <v>219.16023799999999</v>
      </c>
      <c r="G28" s="23">
        <f t="shared" ref="G28" si="130">F28</f>
        <v>219.16023799999999</v>
      </c>
      <c r="H28" s="23">
        <f t="shared" ref="H28" si="131">G28</f>
        <v>219.16023799999999</v>
      </c>
      <c r="I28" s="23">
        <f t="shared" ref="I28" si="132">H28</f>
        <v>219.16023799999999</v>
      </c>
      <c r="J28" s="23">
        <f t="shared" ref="J28" si="133">I28</f>
        <v>219.16023799999999</v>
      </c>
      <c r="K28" s="23">
        <f t="shared" ref="K28" si="134">J28</f>
        <v>219.16023799999999</v>
      </c>
      <c r="L28" s="23">
        <f t="shared" ref="L28" si="135">K28</f>
        <v>219.16023799999999</v>
      </c>
      <c r="M28" s="23">
        <f t="shared" ref="M28" si="136">L28</f>
        <v>219.16023799999999</v>
      </c>
      <c r="N28" s="23">
        <f t="shared" ref="N28" si="137">M28</f>
        <v>219.16023799999999</v>
      </c>
      <c r="O28" s="23">
        <f t="shared" ref="O28" si="138">N28</f>
        <v>219.16023799999999</v>
      </c>
      <c r="P28" s="23">
        <f t="shared" ref="P28:U28" si="139">O28</f>
        <v>219.16023799999999</v>
      </c>
      <c r="Q28" s="23">
        <f t="shared" si="139"/>
        <v>219.16023799999999</v>
      </c>
      <c r="R28" s="23">
        <f t="shared" si="139"/>
        <v>219.16023799999999</v>
      </c>
      <c r="S28" s="23">
        <f t="shared" si="139"/>
        <v>219.16023799999999</v>
      </c>
      <c r="T28" s="23">
        <f t="shared" si="139"/>
        <v>219.16023799999999</v>
      </c>
      <c r="U28" s="23">
        <f t="shared" si="139"/>
        <v>219.16023799999999</v>
      </c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</row>
    <row r="29" spans="1:200" x14ac:dyDescent="0.15"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</row>
    <row r="30" spans="1:200" x14ac:dyDescent="0.15">
      <c r="A30" s="3" t="s">
        <v>19</v>
      </c>
      <c r="E30" s="33">
        <f>IFERROR(E17/E15,0)</f>
        <v>0.78688679468102696</v>
      </c>
      <c r="F30" s="33">
        <f t="shared" ref="B30:P30" si="140">IFERROR(F17/F15,0)</f>
        <v>0.78225919117647058</v>
      </c>
      <c r="G30" s="33">
        <f t="shared" si="140"/>
        <v>0.78225919117647047</v>
      </c>
      <c r="H30" s="33">
        <f>IFERROR(H17/H15,0)</f>
        <v>0.78225919117647047</v>
      </c>
      <c r="I30" s="33">
        <f t="shared" si="140"/>
        <v>0.78225919117647047</v>
      </c>
      <c r="J30" s="33">
        <f t="shared" si="140"/>
        <v>0.78225919117647047</v>
      </c>
      <c r="K30" s="33">
        <f t="shared" si="140"/>
        <v>0.78225919117647047</v>
      </c>
      <c r="L30" s="33">
        <f t="shared" si="140"/>
        <v>0.78225919117647047</v>
      </c>
      <c r="M30" s="33">
        <f t="shared" si="140"/>
        <v>0.78225919117647047</v>
      </c>
      <c r="N30" s="33">
        <f t="shared" si="140"/>
        <v>0.78225919117647047</v>
      </c>
      <c r="O30" s="33">
        <f t="shared" si="140"/>
        <v>0.78225919117647047</v>
      </c>
      <c r="P30" s="33">
        <f t="shared" si="140"/>
        <v>0.78225919117647036</v>
      </c>
      <c r="Q30" s="33">
        <f t="shared" ref="Q30:U30" si="141">IFERROR(Q17/Q15,0)</f>
        <v>0.78225919117647036</v>
      </c>
      <c r="R30" s="33">
        <f t="shared" si="141"/>
        <v>0.78225919117647036</v>
      </c>
      <c r="S30" s="33">
        <f t="shared" si="141"/>
        <v>0.78225919117647036</v>
      </c>
      <c r="T30" s="33">
        <f t="shared" si="141"/>
        <v>0.78225919117647036</v>
      </c>
      <c r="U30" s="33">
        <f t="shared" si="141"/>
        <v>0.78225919117647036</v>
      </c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</row>
    <row r="31" spans="1:200" x14ac:dyDescent="0.15">
      <c r="A31" s="3" t="s">
        <v>20</v>
      </c>
      <c r="E31" s="35">
        <f>IFERROR(E22/E15,0)</f>
        <v>-0.33894675515875811</v>
      </c>
      <c r="F31" s="35">
        <f t="shared" ref="B31:P31" si="142">IFERROR(F22/F15,0)</f>
        <v>-0.2747261029411765</v>
      </c>
      <c r="G31" s="35">
        <f>IFERROR(G22/G15,0)</f>
        <v>-0.23601234790061662</v>
      </c>
      <c r="H31" s="35">
        <f t="shared" si="142"/>
        <v>-0.19346608438997151</v>
      </c>
      <c r="I31" s="35">
        <f t="shared" si="142"/>
        <v>-0.14917879043774318</v>
      </c>
      <c r="J31" s="35">
        <f t="shared" si="142"/>
        <v>-0.10488424159306774</v>
      </c>
      <c r="K31" s="35">
        <f t="shared" si="142"/>
        <v>-6.1918575438250183E-2</v>
      </c>
      <c r="L31" s="35">
        <f t="shared" si="142"/>
        <v>-3.3279085789157156E-2</v>
      </c>
      <c r="M31" s="35">
        <f t="shared" si="142"/>
        <v>-8.0096515063484419E-3</v>
      </c>
      <c r="N31" s="35">
        <f t="shared" si="142"/>
        <v>1.4098154493531681E-2</v>
      </c>
      <c r="O31" s="35">
        <f t="shared" si="142"/>
        <v>3.3233683024342292E-2</v>
      </c>
      <c r="P31" s="35">
        <f t="shared" si="142"/>
        <v>4.9568672606265816E-2</v>
      </c>
      <c r="Q31" s="35">
        <f t="shared" ref="Q31:U31" si="143">IFERROR(Q22/Q15,0)</f>
        <v>0.1003714289469587</v>
      </c>
      <c r="R31" s="35">
        <f t="shared" si="143"/>
        <v>0.14616165038525639</v>
      </c>
      <c r="S31" s="35">
        <f t="shared" si="143"/>
        <v>0.18747653011103593</v>
      </c>
      <c r="T31" s="35">
        <f t="shared" si="143"/>
        <v>0.22479483348981447</v>
      </c>
      <c r="U31" s="35">
        <f t="shared" si="143"/>
        <v>0.25854326882415107</v>
      </c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</row>
    <row r="32" spans="1:200" x14ac:dyDescent="0.15">
      <c r="A32" s="3" t="s">
        <v>21</v>
      </c>
      <c r="E32" s="35">
        <f>IFERROR(E25/E24,0)</f>
        <v>1.5249016438439726E-2</v>
      </c>
      <c r="F32" s="35">
        <f t="shared" ref="B32:P32" si="144">IFERROR(F25/F24,0)</f>
        <v>-6.6027956236670599E-2</v>
      </c>
      <c r="G32" s="35">
        <f t="shared" si="144"/>
        <v>0.1</v>
      </c>
      <c r="H32" s="35">
        <f t="shared" si="144"/>
        <v>0.10000000000000002</v>
      </c>
      <c r="I32" s="35">
        <f t="shared" si="144"/>
        <v>0.1</v>
      </c>
      <c r="J32" s="35">
        <f t="shared" si="144"/>
        <v>0.10000000000000002</v>
      </c>
      <c r="K32" s="35">
        <f t="shared" si="144"/>
        <v>0.1</v>
      </c>
      <c r="L32" s="35">
        <f t="shared" si="144"/>
        <v>0.1</v>
      </c>
      <c r="M32" s="35">
        <f t="shared" si="144"/>
        <v>0.1</v>
      </c>
      <c r="N32" s="35">
        <f t="shared" si="144"/>
        <v>0.10000000000000002</v>
      </c>
      <c r="O32" s="35">
        <f t="shared" si="144"/>
        <v>9.9999999999999992E-2</v>
      </c>
      <c r="P32" s="35">
        <f t="shared" si="144"/>
        <v>0.1</v>
      </c>
      <c r="Q32" s="35">
        <f t="shared" ref="Q32:U32" si="145">IFERROR(Q25/Q24,0)</f>
        <v>0.1</v>
      </c>
      <c r="R32" s="35">
        <f t="shared" si="145"/>
        <v>0.1</v>
      </c>
      <c r="S32" s="35">
        <f t="shared" si="145"/>
        <v>0.1</v>
      </c>
      <c r="T32" s="35">
        <f t="shared" si="145"/>
        <v>0.1</v>
      </c>
      <c r="U32" s="35">
        <f t="shared" si="145"/>
        <v>0.1</v>
      </c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</row>
    <row r="33" spans="1:117" x14ac:dyDescent="0.15"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</row>
    <row r="34" spans="1:117" x14ac:dyDescent="0.15">
      <c r="A34" s="2" t="s">
        <v>18</v>
      </c>
      <c r="E34" s="50"/>
      <c r="F34" s="50">
        <f>F15/E15-1</f>
        <v>0.42763042217445935</v>
      </c>
      <c r="G34" s="50">
        <f>G15/F15-1</f>
        <v>0.37830882352941186</v>
      </c>
      <c r="H34" s="50">
        <f>H15/G15-1</f>
        <v>0.39386503067484657</v>
      </c>
      <c r="I34" s="50">
        <f t="shared" ref="C34:U34" si="146">I15/H15-1</f>
        <v>0.40783259338640554</v>
      </c>
      <c r="J34" s="50">
        <f t="shared" si="146"/>
        <v>0.42022110246752287</v>
      </c>
      <c r="K34" s="50">
        <f t="shared" si="146"/>
        <v>0.43110178364968621</v>
      </c>
      <c r="L34" s="50">
        <f t="shared" si="146"/>
        <v>0.19999999999999996</v>
      </c>
      <c r="M34" s="50">
        <f t="shared" si="146"/>
        <v>0.19999999999999996</v>
      </c>
      <c r="N34" s="50">
        <f t="shared" si="146"/>
        <v>0.19999999999999996</v>
      </c>
      <c r="O34" s="50">
        <f t="shared" si="146"/>
        <v>0.19999999999999996</v>
      </c>
      <c r="P34" s="50">
        <f t="shared" si="146"/>
        <v>0.19999999999999996</v>
      </c>
      <c r="Q34" s="50">
        <f t="shared" si="146"/>
        <v>0.10000000000000009</v>
      </c>
      <c r="R34" s="50">
        <f t="shared" si="146"/>
        <v>0.10000000000000009</v>
      </c>
      <c r="S34" s="50">
        <f t="shared" si="146"/>
        <v>0.10000000000000009</v>
      </c>
      <c r="T34" s="50">
        <f t="shared" si="146"/>
        <v>0.10000000000000009</v>
      </c>
      <c r="U34" s="50">
        <f t="shared" si="146"/>
        <v>0.10000000000000009</v>
      </c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</row>
    <row r="35" spans="1:117" x14ac:dyDescent="0.15">
      <c r="A35" s="3" t="s">
        <v>42</v>
      </c>
      <c r="E35" s="35"/>
      <c r="F35" s="35">
        <f t="shared" ref="C35:U35" si="147">F18/E18-1</f>
        <v>0.25490196078431371</v>
      </c>
      <c r="G35" s="35">
        <f t="shared" si="147"/>
        <v>0.25</v>
      </c>
      <c r="H35" s="35">
        <f t="shared" si="147"/>
        <v>0.25</v>
      </c>
      <c r="I35" s="35">
        <f t="shared" si="147"/>
        <v>0.25</v>
      </c>
      <c r="J35" s="35">
        <f t="shared" si="147"/>
        <v>0.25</v>
      </c>
      <c r="K35" s="35">
        <f t="shared" si="147"/>
        <v>0.25</v>
      </c>
      <c r="L35" s="35">
        <f t="shared" si="147"/>
        <v>0.25</v>
      </c>
      <c r="M35" s="35">
        <f t="shared" si="147"/>
        <v>0.25</v>
      </c>
      <c r="N35" s="35">
        <f t="shared" si="147"/>
        <v>0.25</v>
      </c>
      <c r="O35" s="35">
        <f t="shared" si="147"/>
        <v>0.25</v>
      </c>
      <c r="P35" s="35">
        <f t="shared" si="147"/>
        <v>0.25</v>
      </c>
      <c r="Q35" s="35">
        <f t="shared" si="147"/>
        <v>8.0000000000000071E-2</v>
      </c>
      <c r="R35" s="35">
        <f t="shared" si="147"/>
        <v>8.0000000000000071E-2</v>
      </c>
      <c r="S35" s="35">
        <f t="shared" si="147"/>
        <v>8.0000000000000071E-2</v>
      </c>
      <c r="T35" s="35">
        <f t="shared" si="147"/>
        <v>8.0000000000000071E-2</v>
      </c>
      <c r="U35" s="35">
        <f t="shared" si="147"/>
        <v>8.0000000000000071E-2</v>
      </c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</row>
    <row r="36" spans="1:117" x14ac:dyDescent="0.15">
      <c r="A36" s="3" t="s">
        <v>43</v>
      </c>
      <c r="E36" s="35"/>
      <c r="F36" s="35">
        <f t="shared" ref="C36:U36" si="148">F19/E19-1</f>
        <v>0.30597014925373145</v>
      </c>
      <c r="G36" s="35">
        <f t="shared" si="148"/>
        <v>0.30000000000000004</v>
      </c>
      <c r="H36" s="35">
        <f t="shared" si="148"/>
        <v>0.30000000000000004</v>
      </c>
      <c r="I36" s="35">
        <f t="shared" si="148"/>
        <v>0.30000000000000004</v>
      </c>
      <c r="J36" s="35">
        <f t="shared" si="148"/>
        <v>0.30000000000000004</v>
      </c>
      <c r="K36" s="35">
        <f t="shared" si="148"/>
        <v>0.30000000000000004</v>
      </c>
      <c r="L36" s="35">
        <f t="shared" si="148"/>
        <v>0.14999999999999991</v>
      </c>
      <c r="M36" s="35">
        <f t="shared" si="148"/>
        <v>0.14999999999999991</v>
      </c>
      <c r="N36" s="35">
        <f t="shared" si="148"/>
        <v>0.14999999999999991</v>
      </c>
      <c r="O36" s="35">
        <f t="shared" si="148"/>
        <v>0.14999999999999991</v>
      </c>
      <c r="P36" s="35">
        <f t="shared" si="148"/>
        <v>0.14999999999999991</v>
      </c>
      <c r="Q36" s="35">
        <f t="shared" si="148"/>
        <v>-2.0000000000000129E-2</v>
      </c>
      <c r="R36" s="35">
        <f t="shared" si="148"/>
        <v>-1.9999999999999907E-2</v>
      </c>
      <c r="S36" s="35">
        <f t="shared" si="148"/>
        <v>-2.0000000000000018E-2</v>
      </c>
      <c r="T36" s="35">
        <f t="shared" si="148"/>
        <v>-2.0000000000000129E-2</v>
      </c>
      <c r="U36" s="35">
        <f t="shared" si="148"/>
        <v>-2.0000000000000018E-2</v>
      </c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</row>
    <row r="37" spans="1:117" x14ac:dyDescent="0.15">
      <c r="A37" s="3" t="s">
        <v>44</v>
      </c>
      <c r="E37" s="35"/>
      <c r="F37" s="35">
        <f t="shared" ref="C37:U37" si="149">F20/E20-1</f>
        <v>0.58241758241758235</v>
      </c>
      <c r="G37" s="35">
        <f t="shared" si="149"/>
        <v>0.5</v>
      </c>
      <c r="H37" s="35">
        <f t="shared" si="149"/>
        <v>0.5</v>
      </c>
      <c r="I37" s="35">
        <f t="shared" si="149"/>
        <v>0.5</v>
      </c>
      <c r="J37" s="35">
        <f t="shared" si="149"/>
        <v>0.5</v>
      </c>
      <c r="K37" s="35">
        <f t="shared" si="149"/>
        <v>0.5</v>
      </c>
      <c r="L37" s="35">
        <f t="shared" si="149"/>
        <v>0.10000000000000009</v>
      </c>
      <c r="M37" s="35">
        <f t="shared" si="149"/>
        <v>0.10000000000000009</v>
      </c>
      <c r="N37" s="35">
        <f t="shared" si="149"/>
        <v>0.10000000000000009</v>
      </c>
      <c r="O37" s="35">
        <f t="shared" si="149"/>
        <v>0.10000000000000009</v>
      </c>
      <c r="P37" s="35">
        <f t="shared" si="149"/>
        <v>0.10000000000000009</v>
      </c>
      <c r="Q37" s="35">
        <f t="shared" si="149"/>
        <v>-2.0000000000000018E-2</v>
      </c>
      <c r="R37" s="35">
        <f t="shared" si="149"/>
        <v>-2.0000000000000018E-2</v>
      </c>
      <c r="S37" s="35">
        <f t="shared" si="149"/>
        <v>-2.0000000000000018E-2</v>
      </c>
      <c r="T37" s="35">
        <f t="shared" si="149"/>
        <v>-2.0000000000000018E-2</v>
      </c>
      <c r="U37" s="35">
        <f t="shared" si="149"/>
        <v>-2.0000000000000129E-2</v>
      </c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</row>
    <row r="38" spans="1:117" x14ac:dyDescent="0.15">
      <c r="A38" s="6" t="s">
        <v>69</v>
      </c>
      <c r="E38" s="44"/>
      <c r="F38" s="44">
        <f t="shared" ref="F38:U38" si="150">F21/E21-1</f>
        <v>0.34032634032634035</v>
      </c>
      <c r="G38" s="44">
        <f t="shared" si="150"/>
        <v>0.32782608695652171</v>
      </c>
      <c r="H38" s="44">
        <f t="shared" si="150"/>
        <v>0.33562540929927964</v>
      </c>
      <c r="I38" s="44">
        <f t="shared" si="150"/>
        <v>0.3439323363569502</v>
      </c>
      <c r="J38" s="44">
        <f t="shared" si="150"/>
        <v>0.35268246410915949</v>
      </c>
      <c r="K38" s="44">
        <f t="shared" si="150"/>
        <v>0.3617914115062566</v>
      </c>
      <c r="L38" s="44">
        <f>L21/K21-1</f>
        <v>0.15928892119875426</v>
      </c>
      <c r="M38" s="44">
        <f t="shared" si="150"/>
        <v>0.16281802829390846</v>
      </c>
      <c r="N38" s="44">
        <f t="shared" si="150"/>
        <v>0.1664299466624628</v>
      </c>
      <c r="O38" s="44">
        <f t="shared" si="150"/>
        <v>0.17010700472894369</v>
      </c>
      <c r="P38" s="44">
        <f t="shared" si="150"/>
        <v>0.1738300134174775</v>
      </c>
      <c r="Q38" s="44">
        <f t="shared" si="150"/>
        <v>2.3729008963001119E-2</v>
      </c>
      <c r="R38" s="44">
        <f t="shared" si="150"/>
        <v>2.6132647669993014E-2</v>
      </c>
      <c r="S38" s="44">
        <f t="shared" si="150"/>
        <v>2.8554404342093997E-2</v>
      </c>
      <c r="T38" s="44">
        <f t="shared" si="150"/>
        <v>3.0982968395340871E-2</v>
      </c>
      <c r="U38" s="44">
        <f t="shared" si="150"/>
        <v>3.3406901524928312E-2</v>
      </c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</row>
    <row r="39" spans="1:117" x14ac:dyDescent="0.15"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</row>
    <row r="40" spans="1:117" x14ac:dyDescent="0.15">
      <c r="A40" s="2" t="s">
        <v>26</v>
      </c>
      <c r="E40" s="24">
        <f>E41-E42</f>
        <v>259</v>
      </c>
      <c r="F40" s="24">
        <f>F41-F42</f>
        <v>130</v>
      </c>
      <c r="G40" s="51">
        <f>F40+G26</f>
        <v>-26.925852610294129</v>
      </c>
      <c r="H40" s="51">
        <f>G40+H26</f>
        <v>-209.38626466316177</v>
      </c>
      <c r="I40" s="51">
        <f t="shared" ref="I40:U40" si="151">H40+I26</f>
        <v>-410.70054645026039</v>
      </c>
      <c r="J40" s="51">
        <f t="shared" si="151"/>
        <v>-615.34718739518883</v>
      </c>
      <c r="K40" s="51">
        <f t="shared" si="151"/>
        <v>-793.07412979032847</v>
      </c>
      <c r="L40" s="51">
        <f t="shared" si="151"/>
        <v>-914.83222200298587</v>
      </c>
      <c r="M40" s="51">
        <f t="shared" si="151"/>
        <v>-962.34210163825765</v>
      </c>
      <c r="N40" s="51">
        <f t="shared" si="151"/>
        <v>-914.09622400043304</v>
      </c>
      <c r="O40" s="51">
        <f t="shared" si="151"/>
        <v>-745.0731427446342</v>
      </c>
      <c r="P40" s="51">
        <f t="shared" si="151"/>
        <v>-426.51381036070882</v>
      </c>
      <c r="Q40" s="51">
        <f t="shared" si="151"/>
        <v>305.23574667702599</v>
      </c>
      <c r="R40" s="51">
        <f t="shared" si="151"/>
        <v>1495.1649206677457</v>
      </c>
      <c r="S40" s="51">
        <f t="shared" si="151"/>
        <v>3193.235305499692</v>
      </c>
      <c r="T40" s="51">
        <f t="shared" si="151"/>
        <v>5454.9057574378121</v>
      </c>
      <c r="U40" s="51">
        <f t="shared" si="151"/>
        <v>8341.7122739489823</v>
      </c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</row>
    <row r="41" spans="1:117" x14ac:dyDescent="0.15">
      <c r="A41" s="3" t="s">
        <v>27</v>
      </c>
      <c r="E41" s="52">
        <f>Reports!Q34</f>
        <v>259</v>
      </c>
      <c r="F41" s="52">
        <f>Reports!U34</f>
        <v>130</v>
      </c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23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</row>
    <row r="42" spans="1:117" x14ac:dyDescent="0.15">
      <c r="A42" s="3" t="s">
        <v>28</v>
      </c>
      <c r="E42" s="52">
        <f>Reports!Q35</f>
        <v>0</v>
      </c>
      <c r="F42" s="52">
        <f>Reports!U35</f>
        <v>0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23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</row>
    <row r="43" spans="1:117" x14ac:dyDescent="0.15"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4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</row>
    <row r="44" spans="1:117" x14ac:dyDescent="0.15">
      <c r="A44" s="3" t="s">
        <v>56</v>
      </c>
      <c r="E44" s="52">
        <f>Reports!Q37</f>
        <v>54</v>
      </c>
      <c r="F44" s="52">
        <f>Reports!U37</f>
        <v>280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</row>
    <row r="45" spans="1:117" x14ac:dyDescent="0.15">
      <c r="A45" s="3" t="s">
        <v>57</v>
      </c>
      <c r="E45" s="52">
        <f>Reports!Q38</f>
        <v>589</v>
      </c>
      <c r="F45" s="52">
        <f>Reports!U38</f>
        <v>763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</row>
    <row r="46" spans="1:117" x14ac:dyDescent="0.15">
      <c r="A46" s="3" t="s">
        <v>58</v>
      </c>
      <c r="E46" s="52">
        <f>Reports!Q39</f>
        <v>273</v>
      </c>
      <c r="F46" s="52">
        <f>Reports!U39</f>
        <v>369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</row>
    <row r="47" spans="1:117" x14ac:dyDescent="0.15"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</row>
    <row r="48" spans="1:117" x14ac:dyDescent="0.15">
      <c r="A48" s="3" t="s">
        <v>59</v>
      </c>
      <c r="E48" s="56">
        <f>E45-E44-E41</f>
        <v>276</v>
      </c>
      <c r="F48" s="56">
        <f>F45-F44-F41</f>
        <v>353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</row>
    <row r="49" spans="1:117" x14ac:dyDescent="0.15">
      <c r="A49" s="3" t="s">
        <v>60</v>
      </c>
      <c r="E49" s="56">
        <f>E45-E46</f>
        <v>316</v>
      </c>
      <c r="F49" s="56">
        <f>F45-F46</f>
        <v>394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</row>
    <row r="50" spans="1:117" x14ac:dyDescent="0.15"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</row>
    <row r="51" spans="1:117" x14ac:dyDescent="0.15">
      <c r="A51" s="18" t="s">
        <v>62</v>
      </c>
      <c r="E51" s="57">
        <f>E26/E49</f>
        <v>-0.4087215189873416</v>
      </c>
      <c r="F51" s="57">
        <f>F26/F49</f>
        <v>-0.40977411167512695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</row>
    <row r="52" spans="1:117" x14ac:dyDescent="0.15">
      <c r="A52" s="18" t="s">
        <v>63</v>
      </c>
      <c r="E52" s="57">
        <f>E26/E45</f>
        <v>-0.21928013582342945</v>
      </c>
      <c r="F52" s="57">
        <f>F26/F45</f>
        <v>-0.21160026212319794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</row>
    <row r="53" spans="1:117" x14ac:dyDescent="0.15">
      <c r="A53" s="18" t="s">
        <v>64</v>
      </c>
      <c r="E53" s="57">
        <f>E26/(E49-E44)</f>
        <v>-0.49296183206106853</v>
      </c>
      <c r="F53" s="57">
        <f>F26/(F49-F44)</f>
        <v>-1.4162368421052633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</row>
    <row r="54" spans="1:117" x14ac:dyDescent="0.15">
      <c r="A54" s="18" t="s">
        <v>65</v>
      </c>
      <c r="E54" s="57">
        <f>E26/E48</f>
        <v>-0.46795652173913027</v>
      </c>
      <c r="F54" s="57">
        <f>F26/F48</f>
        <v>-0.45736827195467428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</row>
    <row r="55" spans="1:117" x14ac:dyDescent="0.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</row>
    <row r="56" spans="1:117" x14ac:dyDescent="0.15">
      <c r="A56" s="3" t="s">
        <v>72</v>
      </c>
      <c r="E56" s="57">
        <f t="shared" ref="C56:E56" si="152">(E44/E28)/$C$2</f>
        <v>2.9441507955089881E-3</v>
      </c>
      <c r="F56" s="57">
        <f>(F44/F28)/$C$2</f>
        <v>1.404114754382876E-2</v>
      </c>
      <c r="G56" s="60" t="s">
        <v>73</v>
      </c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</row>
    <row r="57" spans="1:117" x14ac:dyDescent="0.15">
      <c r="E57" s="57"/>
      <c r="F57" s="57"/>
      <c r="G57" s="60"/>
      <c r="H57" s="38"/>
      <c r="I57" s="38"/>
      <c r="J57" s="38"/>
      <c r="K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</row>
    <row r="58" spans="1:117" x14ac:dyDescent="0.15">
      <c r="A58" s="3" t="s">
        <v>77</v>
      </c>
      <c r="E58" s="57">
        <f t="shared" ref="B58:K58" si="153">E26/E18-1</f>
        <v>-1.6331176470588233</v>
      </c>
      <c r="F58" s="57">
        <f t="shared" si="153"/>
        <v>-1.6306679687500001</v>
      </c>
      <c r="G58" s="57">
        <f t="shared" si="153"/>
        <v>-1.4903932894071692</v>
      </c>
      <c r="H58" s="57">
        <f t="shared" si="153"/>
        <v>-1.4561510301321692</v>
      </c>
      <c r="I58" s="57">
        <f t="shared" si="153"/>
        <v>-1.4026285635741971</v>
      </c>
      <c r="J58" s="57">
        <f t="shared" si="153"/>
        <v>-1.3274346255118856</v>
      </c>
      <c r="K58" s="57">
        <f t="shared" si="153"/>
        <v>-1.2274904862657787</v>
      </c>
      <c r="L58" s="60" t="s">
        <v>79</v>
      </c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</row>
    <row r="59" spans="1:117" x14ac:dyDescent="0.15">
      <c r="A59" s="3" t="s">
        <v>78</v>
      </c>
      <c r="E59" s="61" t="str">
        <f t="shared" ref="B59:K59" si="154">ROUND($C$4/E18,0)&amp;"x"</f>
        <v>106x</v>
      </c>
      <c r="F59" s="61" t="str">
        <f t="shared" si="154"/>
        <v>85x</v>
      </c>
      <c r="G59" s="61" t="str">
        <f t="shared" si="154"/>
        <v>68x</v>
      </c>
      <c r="H59" s="61" t="str">
        <f t="shared" si="154"/>
        <v>54x</v>
      </c>
      <c r="I59" s="61" t="str">
        <f t="shared" si="154"/>
        <v>43x</v>
      </c>
      <c r="J59" s="61" t="str">
        <f t="shared" si="154"/>
        <v>35x</v>
      </c>
      <c r="K59" s="61" t="str">
        <f t="shared" si="154"/>
        <v>28x</v>
      </c>
      <c r="L59" s="60" t="s">
        <v>80</v>
      </c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</row>
    <row r="60" spans="1:117" x14ac:dyDescent="0.15"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</row>
    <row r="61" spans="1:117" x14ac:dyDescent="0.15">
      <c r="A61" s="8" t="s">
        <v>127</v>
      </c>
      <c r="E61" s="57"/>
      <c r="F61" s="57">
        <f t="shared" ref="D61:F61" si="155">F11/E11-1</f>
        <v>0.34455653502211758</v>
      </c>
      <c r="G61" s="57">
        <f t="shared" ref="G61:K63" si="156">G11/F11-1</f>
        <v>0.30000000000000004</v>
      </c>
      <c r="H61" s="57">
        <f t="shared" si="156"/>
        <v>0.30000000000000004</v>
      </c>
      <c r="I61" s="57">
        <f t="shared" si="156"/>
        <v>0.30000000000000004</v>
      </c>
      <c r="J61" s="57">
        <f t="shared" si="156"/>
        <v>0.30000000000000004</v>
      </c>
      <c r="K61" s="57">
        <f t="shared" si="156"/>
        <v>0.30000000000000004</v>
      </c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</row>
    <row r="62" spans="1:117" x14ac:dyDescent="0.15">
      <c r="A62" s="8" t="s">
        <v>128</v>
      </c>
      <c r="E62" s="57"/>
      <c r="F62" s="57">
        <f t="shared" ref="C62:F62" si="157">F12/E12-1</f>
        <v>0.59189110165361747</v>
      </c>
      <c r="G62" s="57">
        <f t="shared" si="156"/>
        <v>0.5</v>
      </c>
      <c r="H62" s="57">
        <f t="shared" si="156"/>
        <v>0.5</v>
      </c>
      <c r="I62" s="57">
        <f t="shared" si="156"/>
        <v>0.5</v>
      </c>
      <c r="J62" s="57">
        <f t="shared" si="156"/>
        <v>0.5</v>
      </c>
      <c r="K62" s="57">
        <f t="shared" si="156"/>
        <v>0.5</v>
      </c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</row>
    <row r="63" spans="1:117" x14ac:dyDescent="0.15">
      <c r="A63" s="8" t="s">
        <v>129</v>
      </c>
      <c r="E63" s="57"/>
      <c r="F63" s="57">
        <f t="shared" ref="C63:F63" si="158">F13/E13-1</f>
        <v>0.1461236964611663</v>
      </c>
      <c r="G63" s="57">
        <f t="shared" si="156"/>
        <v>0.10000000000000009</v>
      </c>
      <c r="H63" s="57">
        <f t="shared" si="156"/>
        <v>0.10000000000000009</v>
      </c>
      <c r="I63" s="57">
        <f t="shared" si="156"/>
        <v>0.10000000000000009</v>
      </c>
      <c r="J63" s="57">
        <f t="shared" si="156"/>
        <v>0.10000000000000009</v>
      </c>
      <c r="K63" s="57">
        <f t="shared" si="156"/>
        <v>0.10000000000000009</v>
      </c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</row>
  </sheetData>
  <hyperlinks>
    <hyperlink ref="A1" r:id="rId1" xr:uid="{00000000-0004-0000-0000-000000000000}"/>
    <hyperlink ref="L4" r:id="rId2" xr:uid="{CBCA994A-BC74-CB48-8009-AD2DE8254A02}"/>
    <hyperlink ref="A4" r:id="rId3" xr:uid="{F57F4B71-B962-6F42-B9CE-65C716C3E887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Z14" sqref="Z14"/>
    </sheetView>
  </sheetViews>
  <sheetFormatPr baseColWidth="10" defaultRowHeight="13" x14ac:dyDescent="0.15"/>
  <cols>
    <col min="1" max="1" width="20.33203125" style="6" bestFit="1" customWidth="1"/>
    <col min="2" max="5" width="10.83203125" style="20" customWidth="1"/>
    <col min="6" max="6" width="10.83203125" style="21" customWidth="1"/>
    <col min="7" max="8" width="10.83203125" style="20" customWidth="1"/>
    <col min="9" max="9" width="10.83203125" style="20"/>
    <col min="10" max="10" width="10.83203125" style="21"/>
    <col min="11" max="13" width="10.83203125" style="20"/>
    <col min="14" max="14" width="10.83203125" style="21"/>
    <col min="15" max="17" width="10.83203125" style="20"/>
    <col min="18" max="18" width="10.83203125" style="21"/>
    <col min="19" max="21" width="10.83203125" style="20"/>
    <col min="22" max="22" width="10.83203125" style="21"/>
    <col min="23" max="25" width="10.83203125" style="20"/>
    <col min="26" max="16384" width="10.83203125" style="6"/>
  </cols>
  <sheetData>
    <row r="1" spans="1:25" x14ac:dyDescent="0.15">
      <c r="A1" s="73" t="s">
        <v>45</v>
      </c>
      <c r="B1" s="20" t="s">
        <v>38</v>
      </c>
      <c r="C1" s="20" t="s">
        <v>39</v>
      </c>
      <c r="D1" s="20" t="s">
        <v>40</v>
      </c>
      <c r="E1" s="20" t="s">
        <v>41</v>
      </c>
      <c r="F1" s="21" t="s">
        <v>22</v>
      </c>
      <c r="G1" s="20" t="s">
        <v>23</v>
      </c>
      <c r="H1" s="20" t="s">
        <v>24</v>
      </c>
      <c r="I1" s="20" t="s">
        <v>25</v>
      </c>
      <c r="J1" s="22" t="s">
        <v>0</v>
      </c>
      <c r="K1" s="23" t="s">
        <v>1</v>
      </c>
      <c r="L1" s="23" t="s">
        <v>2</v>
      </c>
      <c r="M1" s="23" t="s">
        <v>3</v>
      </c>
      <c r="N1" s="22" t="s">
        <v>34</v>
      </c>
      <c r="O1" s="23" t="s">
        <v>35</v>
      </c>
      <c r="P1" s="23" t="s">
        <v>36</v>
      </c>
      <c r="Q1" s="23" t="s">
        <v>37</v>
      </c>
      <c r="R1" s="22" t="s">
        <v>52</v>
      </c>
      <c r="S1" s="23" t="s">
        <v>53</v>
      </c>
      <c r="T1" s="23" t="s">
        <v>54</v>
      </c>
      <c r="U1" s="23" t="s">
        <v>55</v>
      </c>
      <c r="V1" s="22" t="s">
        <v>70</v>
      </c>
      <c r="W1" s="23" t="s">
        <v>81</v>
      </c>
      <c r="X1" s="23" t="s">
        <v>82</v>
      </c>
      <c r="Y1" s="23" t="s">
        <v>71</v>
      </c>
    </row>
    <row r="2" spans="1:25" s="20" customFormat="1" x14ac:dyDescent="0.15">
      <c r="A2" s="1"/>
      <c r="F2" s="21"/>
      <c r="J2" s="21"/>
      <c r="N2" s="63">
        <v>43190</v>
      </c>
      <c r="O2" s="62">
        <v>43281</v>
      </c>
      <c r="P2" s="62">
        <v>43373</v>
      </c>
      <c r="Q2" s="62">
        <v>43465</v>
      </c>
      <c r="R2" s="63">
        <v>43555</v>
      </c>
      <c r="S2" s="62">
        <v>43646</v>
      </c>
      <c r="T2" s="62">
        <v>43738</v>
      </c>
      <c r="U2" s="62">
        <v>43830</v>
      </c>
      <c r="V2" s="63">
        <v>43921</v>
      </c>
      <c r="W2" s="62">
        <v>44012</v>
      </c>
    </row>
    <row r="3" spans="1:25" s="23" customFormat="1" x14ac:dyDescent="0.15">
      <c r="A3" s="8" t="s">
        <v>124</v>
      </c>
      <c r="F3" s="22"/>
      <c r="J3" s="22"/>
      <c r="N3" s="22">
        <v>25.692</v>
      </c>
      <c r="O3" s="23">
        <v>30</v>
      </c>
      <c r="P3" s="23">
        <v>34</v>
      </c>
      <c r="Q3" s="23">
        <v>36</v>
      </c>
      <c r="R3" s="22">
        <v>38</v>
      </c>
      <c r="S3" s="23">
        <v>40</v>
      </c>
      <c r="T3" s="23">
        <v>43</v>
      </c>
      <c r="U3" s="23">
        <v>48</v>
      </c>
      <c r="V3" s="22">
        <v>47</v>
      </c>
      <c r="W3" s="23">
        <v>55</v>
      </c>
    </row>
    <row r="4" spans="1:25" s="23" customFormat="1" x14ac:dyDescent="0.15">
      <c r="A4" s="8" t="s">
        <v>125</v>
      </c>
      <c r="F4" s="22"/>
      <c r="J4" s="22"/>
      <c r="N4" s="22">
        <v>40.686</v>
      </c>
      <c r="O4" s="23">
        <v>44</v>
      </c>
      <c r="P4" s="23">
        <v>44</v>
      </c>
      <c r="Q4" s="23">
        <v>56</v>
      </c>
      <c r="R4" s="22">
        <v>68</v>
      </c>
      <c r="S4" s="23">
        <v>69</v>
      </c>
      <c r="T4" s="23">
        <v>70</v>
      </c>
      <c r="U4" s="23">
        <v>87</v>
      </c>
      <c r="V4" s="22">
        <v>104</v>
      </c>
      <c r="W4" s="23">
        <v>113</v>
      </c>
    </row>
    <row r="5" spans="1:25" s="8" customFormat="1" x14ac:dyDescent="0.15">
      <c r="A5" s="8" t="s">
        <v>126</v>
      </c>
      <c r="B5" s="23"/>
      <c r="C5" s="23"/>
      <c r="D5" s="23"/>
      <c r="E5" s="23"/>
      <c r="F5" s="22"/>
      <c r="G5" s="23"/>
      <c r="H5" s="23"/>
      <c r="I5" s="23"/>
      <c r="J5" s="22"/>
      <c r="K5" s="23"/>
      <c r="L5" s="23"/>
      <c r="M5" s="23"/>
      <c r="N5" s="22">
        <v>13.673</v>
      </c>
      <c r="O5" s="23">
        <v>15</v>
      </c>
      <c r="P5" s="23">
        <v>18</v>
      </c>
      <c r="Q5" s="23">
        <v>24</v>
      </c>
      <c r="R5" s="22">
        <v>18</v>
      </c>
      <c r="S5" s="23">
        <v>21</v>
      </c>
      <c r="T5" s="23">
        <v>18</v>
      </c>
      <c r="U5" s="23">
        <v>24</v>
      </c>
      <c r="V5" s="22">
        <v>16</v>
      </c>
      <c r="W5" s="23">
        <v>17</v>
      </c>
      <c r="X5" s="23"/>
      <c r="Y5" s="23"/>
    </row>
    <row r="6" spans="1:25" x14ac:dyDescent="0.15">
      <c r="B6" s="23"/>
      <c r="C6" s="23"/>
      <c r="D6" s="23"/>
      <c r="E6" s="23"/>
      <c r="F6" s="22"/>
      <c r="G6" s="23"/>
      <c r="H6" s="23"/>
      <c r="I6" s="23"/>
      <c r="J6" s="22"/>
      <c r="K6" s="23"/>
      <c r="L6" s="23"/>
      <c r="M6" s="23"/>
      <c r="N6" s="22"/>
      <c r="O6" s="23"/>
      <c r="P6" s="23"/>
      <c r="Q6" s="23"/>
    </row>
    <row r="7" spans="1:25" s="17" customFormat="1" x14ac:dyDescent="0.15">
      <c r="A7" s="17" t="s">
        <v>4</v>
      </c>
      <c r="B7" s="22"/>
      <c r="C7" s="23"/>
      <c r="D7" s="23"/>
      <c r="E7" s="23"/>
      <c r="F7" s="22"/>
      <c r="G7" s="23"/>
      <c r="H7" s="23"/>
      <c r="I7" s="23"/>
      <c r="J7" s="22"/>
      <c r="K7" s="23"/>
      <c r="L7" s="23"/>
      <c r="M7" s="23"/>
      <c r="N7" s="25">
        <f>SUM(N3:N5)</f>
        <v>80.051000000000002</v>
      </c>
      <c r="O7" s="24">
        <f>SUM(O3:O5)</f>
        <v>89</v>
      </c>
      <c r="P7" s="24">
        <f>SUM(P3:P5)</f>
        <v>96</v>
      </c>
      <c r="Q7" s="24">
        <f>SUM(Q3:Q5)</f>
        <v>116</v>
      </c>
      <c r="R7" s="25">
        <f>SUM(R3:R5)</f>
        <v>124</v>
      </c>
      <c r="S7" s="24">
        <f>SUM(S3:S5)</f>
        <v>130</v>
      </c>
      <c r="T7" s="24">
        <f>SUM(T3:T5)</f>
        <v>131</v>
      </c>
      <c r="U7" s="24">
        <f>SUM(U3:U5)</f>
        <v>159</v>
      </c>
      <c r="V7" s="25">
        <f>SUM(V3:V5)</f>
        <v>167</v>
      </c>
      <c r="W7" s="24">
        <f>SUM(W3:W5)</f>
        <v>185</v>
      </c>
      <c r="X7" s="51"/>
      <c r="Y7" s="51"/>
    </row>
    <row r="8" spans="1:25" s="8" customFormat="1" x14ac:dyDescent="0.15">
      <c r="A8" s="8" t="s">
        <v>5</v>
      </c>
      <c r="B8" s="22"/>
      <c r="C8" s="23"/>
      <c r="D8" s="23"/>
      <c r="E8" s="23"/>
      <c r="F8" s="22"/>
      <c r="G8" s="23"/>
      <c r="H8" s="23"/>
      <c r="I8" s="23"/>
      <c r="J8" s="22"/>
      <c r="K8" s="23"/>
      <c r="L8" s="23"/>
      <c r="M8" s="23"/>
      <c r="N8" s="22">
        <v>16.541</v>
      </c>
      <c r="O8" s="23">
        <v>18</v>
      </c>
      <c r="P8" s="23">
        <v>20</v>
      </c>
      <c r="Q8" s="23">
        <v>26.666</v>
      </c>
      <c r="R8" s="22">
        <v>33</v>
      </c>
      <c r="S8" s="23">
        <v>29</v>
      </c>
      <c r="T8" s="52">
        <v>26.451000000000001</v>
      </c>
      <c r="U8" s="52">
        <v>30</v>
      </c>
      <c r="V8" s="22">
        <v>31.867999999999999</v>
      </c>
      <c r="W8" s="52">
        <v>40.432000000000002</v>
      </c>
      <c r="X8" s="52"/>
      <c r="Y8" s="52"/>
    </row>
    <row r="9" spans="1:25" s="8" customFormat="1" x14ac:dyDescent="0.15">
      <c r="A9" s="8" t="s">
        <v>6</v>
      </c>
      <c r="B9" s="22"/>
      <c r="C9" s="23"/>
      <c r="D9" s="23"/>
      <c r="E9" s="23"/>
      <c r="F9" s="22"/>
      <c r="G9" s="23"/>
      <c r="H9" s="23"/>
      <c r="I9" s="23"/>
      <c r="J9" s="22"/>
      <c r="K9" s="23"/>
      <c r="L9" s="23"/>
      <c r="M9" s="23"/>
      <c r="N9" s="27">
        <f>N7-N8</f>
        <v>63.510000000000005</v>
      </c>
      <c r="O9" s="26">
        <f>O7-O8</f>
        <v>71</v>
      </c>
      <c r="P9" s="26">
        <f t="shared" ref="P9:R9" si="0">P7-P8</f>
        <v>76</v>
      </c>
      <c r="Q9" s="26">
        <f t="shared" si="0"/>
        <v>89.334000000000003</v>
      </c>
      <c r="R9" s="27">
        <f t="shared" si="0"/>
        <v>91</v>
      </c>
      <c r="S9" s="26">
        <f t="shared" ref="S9:W9" si="1">S7-S8</f>
        <v>101</v>
      </c>
      <c r="T9" s="26">
        <f t="shared" si="1"/>
        <v>104.54900000000001</v>
      </c>
      <c r="U9" s="26">
        <f t="shared" si="1"/>
        <v>129</v>
      </c>
      <c r="V9" s="27">
        <f t="shared" ref="V9" si="2">V7-V8</f>
        <v>135.13200000000001</v>
      </c>
      <c r="W9" s="26">
        <f t="shared" si="1"/>
        <v>144.56799999999998</v>
      </c>
      <c r="X9" s="52"/>
      <c r="Y9" s="52"/>
    </row>
    <row r="10" spans="1:25" s="8" customFormat="1" x14ac:dyDescent="0.15">
      <c r="A10" s="8" t="s">
        <v>7</v>
      </c>
      <c r="B10" s="22"/>
      <c r="C10" s="23"/>
      <c r="D10" s="23"/>
      <c r="E10" s="23"/>
      <c r="F10" s="22"/>
      <c r="G10" s="23"/>
      <c r="H10" s="23"/>
      <c r="I10" s="23"/>
      <c r="J10" s="22"/>
      <c r="K10" s="23"/>
      <c r="L10" s="23"/>
      <c r="M10" s="23"/>
      <c r="N10" s="22">
        <v>47</v>
      </c>
      <c r="O10" s="23">
        <v>52</v>
      </c>
      <c r="P10" s="23">
        <v>53</v>
      </c>
      <c r="Q10" s="23">
        <v>52</v>
      </c>
      <c r="R10" s="22">
        <v>55</v>
      </c>
      <c r="S10" s="23">
        <v>64</v>
      </c>
      <c r="T10" s="52">
        <v>64</v>
      </c>
      <c r="U10" s="52">
        <v>73</v>
      </c>
      <c r="V10" s="22">
        <v>82</v>
      </c>
      <c r="W10" s="52">
        <v>85</v>
      </c>
      <c r="X10" s="52"/>
      <c r="Y10" s="52"/>
    </row>
    <row r="11" spans="1:25" s="8" customFormat="1" x14ac:dyDescent="0.15">
      <c r="A11" s="8" t="s">
        <v>8</v>
      </c>
      <c r="B11" s="22"/>
      <c r="C11" s="23"/>
      <c r="D11" s="23"/>
      <c r="E11" s="23"/>
      <c r="F11" s="22"/>
      <c r="G11" s="23"/>
      <c r="H11" s="23"/>
      <c r="I11" s="23"/>
      <c r="J11" s="22"/>
      <c r="K11" s="23"/>
      <c r="L11" s="23"/>
      <c r="M11" s="23"/>
      <c r="N11" s="22">
        <v>31</v>
      </c>
      <c r="O11" s="23">
        <v>39</v>
      </c>
      <c r="P11" s="23">
        <v>29</v>
      </c>
      <c r="Q11" s="23">
        <v>35</v>
      </c>
      <c r="R11" s="22">
        <v>38</v>
      </c>
      <c r="S11" s="23">
        <v>41</v>
      </c>
      <c r="T11" s="52">
        <v>47</v>
      </c>
      <c r="U11" s="52">
        <v>49</v>
      </c>
      <c r="V11" s="22">
        <v>43</v>
      </c>
      <c r="W11" s="52">
        <v>44</v>
      </c>
      <c r="X11" s="52"/>
      <c r="Y11" s="52"/>
    </row>
    <row r="12" spans="1:25" s="8" customFormat="1" x14ac:dyDescent="0.15">
      <c r="A12" s="8" t="s">
        <v>9</v>
      </c>
      <c r="B12" s="22"/>
      <c r="C12" s="23"/>
      <c r="D12" s="23"/>
      <c r="E12" s="23"/>
      <c r="F12" s="22"/>
      <c r="G12" s="23"/>
      <c r="H12" s="23"/>
      <c r="I12" s="23"/>
      <c r="J12" s="22"/>
      <c r="K12" s="23"/>
      <c r="L12" s="23"/>
      <c r="M12" s="23"/>
      <c r="N12" s="22">
        <v>18</v>
      </c>
      <c r="O12" s="23">
        <v>23</v>
      </c>
      <c r="P12" s="23">
        <v>23</v>
      </c>
      <c r="Q12" s="23">
        <v>27</v>
      </c>
      <c r="R12" s="22">
        <v>25</v>
      </c>
      <c r="S12" s="23">
        <v>28</v>
      </c>
      <c r="T12" s="52">
        <v>36</v>
      </c>
      <c r="U12" s="52">
        <v>55</v>
      </c>
      <c r="V12" s="22">
        <v>38</v>
      </c>
      <c r="W12" s="52">
        <v>40</v>
      </c>
      <c r="X12" s="52"/>
      <c r="Y12" s="52"/>
    </row>
    <row r="13" spans="1:25" s="8" customFormat="1" x14ac:dyDescent="0.15">
      <c r="A13" s="8" t="s">
        <v>10</v>
      </c>
      <c r="B13" s="22"/>
      <c r="C13" s="23"/>
      <c r="D13" s="23"/>
      <c r="E13" s="23"/>
      <c r="F13" s="22"/>
      <c r="G13" s="23"/>
      <c r="H13" s="23"/>
      <c r="I13" s="23"/>
      <c r="J13" s="22"/>
      <c r="K13" s="23"/>
      <c r="L13" s="23"/>
      <c r="M13" s="23"/>
      <c r="N13" s="27">
        <f t="shared" ref="N13" si="3">SUM(N10:N12)</f>
        <v>96</v>
      </c>
      <c r="O13" s="26">
        <f t="shared" ref="O13:P13" si="4">SUM(O10:O12)</f>
        <v>114</v>
      </c>
      <c r="P13" s="26">
        <f t="shared" si="4"/>
        <v>105</v>
      </c>
      <c r="Q13" s="26">
        <f t="shared" ref="Q13:S13" si="5">SUM(Q10:Q12)</f>
        <v>114</v>
      </c>
      <c r="R13" s="27">
        <f t="shared" si="5"/>
        <v>118</v>
      </c>
      <c r="S13" s="26">
        <f t="shared" si="5"/>
        <v>133</v>
      </c>
      <c r="T13" s="26">
        <f t="shared" ref="T13:U13" si="6">SUM(T10:T12)</f>
        <v>147</v>
      </c>
      <c r="U13" s="26">
        <f t="shared" si="6"/>
        <v>177</v>
      </c>
      <c r="V13" s="27">
        <f t="shared" ref="V13:W13" si="7">SUM(V10:V12)</f>
        <v>163</v>
      </c>
      <c r="W13" s="26">
        <f t="shared" si="7"/>
        <v>169</v>
      </c>
      <c r="X13" s="52"/>
      <c r="Y13" s="52"/>
    </row>
    <row r="14" spans="1:25" s="8" customFormat="1" x14ac:dyDescent="0.15">
      <c r="A14" s="8" t="s">
        <v>11</v>
      </c>
      <c r="B14" s="22"/>
      <c r="C14" s="23"/>
      <c r="D14" s="23"/>
      <c r="E14" s="23"/>
      <c r="F14" s="22"/>
      <c r="G14" s="23"/>
      <c r="H14" s="23"/>
      <c r="I14" s="23"/>
      <c r="J14" s="22"/>
      <c r="K14" s="23"/>
      <c r="L14" s="23"/>
      <c r="M14" s="23"/>
      <c r="N14" s="27">
        <f t="shared" ref="N14:P14" si="8">N9-N13</f>
        <v>-32.489999999999995</v>
      </c>
      <c r="O14" s="26">
        <f t="shared" si="8"/>
        <v>-43</v>
      </c>
      <c r="P14" s="26">
        <f t="shared" si="8"/>
        <v>-29</v>
      </c>
      <c r="Q14" s="26">
        <f t="shared" ref="Q14:S14" si="9">Q9-Q13</f>
        <v>-24.665999999999997</v>
      </c>
      <c r="R14" s="27">
        <f t="shared" si="9"/>
        <v>-27</v>
      </c>
      <c r="S14" s="26">
        <f t="shared" si="9"/>
        <v>-32</v>
      </c>
      <c r="T14" s="26">
        <f t="shared" ref="T14:U14" si="10">T9-T13</f>
        <v>-42.450999999999993</v>
      </c>
      <c r="U14" s="26">
        <f t="shared" si="10"/>
        <v>-48</v>
      </c>
      <c r="V14" s="27">
        <f t="shared" ref="V14:W14" si="11">V9-V13</f>
        <v>-27.867999999999995</v>
      </c>
      <c r="W14" s="26">
        <f t="shared" si="11"/>
        <v>-24.432000000000016</v>
      </c>
      <c r="X14" s="52"/>
      <c r="Y14" s="52"/>
    </row>
    <row r="15" spans="1:25" s="8" customFormat="1" x14ac:dyDescent="0.15">
      <c r="A15" s="8" t="s">
        <v>12</v>
      </c>
      <c r="B15" s="22"/>
      <c r="C15" s="23"/>
      <c r="D15" s="23"/>
      <c r="E15" s="23"/>
      <c r="F15" s="22"/>
      <c r="G15" s="23"/>
      <c r="H15" s="23"/>
      <c r="I15" s="23"/>
      <c r="J15" s="22"/>
      <c r="K15" s="23"/>
      <c r="L15" s="23"/>
      <c r="M15" s="23"/>
      <c r="N15" s="22">
        <v>-1</v>
      </c>
      <c r="O15" s="23">
        <v>-2</v>
      </c>
      <c r="P15" s="23">
        <v>0</v>
      </c>
      <c r="Q15" s="23">
        <v>1</v>
      </c>
      <c r="R15" s="22">
        <v>-1</v>
      </c>
      <c r="S15" s="23">
        <v>1</v>
      </c>
      <c r="T15" s="52">
        <v>-2</v>
      </c>
      <c r="U15" s="52">
        <v>0</v>
      </c>
      <c r="V15" s="22">
        <v>2</v>
      </c>
      <c r="W15" s="52">
        <v>-1</v>
      </c>
      <c r="X15" s="52"/>
      <c r="Y15" s="52"/>
    </row>
    <row r="16" spans="1:25" s="8" customFormat="1" x14ac:dyDescent="0.15">
      <c r="A16" s="8" t="s">
        <v>13</v>
      </c>
      <c r="B16" s="22"/>
      <c r="C16" s="23"/>
      <c r="D16" s="23"/>
      <c r="E16" s="23"/>
      <c r="F16" s="22"/>
      <c r="G16" s="23"/>
      <c r="H16" s="23"/>
      <c r="I16" s="23"/>
      <c r="J16" s="22"/>
      <c r="K16" s="23"/>
      <c r="L16" s="23"/>
      <c r="M16" s="23"/>
      <c r="N16" s="27">
        <f t="shared" ref="N16" si="12">N14+N15</f>
        <v>-33.489999999999995</v>
      </c>
      <c r="O16" s="26">
        <f t="shared" ref="O16" si="13">O14+O15</f>
        <v>-45</v>
      </c>
      <c r="P16" s="26">
        <f t="shared" ref="P16:T16" si="14">P14+P15</f>
        <v>-29</v>
      </c>
      <c r="Q16" s="26">
        <f t="shared" si="14"/>
        <v>-23.665999999999997</v>
      </c>
      <c r="R16" s="27">
        <f t="shared" si="14"/>
        <v>-28</v>
      </c>
      <c r="S16" s="26">
        <f t="shared" si="14"/>
        <v>-31</v>
      </c>
      <c r="T16" s="26">
        <f t="shared" si="14"/>
        <v>-44.450999999999993</v>
      </c>
      <c r="U16" s="26">
        <f t="shared" ref="U16" si="15">U14+U15</f>
        <v>-48</v>
      </c>
      <c r="V16" s="27">
        <f t="shared" ref="V16:W16" si="16">V14+V15</f>
        <v>-25.867999999999995</v>
      </c>
      <c r="W16" s="26">
        <f t="shared" si="16"/>
        <v>-25.432000000000016</v>
      </c>
      <c r="X16" s="52"/>
      <c r="Y16" s="52"/>
    </row>
    <row r="17" spans="1:25" s="8" customFormat="1" x14ac:dyDescent="0.15">
      <c r="A17" s="8" t="s">
        <v>14</v>
      </c>
      <c r="B17" s="22"/>
      <c r="C17" s="23"/>
      <c r="D17" s="23"/>
      <c r="E17" s="23"/>
      <c r="F17" s="22"/>
      <c r="G17" s="23"/>
      <c r="H17" s="23"/>
      <c r="I17" s="23"/>
      <c r="J17" s="22"/>
      <c r="K17" s="23"/>
      <c r="L17" s="23"/>
      <c r="M17" s="23"/>
      <c r="N17" s="22">
        <v>1</v>
      </c>
      <c r="O17" s="23">
        <v>-2</v>
      </c>
      <c r="P17" s="23">
        <v>-1</v>
      </c>
      <c r="Q17" s="23">
        <v>0</v>
      </c>
      <c r="R17" s="22">
        <v>3</v>
      </c>
      <c r="S17" s="23">
        <v>3</v>
      </c>
      <c r="T17" s="23">
        <v>2</v>
      </c>
      <c r="U17" s="23">
        <v>2</v>
      </c>
      <c r="V17" s="22">
        <v>1</v>
      </c>
      <c r="W17" s="23">
        <v>1</v>
      </c>
      <c r="X17" s="23"/>
      <c r="Y17" s="23"/>
    </row>
    <row r="18" spans="1:25" s="47" customFormat="1" x14ac:dyDescent="0.15">
      <c r="A18" s="47" t="s">
        <v>68</v>
      </c>
      <c r="B18" s="22"/>
      <c r="C18" s="23"/>
      <c r="D18" s="23"/>
      <c r="E18" s="23"/>
      <c r="F18" s="22"/>
      <c r="G18" s="23"/>
      <c r="H18" s="23"/>
      <c r="I18" s="23"/>
      <c r="J18" s="22"/>
      <c r="K18" s="23"/>
      <c r="L18" s="23"/>
      <c r="M18" s="23"/>
      <c r="N18" s="40"/>
      <c r="O18" s="39"/>
      <c r="P18" s="39"/>
      <c r="Q18" s="39"/>
      <c r="R18" s="40"/>
      <c r="S18" s="39"/>
      <c r="T18" s="39"/>
      <c r="U18" s="39"/>
      <c r="V18" s="40"/>
      <c r="W18" s="39"/>
      <c r="X18" s="39"/>
      <c r="Y18" s="39"/>
    </row>
    <row r="19" spans="1:25" s="17" customFormat="1" x14ac:dyDescent="0.15">
      <c r="A19" s="17" t="s">
        <v>15</v>
      </c>
      <c r="B19" s="22"/>
      <c r="C19" s="23"/>
      <c r="D19" s="23"/>
      <c r="E19" s="23"/>
      <c r="F19" s="22"/>
      <c r="G19" s="23"/>
      <c r="H19" s="23"/>
      <c r="I19" s="23"/>
      <c r="J19" s="22"/>
      <c r="K19" s="23"/>
      <c r="L19" s="23"/>
      <c r="M19" s="23"/>
      <c r="N19" s="25">
        <f t="shared" ref="N19:O19" si="17">N16-N17</f>
        <v>-34.489999999999995</v>
      </c>
      <c r="O19" s="24">
        <f t="shared" si="17"/>
        <v>-43</v>
      </c>
      <c r="P19" s="24">
        <f t="shared" ref="P19:S19" si="18">P16-P17</f>
        <v>-28</v>
      </c>
      <c r="Q19" s="24">
        <f t="shared" si="18"/>
        <v>-23.665999999999997</v>
      </c>
      <c r="R19" s="25">
        <f t="shared" si="18"/>
        <v>-31</v>
      </c>
      <c r="S19" s="24">
        <f t="shared" si="18"/>
        <v>-34</v>
      </c>
      <c r="T19" s="24">
        <f t="shared" ref="T19:U19" si="19">T16-T17</f>
        <v>-46.450999999999993</v>
      </c>
      <c r="U19" s="24">
        <f t="shared" si="19"/>
        <v>-50</v>
      </c>
      <c r="V19" s="25">
        <f t="shared" ref="V19:W19" si="20">V16-V17</f>
        <v>-26.867999999999995</v>
      </c>
      <c r="W19" s="24">
        <f t="shared" si="20"/>
        <v>-26.432000000000016</v>
      </c>
      <c r="X19" s="51"/>
      <c r="Y19" s="51"/>
    </row>
    <row r="20" spans="1:25" s="4" customFormat="1" x14ac:dyDescent="0.15">
      <c r="A20" s="4" t="s">
        <v>16</v>
      </c>
      <c r="B20" s="22"/>
      <c r="C20" s="23"/>
      <c r="D20" s="23"/>
      <c r="E20" s="23"/>
      <c r="F20" s="22"/>
      <c r="G20" s="23"/>
      <c r="H20" s="23"/>
      <c r="I20" s="23"/>
      <c r="J20" s="22"/>
      <c r="K20" s="23"/>
      <c r="L20" s="23"/>
      <c r="M20" s="23"/>
      <c r="N20" s="65">
        <f t="shared" ref="N20:S20" si="21">IFERROR(N19/N21,0)</f>
        <v>0</v>
      </c>
      <c r="O20" s="64">
        <f t="shared" si="21"/>
        <v>0</v>
      </c>
      <c r="P20" s="64">
        <f t="shared" si="21"/>
        <v>0</v>
      </c>
      <c r="Q20" s="64">
        <f t="shared" si="21"/>
        <v>-0.11740451954417894</v>
      </c>
      <c r="R20" s="65">
        <f t="shared" si="21"/>
        <v>0</v>
      </c>
      <c r="S20" s="64">
        <f t="shared" si="21"/>
        <v>0</v>
      </c>
      <c r="T20" s="64">
        <f t="shared" ref="T20:U20" si="22">IFERROR(T19/T21,0)</f>
        <v>0</v>
      </c>
      <c r="U20" s="64">
        <f t="shared" si="22"/>
        <v>-0.22814357410946051</v>
      </c>
      <c r="V20" s="65">
        <f t="shared" ref="V20:W20" si="23">IFERROR(V19/V21,0)</f>
        <v>0</v>
      </c>
      <c r="W20" s="64">
        <f t="shared" si="23"/>
        <v>-0.11088795683582245</v>
      </c>
      <c r="X20" s="66"/>
      <c r="Y20" s="66"/>
    </row>
    <row r="21" spans="1:25" s="8" customFormat="1" x14ac:dyDescent="0.15">
      <c r="A21" s="8" t="s">
        <v>17</v>
      </c>
      <c r="B21" s="22"/>
      <c r="C21" s="23"/>
      <c r="D21" s="23"/>
      <c r="E21" s="23"/>
      <c r="F21" s="22"/>
      <c r="G21" s="23"/>
      <c r="H21" s="23"/>
      <c r="I21" s="23"/>
      <c r="J21" s="22"/>
      <c r="K21" s="23"/>
      <c r="L21" s="23"/>
      <c r="M21" s="23"/>
      <c r="N21" s="22"/>
      <c r="O21" s="23"/>
      <c r="P21" s="23"/>
      <c r="Q21" s="23">
        <f>96.992575+104.583992</f>
        <v>201.57656700000001</v>
      </c>
      <c r="R21" s="22"/>
      <c r="S21" s="23"/>
      <c r="T21" s="52"/>
      <c r="U21" s="52">
        <f>95.899214+123.261024</f>
        <v>219.16023799999999</v>
      </c>
      <c r="V21" s="22"/>
      <c r="W21" s="52">
        <f>102.717396+135.649337</f>
        <v>238.36673300000001</v>
      </c>
      <c r="X21" s="52"/>
      <c r="Y21" s="52"/>
    </row>
    <row r="22" spans="1:25" s="41" customFormat="1" x14ac:dyDescent="0.15">
      <c r="B22" s="22"/>
      <c r="C22" s="23"/>
      <c r="D22" s="23"/>
      <c r="E22" s="23"/>
      <c r="F22" s="22"/>
      <c r="G22" s="23"/>
      <c r="H22" s="23"/>
      <c r="I22" s="23"/>
      <c r="J22" s="22"/>
      <c r="K22" s="23"/>
      <c r="L22" s="23"/>
      <c r="M22" s="23"/>
      <c r="N22" s="58"/>
      <c r="Q22" s="39"/>
      <c r="R22" s="58"/>
      <c r="V22" s="58"/>
    </row>
    <row r="23" spans="1:25" x14ac:dyDescent="0.15">
      <c r="A23" s="6" t="s">
        <v>19</v>
      </c>
      <c r="B23" s="22"/>
      <c r="C23" s="23"/>
      <c r="D23" s="23"/>
      <c r="E23" s="23"/>
      <c r="F23" s="22"/>
      <c r="G23" s="23"/>
      <c r="H23" s="23"/>
      <c r="I23" s="23"/>
      <c r="J23" s="22"/>
      <c r="K23" s="23"/>
      <c r="L23" s="23"/>
      <c r="M23" s="23"/>
      <c r="N23" s="34">
        <f t="shared" ref="N23:Q23" si="24">IFERROR(N9/N7,0)</f>
        <v>0.79336922711771252</v>
      </c>
      <c r="O23" s="33">
        <f t="shared" si="24"/>
        <v>0.797752808988764</v>
      </c>
      <c r="P23" s="33">
        <f t="shared" si="24"/>
        <v>0.79166666666666663</v>
      </c>
      <c r="Q23" s="33">
        <f t="shared" si="24"/>
        <v>0.77012068965517244</v>
      </c>
      <c r="R23" s="34">
        <f t="shared" ref="R23:S23" si="25">IFERROR(R9/R7,0)</f>
        <v>0.7338709677419355</v>
      </c>
      <c r="S23" s="33">
        <f t="shared" si="25"/>
        <v>0.77692307692307694</v>
      </c>
      <c r="T23" s="33">
        <f t="shared" ref="T23:V23" si="26">IFERROR(T9/T7,0)</f>
        <v>0.79808396946564886</v>
      </c>
      <c r="U23" s="33">
        <f t="shared" ref="U23" si="27">IFERROR(U9/U7,0)</f>
        <v>0.81132075471698117</v>
      </c>
      <c r="V23" s="34">
        <f t="shared" si="26"/>
        <v>0.80917365269461083</v>
      </c>
      <c r="W23" s="33">
        <f t="shared" ref="W23" si="28">IFERROR(W9/W7,0)</f>
        <v>0.7814486486486486</v>
      </c>
      <c r="X23" s="33"/>
      <c r="Y23" s="33"/>
    </row>
    <row r="24" spans="1:25" x14ac:dyDescent="0.15">
      <c r="A24" s="6" t="s">
        <v>20</v>
      </c>
      <c r="B24" s="22"/>
      <c r="C24" s="23"/>
      <c r="D24" s="23"/>
      <c r="E24" s="23"/>
      <c r="F24" s="22"/>
      <c r="G24" s="23"/>
      <c r="H24" s="23"/>
      <c r="I24" s="23"/>
      <c r="J24" s="22"/>
      <c r="K24" s="23"/>
      <c r="L24" s="23"/>
      <c r="M24" s="23"/>
      <c r="N24" s="36">
        <f t="shared" ref="N24:Q24" si="29">IFERROR(N14/N7,0)</f>
        <v>-0.40586626025908473</v>
      </c>
      <c r="O24" s="35">
        <f t="shared" si="29"/>
        <v>-0.48314606741573035</v>
      </c>
      <c r="P24" s="35">
        <f t="shared" si="29"/>
        <v>-0.30208333333333331</v>
      </c>
      <c r="Q24" s="35">
        <f t="shared" si="29"/>
        <v>-0.21263793103448272</v>
      </c>
      <c r="R24" s="36">
        <f t="shared" ref="R24:S24" si="30">IFERROR(R14/R7,0)</f>
        <v>-0.21774193548387097</v>
      </c>
      <c r="S24" s="35">
        <f t="shared" si="30"/>
        <v>-0.24615384615384617</v>
      </c>
      <c r="T24" s="35">
        <f t="shared" ref="T24:V24" si="31">IFERROR(T14/T7,0)</f>
        <v>-0.32405343511450374</v>
      </c>
      <c r="U24" s="35">
        <f t="shared" ref="U24" si="32">IFERROR(U14/U7,0)</f>
        <v>-0.30188679245283018</v>
      </c>
      <c r="V24" s="36">
        <f t="shared" si="31"/>
        <v>-0.16687425149700597</v>
      </c>
      <c r="W24" s="35">
        <f t="shared" ref="W24" si="33">IFERROR(W14/W7,0)</f>
        <v>-0.13206486486486496</v>
      </c>
      <c r="X24" s="35"/>
      <c r="Y24" s="35"/>
    </row>
    <row r="25" spans="1:25" x14ac:dyDescent="0.15">
      <c r="A25" s="6" t="s">
        <v>21</v>
      </c>
      <c r="B25" s="22"/>
      <c r="C25" s="23"/>
      <c r="D25" s="23"/>
      <c r="E25" s="23"/>
      <c r="F25" s="22"/>
      <c r="G25" s="23"/>
      <c r="H25" s="23"/>
      <c r="I25" s="23"/>
      <c r="J25" s="22"/>
      <c r="K25" s="23"/>
      <c r="L25" s="23"/>
      <c r="M25" s="23"/>
      <c r="N25" s="36">
        <f t="shared" ref="N25:Q25" si="34">IFERROR(N17/N16,0)</f>
        <v>-2.9859659599880566E-2</v>
      </c>
      <c r="O25" s="35">
        <f t="shared" si="34"/>
        <v>4.4444444444444446E-2</v>
      </c>
      <c r="P25" s="35">
        <f t="shared" si="34"/>
        <v>3.4482758620689655E-2</v>
      </c>
      <c r="Q25" s="35">
        <f t="shared" si="34"/>
        <v>0</v>
      </c>
      <c r="R25" s="36">
        <f t="shared" ref="R25:S25" si="35">IFERROR(R17/R16,0)</f>
        <v>-0.10714285714285714</v>
      </c>
      <c r="S25" s="35">
        <f t="shared" si="35"/>
        <v>-9.6774193548387094E-2</v>
      </c>
      <c r="T25" s="35">
        <f t="shared" ref="T25:V25" si="36">IFERROR(T17/T16,0)</f>
        <v>-4.4993363478886869E-2</v>
      </c>
      <c r="U25" s="35">
        <f t="shared" ref="U25" si="37">IFERROR(U17/U16,0)</f>
        <v>-4.1666666666666664E-2</v>
      </c>
      <c r="V25" s="36">
        <f t="shared" si="36"/>
        <v>-3.865780114427092E-2</v>
      </c>
      <c r="W25" s="35">
        <f t="shared" ref="W25" si="38">IFERROR(W17/W16,0)</f>
        <v>-3.9320541050644829E-2</v>
      </c>
      <c r="X25" s="35"/>
      <c r="Y25" s="35"/>
    </row>
    <row r="26" spans="1:25" s="41" customFormat="1" x14ac:dyDescent="0.15">
      <c r="B26" s="22"/>
      <c r="C26" s="23"/>
      <c r="D26" s="23"/>
      <c r="E26" s="23"/>
      <c r="F26" s="22"/>
      <c r="G26" s="23"/>
      <c r="H26" s="23"/>
      <c r="I26" s="23"/>
      <c r="J26" s="22"/>
      <c r="K26" s="23"/>
      <c r="L26" s="23"/>
      <c r="M26" s="23"/>
      <c r="N26" s="58"/>
      <c r="Q26" s="39"/>
      <c r="R26" s="58"/>
      <c r="V26" s="58"/>
    </row>
    <row r="27" spans="1:25" s="12" customFormat="1" x14ac:dyDescent="0.15">
      <c r="A27" s="12" t="s">
        <v>18</v>
      </c>
      <c r="B27" s="22"/>
      <c r="C27" s="23"/>
      <c r="D27" s="23"/>
      <c r="E27" s="23"/>
      <c r="F27" s="22"/>
      <c r="G27" s="23"/>
      <c r="H27" s="23"/>
      <c r="I27" s="23"/>
      <c r="J27" s="22"/>
      <c r="K27" s="23"/>
      <c r="L27" s="23"/>
      <c r="M27" s="23"/>
      <c r="N27" s="30"/>
      <c r="O27" s="29"/>
      <c r="P27" s="29"/>
      <c r="Q27" s="29"/>
      <c r="R27" s="30">
        <f t="shared" ref="N27:W27" si="39">IFERROR((R7/N7)-1,0)</f>
        <v>0.54901250452836314</v>
      </c>
      <c r="S27" s="29">
        <f t="shared" si="39"/>
        <v>0.4606741573033708</v>
      </c>
      <c r="T27" s="29">
        <f t="shared" si="39"/>
        <v>0.36458333333333326</v>
      </c>
      <c r="U27" s="29">
        <f t="shared" si="39"/>
        <v>0.3706896551724137</v>
      </c>
      <c r="V27" s="30">
        <f t="shared" ref="V27" si="40">IFERROR((V7/R7)-1,0)</f>
        <v>0.34677419354838701</v>
      </c>
      <c r="W27" s="29">
        <f t="shared" si="39"/>
        <v>0.42307692307692313</v>
      </c>
      <c r="X27" s="29"/>
      <c r="Y27" s="29"/>
    </row>
    <row r="28" spans="1:25" s="12" customFormat="1" x14ac:dyDescent="0.15">
      <c r="A28" s="6" t="s">
        <v>42</v>
      </c>
      <c r="B28" s="22"/>
      <c r="C28" s="23"/>
      <c r="D28" s="23"/>
      <c r="E28" s="23"/>
      <c r="F28" s="22"/>
      <c r="G28" s="23"/>
      <c r="H28" s="23"/>
      <c r="I28" s="23"/>
      <c r="J28" s="22"/>
      <c r="K28" s="23"/>
      <c r="L28" s="23"/>
      <c r="M28" s="23"/>
      <c r="N28" s="32"/>
      <c r="O28" s="31"/>
      <c r="P28" s="31"/>
      <c r="Q28" s="31"/>
      <c r="R28" s="32">
        <f t="shared" ref="N28:W31" si="41">R10/N10-1</f>
        <v>0.17021276595744683</v>
      </c>
      <c r="S28" s="31">
        <f t="shared" si="41"/>
        <v>0.23076923076923084</v>
      </c>
      <c r="T28" s="31">
        <f t="shared" si="41"/>
        <v>0.20754716981132071</v>
      </c>
      <c r="U28" s="31">
        <f t="shared" si="41"/>
        <v>0.40384615384615374</v>
      </c>
      <c r="V28" s="32">
        <f t="shared" ref="V28:V30" si="42">V10/R10-1</f>
        <v>0.49090909090909096</v>
      </c>
      <c r="W28" s="31">
        <f t="shared" si="41"/>
        <v>0.328125</v>
      </c>
      <c r="X28" s="31"/>
      <c r="Y28" s="31"/>
    </row>
    <row r="29" spans="1:25" s="12" customFormat="1" x14ac:dyDescent="0.15">
      <c r="A29" s="6" t="s">
        <v>43</v>
      </c>
      <c r="B29" s="22"/>
      <c r="C29" s="23"/>
      <c r="D29" s="23"/>
      <c r="E29" s="23"/>
      <c r="F29" s="22"/>
      <c r="G29" s="23"/>
      <c r="H29" s="23"/>
      <c r="I29" s="23"/>
      <c r="J29" s="22"/>
      <c r="K29" s="23"/>
      <c r="L29" s="23"/>
      <c r="M29" s="23"/>
      <c r="N29" s="32"/>
      <c r="O29" s="31"/>
      <c r="P29" s="31"/>
      <c r="Q29" s="31"/>
      <c r="R29" s="32">
        <f t="shared" si="41"/>
        <v>0.22580645161290325</v>
      </c>
      <c r="S29" s="31">
        <f t="shared" si="41"/>
        <v>5.1282051282051322E-2</v>
      </c>
      <c r="T29" s="31">
        <f t="shared" si="41"/>
        <v>0.6206896551724137</v>
      </c>
      <c r="U29" s="31">
        <f t="shared" si="41"/>
        <v>0.39999999999999991</v>
      </c>
      <c r="V29" s="32">
        <f t="shared" si="42"/>
        <v>0.13157894736842102</v>
      </c>
      <c r="W29" s="31">
        <f t="shared" si="41"/>
        <v>7.3170731707317138E-2</v>
      </c>
      <c r="X29" s="31"/>
      <c r="Y29" s="31"/>
    </row>
    <row r="30" spans="1:25" s="12" customFormat="1" x14ac:dyDescent="0.15">
      <c r="A30" s="6" t="s">
        <v>44</v>
      </c>
      <c r="B30" s="22"/>
      <c r="C30" s="23"/>
      <c r="D30" s="23"/>
      <c r="E30" s="23"/>
      <c r="F30" s="22"/>
      <c r="G30" s="23"/>
      <c r="H30" s="23"/>
      <c r="I30" s="23"/>
      <c r="J30" s="22"/>
      <c r="K30" s="23"/>
      <c r="L30" s="23"/>
      <c r="M30" s="23"/>
      <c r="N30" s="32"/>
      <c r="O30" s="31"/>
      <c r="P30" s="31"/>
      <c r="Q30" s="31"/>
      <c r="R30" s="32">
        <f t="shared" si="41"/>
        <v>0.38888888888888884</v>
      </c>
      <c r="S30" s="31">
        <f t="shared" si="41"/>
        <v>0.21739130434782616</v>
      </c>
      <c r="T30" s="31">
        <f t="shared" si="41"/>
        <v>0.56521739130434789</v>
      </c>
      <c r="U30" s="31">
        <f t="shared" si="41"/>
        <v>1.0370370370370372</v>
      </c>
      <c r="V30" s="32">
        <f t="shared" si="42"/>
        <v>0.52</v>
      </c>
      <c r="W30" s="31">
        <f t="shared" si="41"/>
        <v>0.4285714285714286</v>
      </c>
      <c r="X30" s="31"/>
      <c r="Y30" s="31"/>
    </row>
    <row r="31" spans="1:25" x14ac:dyDescent="0.15">
      <c r="A31" s="6" t="s">
        <v>69</v>
      </c>
      <c r="B31" s="22"/>
      <c r="C31" s="23"/>
      <c r="D31" s="23"/>
      <c r="E31" s="23"/>
      <c r="F31" s="22"/>
      <c r="G31" s="23"/>
      <c r="H31" s="23"/>
      <c r="I31" s="23"/>
      <c r="J31" s="22"/>
      <c r="K31" s="23"/>
      <c r="L31" s="23"/>
      <c r="M31" s="23"/>
      <c r="N31" s="34"/>
      <c r="O31" s="33"/>
      <c r="P31" s="33"/>
      <c r="Q31" s="33"/>
      <c r="R31" s="34">
        <f>R13/N13-1</f>
        <v>0.22916666666666674</v>
      </c>
      <c r="S31" s="33">
        <f t="shared" si="41"/>
        <v>0.16666666666666674</v>
      </c>
      <c r="T31" s="33">
        <f t="shared" si="41"/>
        <v>0.39999999999999991</v>
      </c>
      <c r="U31" s="33">
        <f t="shared" si="41"/>
        <v>0.55263157894736836</v>
      </c>
      <c r="V31" s="34">
        <f>V13/R13-1</f>
        <v>0.38135593220338992</v>
      </c>
      <c r="W31" s="33">
        <f t="shared" si="41"/>
        <v>0.27067669172932329</v>
      </c>
      <c r="X31" s="33"/>
      <c r="Y31" s="33"/>
    </row>
    <row r="32" spans="1:25" x14ac:dyDescent="0.15">
      <c r="B32" s="22"/>
      <c r="C32" s="23"/>
      <c r="D32" s="23"/>
      <c r="E32" s="23"/>
      <c r="F32" s="22"/>
      <c r="G32" s="23"/>
      <c r="H32" s="23"/>
      <c r="I32" s="23"/>
      <c r="J32" s="22"/>
      <c r="K32" s="23"/>
      <c r="L32" s="23"/>
      <c r="M32" s="23"/>
      <c r="N32" s="45"/>
      <c r="O32" s="44"/>
      <c r="P32" s="44"/>
      <c r="Q32" s="44"/>
      <c r="S32" s="44"/>
    </row>
    <row r="33" spans="1:25" s="17" customFormat="1" x14ac:dyDescent="0.15">
      <c r="A33" s="17" t="s">
        <v>26</v>
      </c>
      <c r="B33" s="22"/>
      <c r="C33" s="23"/>
      <c r="D33" s="23"/>
      <c r="E33" s="23"/>
      <c r="F33" s="22"/>
      <c r="G33" s="23"/>
      <c r="H33" s="23"/>
      <c r="I33" s="23"/>
      <c r="J33" s="22"/>
      <c r="K33" s="23"/>
      <c r="L33" s="23"/>
      <c r="M33" s="23"/>
      <c r="N33" s="25">
        <f t="shared" ref="N33:P33" si="43">N34-N35</f>
        <v>0</v>
      </c>
      <c r="O33" s="24">
        <f t="shared" si="43"/>
        <v>0</v>
      </c>
      <c r="P33" s="24">
        <f t="shared" si="43"/>
        <v>0</v>
      </c>
      <c r="Q33" s="24">
        <f t="shared" ref="Q33:S33" si="44">Q34-Q35</f>
        <v>259</v>
      </c>
      <c r="R33" s="25">
        <f t="shared" si="44"/>
        <v>0</v>
      </c>
      <c r="S33" s="24">
        <f t="shared" si="44"/>
        <v>0</v>
      </c>
      <c r="T33" s="24">
        <f t="shared" ref="T33" si="45">T34-T35</f>
        <v>0</v>
      </c>
      <c r="U33" s="24">
        <f t="shared" ref="U33" si="46">U34-U35</f>
        <v>130</v>
      </c>
      <c r="V33" s="25">
        <f t="shared" ref="V33:W33" si="47">V34-V35</f>
        <v>0</v>
      </c>
      <c r="W33" s="24">
        <f t="shared" si="47"/>
        <v>329</v>
      </c>
      <c r="X33" s="46"/>
      <c r="Y33" s="46"/>
    </row>
    <row r="34" spans="1:25" s="8" customFormat="1" x14ac:dyDescent="0.15">
      <c r="A34" s="8" t="s">
        <v>27</v>
      </c>
      <c r="B34" s="22"/>
      <c r="C34" s="23"/>
      <c r="D34" s="23"/>
      <c r="E34" s="23"/>
      <c r="F34" s="22"/>
      <c r="G34" s="23"/>
      <c r="H34" s="23"/>
      <c r="I34" s="23"/>
      <c r="J34" s="22"/>
      <c r="K34" s="23"/>
      <c r="L34" s="23"/>
      <c r="M34" s="23"/>
      <c r="N34" s="22"/>
      <c r="O34" s="23"/>
      <c r="P34" s="23"/>
      <c r="Q34" s="23">
        <v>259</v>
      </c>
      <c r="R34" s="22"/>
      <c r="S34" s="23"/>
      <c r="T34" s="23"/>
      <c r="U34" s="23">
        <v>130</v>
      </c>
      <c r="V34" s="22"/>
      <c r="W34" s="23">
        <v>453</v>
      </c>
      <c r="X34" s="23"/>
      <c r="Y34" s="23"/>
    </row>
    <row r="35" spans="1:25" s="8" customFormat="1" x14ac:dyDescent="0.15">
      <c r="A35" s="8" t="s">
        <v>28</v>
      </c>
      <c r="B35" s="22"/>
      <c r="C35" s="23"/>
      <c r="D35" s="23"/>
      <c r="E35" s="23"/>
      <c r="F35" s="22"/>
      <c r="G35" s="23"/>
      <c r="H35" s="23"/>
      <c r="I35" s="23"/>
      <c r="J35" s="22"/>
      <c r="K35" s="23"/>
      <c r="L35" s="23"/>
      <c r="M35" s="23"/>
      <c r="N35" s="22"/>
      <c r="O35" s="23"/>
      <c r="P35" s="23"/>
      <c r="Q35" s="23">
        <v>0</v>
      </c>
      <c r="R35" s="22"/>
      <c r="S35" s="23"/>
      <c r="T35" s="23"/>
      <c r="U35" s="23">
        <v>0</v>
      </c>
      <c r="V35" s="22"/>
      <c r="W35" s="23">
        <v>124</v>
      </c>
      <c r="X35" s="23"/>
      <c r="Y35" s="23"/>
    </row>
    <row r="36" spans="1:25" s="8" customFormat="1" x14ac:dyDescent="0.15">
      <c r="B36" s="22"/>
      <c r="C36" s="23"/>
      <c r="D36" s="23"/>
      <c r="E36" s="23"/>
      <c r="F36" s="22"/>
      <c r="G36" s="23"/>
      <c r="H36" s="23"/>
      <c r="I36" s="23"/>
      <c r="J36" s="22"/>
      <c r="K36" s="23"/>
      <c r="L36" s="23"/>
      <c r="M36" s="23"/>
      <c r="N36" s="22"/>
      <c r="O36" s="23"/>
      <c r="P36" s="23"/>
      <c r="Q36" s="23"/>
      <c r="R36" s="22"/>
      <c r="S36" s="23"/>
      <c r="T36" s="23"/>
      <c r="U36" s="23"/>
      <c r="V36" s="22"/>
      <c r="W36" s="23"/>
      <c r="X36" s="23"/>
      <c r="Y36" s="23"/>
    </row>
    <row r="37" spans="1:25" s="8" customFormat="1" x14ac:dyDescent="0.15">
      <c r="A37" s="67" t="s">
        <v>56</v>
      </c>
      <c r="B37" s="22"/>
      <c r="C37" s="23"/>
      <c r="D37" s="23"/>
      <c r="E37" s="23"/>
      <c r="F37" s="22"/>
      <c r="G37" s="23"/>
      <c r="H37" s="23"/>
      <c r="I37" s="23"/>
      <c r="J37" s="22"/>
      <c r="K37" s="23"/>
      <c r="L37" s="23"/>
      <c r="M37" s="23"/>
      <c r="N37" s="22"/>
      <c r="O37" s="23"/>
      <c r="P37" s="23"/>
      <c r="Q37" s="23">
        <f>45+9</f>
        <v>54</v>
      </c>
      <c r="R37" s="22"/>
      <c r="S37" s="23"/>
      <c r="T37" s="23"/>
      <c r="U37" s="23">
        <f>218+62</f>
        <v>280</v>
      </c>
      <c r="V37" s="22"/>
      <c r="W37" s="23">
        <f>263+58</f>
        <v>321</v>
      </c>
      <c r="X37" s="23"/>
      <c r="Y37" s="23"/>
    </row>
    <row r="38" spans="1:25" s="8" customFormat="1" x14ac:dyDescent="0.15">
      <c r="A38" s="67" t="s">
        <v>57</v>
      </c>
      <c r="B38" s="22"/>
      <c r="C38" s="23"/>
      <c r="D38" s="23"/>
      <c r="E38" s="23"/>
      <c r="F38" s="22"/>
      <c r="G38" s="23"/>
      <c r="H38" s="23"/>
      <c r="I38" s="23"/>
      <c r="J38" s="22"/>
      <c r="K38" s="23"/>
      <c r="L38" s="23"/>
      <c r="M38" s="23"/>
      <c r="N38" s="22"/>
      <c r="O38" s="23"/>
      <c r="P38" s="23"/>
      <c r="Q38" s="23">
        <v>589</v>
      </c>
      <c r="R38" s="22"/>
      <c r="S38" s="23"/>
      <c r="T38" s="23"/>
      <c r="U38" s="23">
        <v>763</v>
      </c>
      <c r="V38" s="22"/>
      <c r="W38" s="23">
        <v>1289</v>
      </c>
      <c r="X38" s="23"/>
      <c r="Y38" s="23"/>
    </row>
    <row r="39" spans="1:25" s="8" customFormat="1" x14ac:dyDescent="0.15">
      <c r="A39" s="67" t="s">
        <v>58</v>
      </c>
      <c r="B39" s="22"/>
      <c r="C39" s="23"/>
      <c r="D39" s="23"/>
      <c r="E39" s="23"/>
      <c r="F39" s="22"/>
      <c r="G39" s="23"/>
      <c r="H39" s="23"/>
      <c r="I39" s="23"/>
      <c r="J39" s="22"/>
      <c r="K39" s="23"/>
      <c r="L39" s="23"/>
      <c r="M39" s="23"/>
      <c r="N39" s="22"/>
      <c r="O39" s="23"/>
      <c r="P39" s="23"/>
      <c r="Q39" s="23">
        <v>273</v>
      </c>
      <c r="R39" s="22"/>
      <c r="S39" s="23"/>
      <c r="T39" s="23"/>
      <c r="U39" s="23">
        <v>369</v>
      </c>
      <c r="V39" s="22"/>
      <c r="W39" s="23">
        <v>642</v>
      </c>
      <c r="X39" s="23"/>
      <c r="Y39" s="23"/>
    </row>
    <row r="40" spans="1:25" s="8" customFormat="1" x14ac:dyDescent="0.15">
      <c r="B40" s="22"/>
      <c r="C40" s="23"/>
      <c r="D40" s="23"/>
      <c r="E40" s="23"/>
      <c r="F40" s="22"/>
      <c r="G40" s="23"/>
      <c r="H40" s="23"/>
      <c r="I40" s="23"/>
      <c r="J40" s="22"/>
      <c r="K40" s="23"/>
      <c r="L40" s="23"/>
      <c r="M40" s="23"/>
      <c r="N40" s="22"/>
      <c r="O40" s="23"/>
      <c r="P40" s="23"/>
      <c r="Q40" s="23"/>
      <c r="R40" s="22"/>
      <c r="S40" s="23"/>
      <c r="T40" s="23"/>
      <c r="U40" s="23"/>
      <c r="V40" s="22"/>
      <c r="W40" s="23"/>
      <c r="X40" s="23"/>
      <c r="Y40" s="23"/>
    </row>
    <row r="41" spans="1:25" s="8" customFormat="1" x14ac:dyDescent="0.15">
      <c r="A41" s="67" t="s">
        <v>59</v>
      </c>
      <c r="B41" s="22"/>
      <c r="C41" s="23"/>
      <c r="D41" s="23"/>
      <c r="E41" s="23"/>
      <c r="F41" s="22"/>
      <c r="G41" s="23"/>
      <c r="H41" s="23"/>
      <c r="I41" s="23"/>
      <c r="J41" s="22"/>
      <c r="K41" s="23"/>
      <c r="L41" s="23"/>
      <c r="M41" s="23"/>
      <c r="N41" s="27">
        <f t="shared" ref="N41:O41" si="48">N38-N34-N37</f>
        <v>0</v>
      </c>
      <c r="O41" s="26">
        <f t="shared" si="48"/>
        <v>0</v>
      </c>
      <c r="P41" s="26">
        <f t="shared" ref="P41:V41" si="49">P38-P34-P37</f>
        <v>0</v>
      </c>
      <c r="Q41" s="26">
        <f t="shared" si="49"/>
        <v>276</v>
      </c>
      <c r="R41" s="27">
        <f t="shared" si="49"/>
        <v>0</v>
      </c>
      <c r="S41" s="26">
        <f t="shared" si="49"/>
        <v>0</v>
      </c>
      <c r="T41" s="26">
        <f t="shared" si="49"/>
        <v>0</v>
      </c>
      <c r="U41" s="26">
        <f t="shared" si="49"/>
        <v>353</v>
      </c>
      <c r="V41" s="27">
        <f t="shared" si="49"/>
        <v>0</v>
      </c>
      <c r="W41" s="26">
        <f t="shared" ref="W41" si="50">W38-W34-W37</f>
        <v>515</v>
      </c>
      <c r="X41" s="23"/>
      <c r="Y41" s="23"/>
    </row>
    <row r="42" spans="1:25" s="8" customFormat="1" x14ac:dyDescent="0.15">
      <c r="A42" s="67" t="s">
        <v>60</v>
      </c>
      <c r="B42" s="22"/>
      <c r="C42" s="23"/>
      <c r="D42" s="23"/>
      <c r="E42" s="23"/>
      <c r="F42" s="22"/>
      <c r="G42" s="23"/>
      <c r="H42" s="23"/>
      <c r="I42" s="23"/>
      <c r="J42" s="22"/>
      <c r="K42" s="23"/>
      <c r="L42" s="23"/>
      <c r="M42" s="23"/>
      <c r="N42" s="27">
        <f t="shared" ref="N42:P42" si="51">N38-N39</f>
        <v>0</v>
      </c>
      <c r="O42" s="26">
        <f t="shared" si="51"/>
        <v>0</v>
      </c>
      <c r="P42" s="26">
        <f t="shared" si="51"/>
        <v>0</v>
      </c>
      <c r="Q42" s="26">
        <f t="shared" ref="Q42:S42" si="52">Q38-Q39</f>
        <v>316</v>
      </c>
      <c r="R42" s="27">
        <f t="shared" si="52"/>
        <v>0</v>
      </c>
      <c r="S42" s="26">
        <f t="shared" si="52"/>
        <v>0</v>
      </c>
      <c r="T42" s="26">
        <f>T38-T39</f>
        <v>0</v>
      </c>
      <c r="U42" s="26">
        <f>U38-U39</f>
        <v>394</v>
      </c>
      <c r="V42" s="27">
        <f t="shared" ref="V42" si="53">V38-V39</f>
        <v>0</v>
      </c>
      <c r="W42" s="26">
        <f>W38-W39</f>
        <v>647</v>
      </c>
      <c r="X42" s="23"/>
      <c r="Y42" s="23"/>
    </row>
    <row r="43" spans="1:25" s="8" customFormat="1" x14ac:dyDescent="0.15">
      <c r="B43" s="22"/>
      <c r="C43" s="23"/>
      <c r="D43" s="23"/>
      <c r="E43" s="23"/>
      <c r="F43" s="22"/>
      <c r="G43" s="23"/>
      <c r="H43" s="23"/>
      <c r="I43" s="23"/>
      <c r="J43" s="22"/>
      <c r="K43" s="23"/>
      <c r="L43" s="23"/>
      <c r="M43" s="23"/>
      <c r="N43" s="22"/>
      <c r="O43" s="23"/>
      <c r="P43" s="23"/>
      <c r="Q43" s="23"/>
      <c r="R43" s="22"/>
      <c r="S43" s="23"/>
      <c r="T43" s="23"/>
      <c r="U43" s="23"/>
      <c r="V43" s="22"/>
      <c r="W43" s="23"/>
      <c r="X43" s="23"/>
      <c r="Y43" s="23"/>
    </row>
    <row r="44" spans="1:25" s="17" customFormat="1" x14ac:dyDescent="0.15">
      <c r="A44" s="68" t="s">
        <v>61</v>
      </c>
      <c r="B44" s="22"/>
      <c r="C44" s="23"/>
      <c r="D44" s="23"/>
      <c r="E44" s="23"/>
      <c r="F44" s="22"/>
      <c r="G44" s="23"/>
      <c r="H44" s="23"/>
      <c r="I44" s="23"/>
      <c r="J44" s="22"/>
      <c r="K44" s="23"/>
      <c r="L44" s="23"/>
      <c r="M44" s="23"/>
      <c r="N44" s="25">
        <f t="shared" ref="N44:U44" si="54">SUM(K19:N19)</f>
        <v>-34.489999999999995</v>
      </c>
      <c r="O44" s="24">
        <f t="shared" si="54"/>
        <v>-77.489999999999995</v>
      </c>
      <c r="P44" s="24">
        <f t="shared" si="54"/>
        <v>-105.49</v>
      </c>
      <c r="Q44" s="24">
        <f t="shared" si="54"/>
        <v>-129.15600000000001</v>
      </c>
      <c r="R44" s="25">
        <f t="shared" si="54"/>
        <v>-125.666</v>
      </c>
      <c r="S44" s="24">
        <f t="shared" si="54"/>
        <v>-116.666</v>
      </c>
      <c r="T44" s="24">
        <f t="shared" si="54"/>
        <v>-135.11699999999999</v>
      </c>
      <c r="U44" s="24">
        <f t="shared" si="54"/>
        <v>-161.45099999999999</v>
      </c>
      <c r="V44" s="25">
        <f t="shared" ref="V44" si="55">SUM(S19:V19)</f>
        <v>-157.31899999999999</v>
      </c>
      <c r="W44" s="24">
        <f>SUM(T19:W19)</f>
        <v>-149.751</v>
      </c>
      <c r="X44" s="46"/>
      <c r="Y44" s="46"/>
    </row>
    <row r="45" spans="1:25" x14ac:dyDescent="0.15">
      <c r="A45" s="18" t="s">
        <v>62</v>
      </c>
      <c r="B45" s="22"/>
      <c r="C45" s="23"/>
      <c r="D45" s="23"/>
      <c r="E45" s="23"/>
      <c r="F45" s="22"/>
      <c r="G45" s="23"/>
      <c r="H45" s="23"/>
      <c r="I45" s="23"/>
      <c r="J45" s="22"/>
      <c r="K45" s="23"/>
      <c r="L45" s="23"/>
      <c r="M45" s="23"/>
      <c r="N45" s="34" t="e">
        <f t="shared" ref="N45:O45" si="56">N44/N42</f>
        <v>#DIV/0!</v>
      </c>
      <c r="O45" s="33" t="e">
        <f t="shared" si="56"/>
        <v>#DIV/0!</v>
      </c>
      <c r="P45" s="33" t="e">
        <f t="shared" ref="P45:V45" si="57">P44/P42</f>
        <v>#DIV/0!</v>
      </c>
      <c r="Q45" s="33">
        <f t="shared" si="57"/>
        <v>-0.40872151898734177</v>
      </c>
      <c r="R45" s="34" t="e">
        <f t="shared" si="57"/>
        <v>#DIV/0!</v>
      </c>
      <c r="S45" s="33" t="e">
        <f t="shared" si="57"/>
        <v>#DIV/0!</v>
      </c>
      <c r="T45" s="33" t="e">
        <f t="shared" si="57"/>
        <v>#DIV/0!</v>
      </c>
      <c r="U45" s="33">
        <f t="shared" si="57"/>
        <v>-0.4097741116751269</v>
      </c>
      <c r="V45" s="34" t="e">
        <f t="shared" si="57"/>
        <v>#DIV/0!</v>
      </c>
      <c r="W45" s="33">
        <f t="shared" ref="W45" si="58">W44/W42</f>
        <v>-0.23145440494590419</v>
      </c>
    </row>
    <row r="46" spans="1:25" x14ac:dyDescent="0.15">
      <c r="A46" s="18" t="s">
        <v>63</v>
      </c>
      <c r="B46" s="22"/>
      <c r="C46" s="23"/>
      <c r="D46" s="23"/>
      <c r="E46" s="23"/>
      <c r="F46" s="22"/>
      <c r="G46" s="23"/>
      <c r="H46" s="23"/>
      <c r="I46" s="23"/>
      <c r="J46" s="22"/>
      <c r="K46" s="23"/>
      <c r="L46" s="23"/>
      <c r="M46" s="23"/>
      <c r="N46" s="34" t="e">
        <f t="shared" ref="N46:O46" si="59">N44/N38</f>
        <v>#DIV/0!</v>
      </c>
      <c r="O46" s="33" t="e">
        <f t="shared" si="59"/>
        <v>#DIV/0!</v>
      </c>
      <c r="P46" s="33" t="e">
        <f t="shared" ref="P46:V46" si="60">P44/P38</f>
        <v>#DIV/0!</v>
      </c>
      <c r="Q46" s="33">
        <f t="shared" si="60"/>
        <v>-0.21928013582342956</v>
      </c>
      <c r="R46" s="34" t="e">
        <f t="shared" si="60"/>
        <v>#DIV/0!</v>
      </c>
      <c r="S46" s="33" t="e">
        <f t="shared" si="60"/>
        <v>#DIV/0!</v>
      </c>
      <c r="T46" s="33" t="e">
        <f t="shared" si="60"/>
        <v>#DIV/0!</v>
      </c>
      <c r="U46" s="33">
        <f t="shared" si="60"/>
        <v>-0.21160026212319791</v>
      </c>
      <c r="V46" s="34" t="e">
        <f t="shared" si="60"/>
        <v>#DIV/0!</v>
      </c>
      <c r="W46" s="33">
        <f t="shared" ref="W46" si="61">W44/W38</f>
        <v>-0.11617610550814585</v>
      </c>
    </row>
    <row r="47" spans="1:25" x14ac:dyDescent="0.15">
      <c r="A47" s="18" t="s">
        <v>64</v>
      </c>
      <c r="B47" s="22"/>
      <c r="C47" s="23"/>
      <c r="D47" s="23"/>
      <c r="E47" s="23"/>
      <c r="F47" s="22"/>
      <c r="G47" s="23"/>
      <c r="H47" s="23"/>
      <c r="I47" s="23"/>
      <c r="J47" s="22"/>
      <c r="K47" s="23"/>
      <c r="L47" s="23"/>
      <c r="M47" s="23"/>
      <c r="N47" s="34" t="e">
        <f t="shared" ref="N47:O47" si="62">N44/(N42-N37)</f>
        <v>#DIV/0!</v>
      </c>
      <c r="O47" s="33" t="e">
        <f t="shared" si="62"/>
        <v>#DIV/0!</v>
      </c>
      <c r="P47" s="33" t="e">
        <f t="shared" ref="P47:V47" si="63">P44/(P42-P37)</f>
        <v>#DIV/0!</v>
      </c>
      <c r="Q47" s="33">
        <f t="shared" si="63"/>
        <v>-0.49296183206106875</v>
      </c>
      <c r="R47" s="34" t="e">
        <f t="shared" si="63"/>
        <v>#DIV/0!</v>
      </c>
      <c r="S47" s="33" t="e">
        <f t="shared" si="63"/>
        <v>#DIV/0!</v>
      </c>
      <c r="T47" s="33" t="e">
        <f t="shared" si="63"/>
        <v>#DIV/0!</v>
      </c>
      <c r="U47" s="33">
        <f t="shared" si="63"/>
        <v>-1.4162368421052631</v>
      </c>
      <c r="V47" s="34" t="e">
        <f t="shared" si="63"/>
        <v>#DIV/0!</v>
      </c>
      <c r="W47" s="33">
        <f t="shared" ref="W47" si="64">W44/(W42-W37)</f>
        <v>-0.45935889570552146</v>
      </c>
    </row>
    <row r="48" spans="1:25" x14ac:dyDescent="0.15">
      <c r="A48" s="18" t="s">
        <v>65</v>
      </c>
      <c r="B48" s="22"/>
      <c r="C48" s="23"/>
      <c r="D48" s="23"/>
      <c r="E48" s="23"/>
      <c r="F48" s="22"/>
      <c r="G48" s="23"/>
      <c r="H48" s="23"/>
      <c r="I48" s="23"/>
      <c r="J48" s="22"/>
      <c r="K48" s="23"/>
      <c r="L48" s="23"/>
      <c r="M48" s="23"/>
      <c r="N48" s="34" t="e">
        <f t="shared" ref="N48:O48" si="65">N44/N41</f>
        <v>#DIV/0!</v>
      </c>
      <c r="O48" s="33" t="e">
        <f t="shared" si="65"/>
        <v>#DIV/0!</v>
      </c>
      <c r="P48" s="33" t="e">
        <f t="shared" ref="P48:V48" si="66">P44/P41</f>
        <v>#DIV/0!</v>
      </c>
      <c r="Q48" s="33">
        <f t="shared" si="66"/>
        <v>-0.46795652173913044</v>
      </c>
      <c r="R48" s="34" t="e">
        <f t="shared" si="66"/>
        <v>#DIV/0!</v>
      </c>
      <c r="S48" s="33" t="e">
        <f t="shared" si="66"/>
        <v>#DIV/0!</v>
      </c>
      <c r="T48" s="33" t="e">
        <f t="shared" si="66"/>
        <v>#DIV/0!</v>
      </c>
      <c r="U48" s="33">
        <f t="shared" si="66"/>
        <v>-0.45736827195467422</v>
      </c>
      <c r="V48" s="34" t="e">
        <f t="shared" si="66"/>
        <v>#DIV/0!</v>
      </c>
      <c r="W48" s="33">
        <f t="shared" ref="W48" si="67">W44/W41</f>
        <v>-0.29077864077669902</v>
      </c>
    </row>
    <row r="49" spans="1:25" x14ac:dyDescent="0.15">
      <c r="B49" s="22"/>
      <c r="C49" s="23"/>
      <c r="D49" s="23"/>
      <c r="E49" s="23"/>
      <c r="F49" s="22"/>
      <c r="G49" s="23"/>
      <c r="H49" s="23"/>
      <c r="I49" s="23"/>
      <c r="J49" s="22"/>
      <c r="K49" s="23"/>
      <c r="L49" s="23"/>
      <c r="M49" s="23"/>
    </row>
    <row r="50" spans="1:25" x14ac:dyDescent="0.15">
      <c r="A50" s="8" t="s">
        <v>127</v>
      </c>
      <c r="B50" s="22"/>
      <c r="C50" s="23"/>
      <c r="D50" s="23"/>
      <c r="E50" s="23"/>
      <c r="F50" s="22"/>
      <c r="G50" s="23"/>
      <c r="H50" s="23"/>
      <c r="I50" s="23"/>
      <c r="J50" s="22"/>
      <c r="K50" s="23"/>
      <c r="L50" s="23"/>
      <c r="M50" s="23"/>
      <c r="R50" s="34">
        <f>R3/N3-1</f>
        <v>0.47905962945664027</v>
      </c>
      <c r="S50" s="33">
        <f>S3/O3-1</f>
        <v>0.33333333333333326</v>
      </c>
      <c r="T50" s="33">
        <f>T3/P3-1</f>
        <v>0.26470588235294112</v>
      </c>
      <c r="U50" s="33">
        <f>U3/Q3-1</f>
        <v>0.33333333333333326</v>
      </c>
      <c r="V50" s="34">
        <f>V3/R3-1</f>
        <v>0.23684210526315796</v>
      </c>
      <c r="W50" s="33">
        <f>W3/S3-1</f>
        <v>0.375</v>
      </c>
    </row>
    <row r="51" spans="1:25" x14ac:dyDescent="0.15">
      <c r="A51" s="8" t="s">
        <v>128</v>
      </c>
      <c r="B51" s="22"/>
      <c r="C51" s="23"/>
      <c r="D51" s="23"/>
      <c r="E51" s="23"/>
      <c r="F51" s="22"/>
      <c r="G51" s="23"/>
      <c r="H51" s="23"/>
      <c r="I51" s="23"/>
      <c r="J51" s="22"/>
      <c r="K51" s="23"/>
      <c r="L51" s="23"/>
      <c r="M51" s="23"/>
      <c r="R51" s="34">
        <f>R4/N4-1</f>
        <v>0.67133657769257238</v>
      </c>
      <c r="S51" s="33">
        <f>S4/O4-1</f>
        <v>0.56818181818181812</v>
      </c>
      <c r="T51" s="33">
        <f>T4/P4-1</f>
        <v>0.59090909090909083</v>
      </c>
      <c r="U51" s="33">
        <f>U4/Q4-1</f>
        <v>0.5535714285714286</v>
      </c>
      <c r="V51" s="34">
        <f>V4/R4-1</f>
        <v>0.52941176470588225</v>
      </c>
      <c r="W51" s="33">
        <f>W4/S4-1</f>
        <v>0.6376811594202898</v>
      </c>
    </row>
    <row r="52" spans="1:25" x14ac:dyDescent="0.15">
      <c r="A52" s="8" t="s">
        <v>129</v>
      </c>
      <c r="B52" s="22"/>
      <c r="C52" s="23"/>
      <c r="D52" s="23"/>
      <c r="E52" s="23"/>
      <c r="F52" s="22"/>
      <c r="G52" s="23"/>
      <c r="H52" s="23"/>
      <c r="I52" s="23"/>
      <c r="J52" s="22"/>
      <c r="K52" s="23"/>
      <c r="L52" s="23"/>
      <c r="M52" s="23"/>
      <c r="N52" s="34"/>
      <c r="O52" s="33"/>
      <c r="P52" s="33"/>
      <c r="Q52" s="33"/>
      <c r="R52" s="34">
        <f>R5/N5-1</f>
        <v>0.31646310246471154</v>
      </c>
      <c r="S52" s="33">
        <f>S5/O5-1</f>
        <v>0.39999999999999991</v>
      </c>
      <c r="T52" s="33">
        <f>T5/P5-1</f>
        <v>0</v>
      </c>
      <c r="U52" s="33">
        <f>U5/Q5-1</f>
        <v>0</v>
      </c>
      <c r="V52" s="34">
        <f>V5/R5-1</f>
        <v>-0.11111111111111116</v>
      </c>
      <c r="W52" s="33">
        <f>W5/S5-1</f>
        <v>-0.19047619047619047</v>
      </c>
      <c r="X52" s="33"/>
      <c r="Y52" s="33"/>
    </row>
    <row r="54" spans="1:25" x14ac:dyDescent="0.15">
      <c r="A54" s="6" t="s">
        <v>122</v>
      </c>
      <c r="N54" s="21">
        <v>389</v>
      </c>
      <c r="O54" s="20">
        <v>414</v>
      </c>
      <c r="P54" s="20">
        <v>442</v>
      </c>
      <c r="Q54" s="20">
        <v>484</v>
      </c>
      <c r="R54" s="21">
        <v>506</v>
      </c>
      <c r="S54" s="20">
        <v>515</v>
      </c>
      <c r="T54" s="20">
        <v>553</v>
      </c>
      <c r="U54" s="20">
        <v>600</v>
      </c>
      <c r="V54" s="21">
        <v>668</v>
      </c>
      <c r="W54" s="20">
        <v>716</v>
      </c>
    </row>
    <row r="55" spans="1:25" x14ac:dyDescent="0.15">
      <c r="A55" s="6" t="s">
        <v>123</v>
      </c>
      <c r="R55" s="34">
        <f>R54/N54-1</f>
        <v>0.30077120822622105</v>
      </c>
      <c r="S55" s="33">
        <f>S54/N54-1</f>
        <v>0.32390745501285356</v>
      </c>
      <c r="T55" s="33">
        <f>T54/O54-1</f>
        <v>0.33574879227053134</v>
      </c>
      <c r="U55" s="33">
        <f>U54/P54-1</f>
        <v>0.35746606334841635</v>
      </c>
      <c r="V55" s="34">
        <f>V54/Q54-1</f>
        <v>0.38016528925619841</v>
      </c>
      <c r="W55" s="33">
        <f>W54/R54-1</f>
        <v>0.41501976284584985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51"/>
  <sheetViews>
    <sheetView workbookViewId="0">
      <selection activeCell="C52" sqref="C52"/>
    </sheetView>
  </sheetViews>
  <sheetFormatPr baseColWidth="10" defaultRowHeight="13" x14ac:dyDescent="0.15"/>
  <cols>
    <col min="1" max="1" width="10.83203125" style="3"/>
    <col min="2" max="2" width="19.1640625" style="3" customWidth="1"/>
    <col min="3" max="3" width="59.83203125" style="3" bestFit="1" customWidth="1"/>
    <col min="4" max="16384" width="10.83203125" style="3"/>
  </cols>
  <sheetData>
    <row r="4" spans="2:3" x14ac:dyDescent="0.15">
      <c r="B4" s="2" t="s">
        <v>105</v>
      </c>
    </row>
    <row r="6" spans="2:3" x14ac:dyDescent="0.15">
      <c r="B6" s="3" t="s">
        <v>98</v>
      </c>
      <c r="C6" s="3" t="s">
        <v>99</v>
      </c>
    </row>
    <row r="7" spans="2:3" x14ac:dyDescent="0.15">
      <c r="B7" s="3" t="s">
        <v>100</v>
      </c>
      <c r="C7" s="3" t="s">
        <v>101</v>
      </c>
    </row>
    <row r="8" spans="2:3" x14ac:dyDescent="0.15">
      <c r="B8" s="3" t="s">
        <v>102</v>
      </c>
      <c r="C8" s="3" t="s">
        <v>103</v>
      </c>
    </row>
    <row r="9" spans="2:3" x14ac:dyDescent="0.15">
      <c r="B9" s="3" t="s">
        <v>104</v>
      </c>
      <c r="C9" s="3" t="s">
        <v>106</v>
      </c>
    </row>
    <row r="10" spans="2:3" x14ac:dyDescent="0.15">
      <c r="B10" s="3" t="s">
        <v>110</v>
      </c>
      <c r="C10" s="3" t="s">
        <v>111</v>
      </c>
    </row>
    <row r="11" spans="2:3" x14ac:dyDescent="0.15">
      <c r="B11" s="3" t="s">
        <v>112</v>
      </c>
      <c r="C11" s="3" t="s">
        <v>113</v>
      </c>
    </row>
    <row r="12" spans="2:3" x14ac:dyDescent="0.15">
      <c r="B12" s="3" t="s">
        <v>120</v>
      </c>
      <c r="C12" s="3" t="s">
        <v>121</v>
      </c>
    </row>
    <row r="15" spans="2:3" x14ac:dyDescent="0.15">
      <c r="B15" s="74" t="s">
        <v>124</v>
      </c>
      <c r="C15" s="75"/>
    </row>
    <row r="17" spans="2:3" x14ac:dyDescent="0.15">
      <c r="B17" s="3" t="s">
        <v>88</v>
      </c>
      <c r="C17" s="3" t="s">
        <v>89</v>
      </c>
    </row>
    <row r="18" spans="2:3" x14ac:dyDescent="0.15">
      <c r="B18" s="3" t="s">
        <v>92</v>
      </c>
      <c r="C18" s="3" t="s">
        <v>90</v>
      </c>
    </row>
    <row r="19" spans="2:3" x14ac:dyDescent="0.15">
      <c r="B19" s="3" t="s">
        <v>91</v>
      </c>
      <c r="C19" s="3" t="s">
        <v>93</v>
      </c>
    </row>
    <row r="20" spans="2:3" x14ac:dyDescent="0.15">
      <c r="B20" s="3" t="s">
        <v>94</v>
      </c>
      <c r="C20" s="3" t="s">
        <v>95</v>
      </c>
    </row>
    <row r="21" spans="2:3" x14ac:dyDescent="0.15">
      <c r="B21" s="3" t="s">
        <v>130</v>
      </c>
      <c r="C21" s="3" t="s">
        <v>131</v>
      </c>
    </row>
    <row r="22" spans="2:3" x14ac:dyDescent="0.15">
      <c r="B22" s="3" t="s">
        <v>132</v>
      </c>
      <c r="C22" s="3" t="s">
        <v>133</v>
      </c>
    </row>
    <row r="25" spans="2:3" x14ac:dyDescent="0.15">
      <c r="B25" s="74" t="s">
        <v>125</v>
      </c>
      <c r="C25" s="75"/>
    </row>
    <row r="27" spans="2:3" x14ac:dyDescent="0.15">
      <c r="B27" s="3" t="s">
        <v>116</v>
      </c>
      <c r="C27" s="3" t="s">
        <v>117</v>
      </c>
    </row>
    <row r="28" spans="2:3" x14ac:dyDescent="0.15">
      <c r="B28" s="3" t="s">
        <v>118</v>
      </c>
      <c r="C28" s="3" t="s">
        <v>119</v>
      </c>
    </row>
    <row r="29" spans="2:3" x14ac:dyDescent="0.15">
      <c r="B29" s="3" t="s">
        <v>114</v>
      </c>
      <c r="C29" s="3" t="s">
        <v>115</v>
      </c>
    </row>
    <row r="30" spans="2:3" x14ac:dyDescent="0.15">
      <c r="B30" s="3" t="s">
        <v>96</v>
      </c>
      <c r="C30" s="3" t="s">
        <v>97</v>
      </c>
    </row>
    <row r="31" spans="2:3" x14ac:dyDescent="0.15">
      <c r="B31" s="3" t="s">
        <v>108</v>
      </c>
      <c r="C31" s="3" t="s">
        <v>109</v>
      </c>
    </row>
    <row r="32" spans="2:3" x14ac:dyDescent="0.15">
      <c r="B32" s="3" t="s">
        <v>107</v>
      </c>
      <c r="C32" s="3" t="s">
        <v>136</v>
      </c>
    </row>
    <row r="33" spans="2:3" x14ac:dyDescent="0.15">
      <c r="B33" s="3" t="s">
        <v>134</v>
      </c>
      <c r="C33" s="3" t="s">
        <v>135</v>
      </c>
    </row>
    <row r="37" spans="2:3" x14ac:dyDescent="0.15">
      <c r="B37" s="74" t="s">
        <v>149</v>
      </c>
      <c r="C37" s="75"/>
    </row>
    <row r="39" spans="2:3" x14ac:dyDescent="0.15">
      <c r="B39" s="3" t="s">
        <v>137</v>
      </c>
      <c r="C39" s="3" t="s">
        <v>142</v>
      </c>
    </row>
    <row r="40" spans="2:3" x14ac:dyDescent="0.15">
      <c r="B40" s="3" t="s">
        <v>138</v>
      </c>
      <c r="C40" s="3" t="s">
        <v>144</v>
      </c>
    </row>
    <row r="41" spans="2:3" x14ac:dyDescent="0.15">
      <c r="B41" s="3" t="s">
        <v>139</v>
      </c>
      <c r="C41" s="3" t="s">
        <v>145</v>
      </c>
    </row>
    <row r="42" spans="2:3" x14ac:dyDescent="0.15">
      <c r="B42" s="3" t="s">
        <v>140</v>
      </c>
      <c r="C42" s="3" t="s">
        <v>143</v>
      </c>
    </row>
    <row r="43" spans="2:3" x14ac:dyDescent="0.15">
      <c r="B43" s="3" t="s">
        <v>141</v>
      </c>
    </row>
    <row r="44" spans="2:3" x14ac:dyDescent="0.15">
      <c r="B44" s="3" t="s">
        <v>146</v>
      </c>
      <c r="C44" s="3" t="s">
        <v>147</v>
      </c>
    </row>
    <row r="47" spans="2:3" x14ac:dyDescent="0.15">
      <c r="B47" s="74" t="s">
        <v>150</v>
      </c>
      <c r="C47" s="75"/>
    </row>
    <row r="49" spans="2:3" x14ac:dyDescent="0.15">
      <c r="B49" s="3" t="s">
        <v>148</v>
      </c>
      <c r="C49" s="3" t="s">
        <v>151</v>
      </c>
    </row>
    <row r="50" spans="2:3" x14ac:dyDescent="0.15">
      <c r="B50" s="3" t="s">
        <v>152</v>
      </c>
      <c r="C50" s="3" t="s">
        <v>153</v>
      </c>
    </row>
    <row r="51" spans="2:3" x14ac:dyDescent="0.15">
      <c r="B51" s="3" t="s">
        <v>154</v>
      </c>
      <c r="C51" s="3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2020-09-26T18:50:05Z</dcterms:modified>
</cp:coreProperties>
</file>