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A0416845-9904-DB48-9B2F-03F835B66FE2}" xr6:coauthVersionLast="45" xr6:coauthVersionMax="45" xr10:uidLastSave="{00000000-0000-0000-0000-000000000000}"/>
  <bookViews>
    <workbookView xWindow="19080" yWindow="460" windowWidth="20440" windowHeight="20320" tabRatio="500" activeTab="1" xr2:uid="{00000000-000D-0000-FFFF-FFFF00000000}"/>
  </bookViews>
  <sheets>
    <sheet name="Main" sheetId="2" r:id="rId1"/>
    <sheet name="Reports EUR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5" i="1" l="1"/>
  <c r="R54" i="1"/>
  <c r="R53" i="1"/>
  <c r="R52" i="1"/>
  <c r="R51" i="1"/>
  <c r="R50" i="1"/>
  <c r="V55" i="1"/>
  <c r="V63" i="1" s="1"/>
  <c r="V54" i="1"/>
  <c r="V62" i="1" s="1"/>
  <c r="V53" i="1"/>
  <c r="V61" i="1" s="1"/>
  <c r="V52" i="1"/>
  <c r="V60" i="1" s="1"/>
  <c r="V51" i="1"/>
  <c r="V50" i="1"/>
  <c r="V59" i="1" l="1"/>
  <c r="V58" i="1"/>
  <c r="R56" i="1"/>
  <c r="V56" i="1"/>
  <c r="F50" i="2"/>
  <c r="F49" i="2"/>
  <c r="C3" i="2"/>
  <c r="F32" i="2"/>
  <c r="F29" i="2"/>
  <c r="F27" i="2"/>
  <c r="F23" i="2"/>
  <c r="G23" i="2" s="1"/>
  <c r="H23" i="2" s="1"/>
  <c r="I23" i="2" s="1"/>
  <c r="J23" i="2" s="1"/>
  <c r="K23" i="2" s="1"/>
  <c r="F22" i="2"/>
  <c r="G22" i="2" s="1"/>
  <c r="F20" i="2"/>
  <c r="F14" i="2"/>
  <c r="F13" i="2"/>
  <c r="G13" i="2" s="1"/>
  <c r="G66" i="2" s="1"/>
  <c r="F12" i="2"/>
  <c r="V35" i="1"/>
  <c r="V32" i="1"/>
  <c r="V39" i="1" s="1"/>
  <c r="V10" i="1"/>
  <c r="U35" i="1"/>
  <c r="U33" i="1"/>
  <c r="F46" i="2" s="1"/>
  <c r="U32" i="1"/>
  <c r="F45" i="2" s="1"/>
  <c r="U10" i="1"/>
  <c r="U48" i="1"/>
  <c r="U40" i="1"/>
  <c r="U27" i="1"/>
  <c r="U26" i="1"/>
  <c r="U11" i="1"/>
  <c r="U5" i="1"/>
  <c r="U7" i="1" s="1"/>
  <c r="U21" i="1" s="1"/>
  <c r="U39" i="1" l="1"/>
  <c r="F48" i="2"/>
  <c r="F60" i="2" s="1"/>
  <c r="U31" i="1"/>
  <c r="F53" i="2"/>
  <c r="U12" i="1"/>
  <c r="G39" i="2"/>
  <c r="H22" i="2"/>
  <c r="I22" i="2" s="1"/>
  <c r="J22" i="2" s="1"/>
  <c r="K22" i="2" s="1"/>
  <c r="F19" i="2"/>
  <c r="F44" i="2"/>
  <c r="H13" i="2"/>
  <c r="I13" i="2" s="1"/>
  <c r="J13" i="2" s="1"/>
  <c r="K13" i="2" s="1"/>
  <c r="F52" i="2"/>
  <c r="U22" i="1"/>
  <c r="U14" i="1"/>
  <c r="F21" i="2" l="1"/>
  <c r="U17" i="1"/>
  <c r="U23" i="1"/>
  <c r="U18" i="1" l="1"/>
  <c r="T40" i="1" l="1"/>
  <c r="T35" i="1"/>
  <c r="T33" i="1"/>
  <c r="T32" i="1"/>
  <c r="T48" i="1"/>
  <c r="T10" i="1"/>
  <c r="T11" i="1" s="1"/>
  <c r="T5" i="1"/>
  <c r="T7" i="1" s="1"/>
  <c r="V48" i="1"/>
  <c r="V40" i="1"/>
  <c r="V27" i="1"/>
  <c r="V26" i="1"/>
  <c r="V11" i="1"/>
  <c r="V5" i="1"/>
  <c r="T31" i="1" l="1"/>
  <c r="T39" i="1"/>
  <c r="T12" i="1"/>
  <c r="T14" i="1" s="1"/>
  <c r="T17" i="1" s="1"/>
  <c r="T18" i="1" s="1"/>
  <c r="V7" i="1"/>
  <c r="V28" i="1"/>
  <c r="V31" i="1"/>
  <c r="C5" i="2" s="1"/>
  <c r="F4" i="2"/>
  <c r="C4" i="2"/>
  <c r="T26" i="1"/>
  <c r="T27" i="1"/>
  <c r="S35" i="1"/>
  <c r="S33" i="1"/>
  <c r="S32" i="1"/>
  <c r="S39" i="1" s="1"/>
  <c r="S10" i="1"/>
  <c r="S48" i="1"/>
  <c r="S40" i="1"/>
  <c r="S27" i="1"/>
  <c r="S26" i="1"/>
  <c r="S5" i="1"/>
  <c r="S7" i="1" s="1"/>
  <c r="E23" i="2"/>
  <c r="E22" i="2"/>
  <c r="E20" i="2"/>
  <c r="E14" i="2"/>
  <c r="F67" i="2" s="1"/>
  <c r="E13" i="2"/>
  <c r="F66" i="2" s="1"/>
  <c r="E12" i="2"/>
  <c r="F65" i="2" s="1"/>
  <c r="D29" i="2"/>
  <c r="D27" i="2"/>
  <c r="D22" i="2"/>
  <c r="D23" i="2"/>
  <c r="D20" i="2"/>
  <c r="D14" i="2"/>
  <c r="D13" i="2"/>
  <c r="D12" i="2"/>
  <c r="C23" i="2"/>
  <c r="C22" i="2"/>
  <c r="C20" i="2"/>
  <c r="C14" i="2"/>
  <c r="C13" i="2"/>
  <c r="C12" i="2"/>
  <c r="C19" i="2" s="1"/>
  <c r="B29" i="2"/>
  <c r="B27" i="2"/>
  <c r="B23" i="2"/>
  <c r="B22" i="2"/>
  <c r="B20" i="2"/>
  <c r="B14" i="2"/>
  <c r="B13" i="2"/>
  <c r="B12" i="2"/>
  <c r="B10" i="1"/>
  <c r="B11" i="1" s="1"/>
  <c r="F10" i="1"/>
  <c r="C10" i="1"/>
  <c r="C11" i="1" s="1"/>
  <c r="G10" i="1"/>
  <c r="G11" i="1" s="1"/>
  <c r="C5" i="1"/>
  <c r="C7" i="1" s="1"/>
  <c r="C12" i="1" s="1"/>
  <c r="F5" i="1"/>
  <c r="F7" i="1" s="1"/>
  <c r="G5" i="1"/>
  <c r="G25" i="1" s="1"/>
  <c r="F48" i="1"/>
  <c r="G48" i="1"/>
  <c r="H48" i="1"/>
  <c r="D10" i="1"/>
  <c r="D11" i="1" s="1"/>
  <c r="H10" i="1"/>
  <c r="H11" i="1" s="1"/>
  <c r="H5" i="1"/>
  <c r="H7" i="1" s="1"/>
  <c r="H21" i="1" s="1"/>
  <c r="E35" i="1"/>
  <c r="B48" i="2" s="1"/>
  <c r="E32" i="1"/>
  <c r="B45" i="2" s="1"/>
  <c r="I35" i="1"/>
  <c r="I32" i="1"/>
  <c r="C45" i="2" s="1"/>
  <c r="E10" i="1"/>
  <c r="I10" i="1"/>
  <c r="I11" i="1" s="1"/>
  <c r="J10" i="1"/>
  <c r="J11" i="1" s="1"/>
  <c r="N35" i="1"/>
  <c r="N32" i="1"/>
  <c r="N31" i="1" s="1"/>
  <c r="O35" i="1"/>
  <c r="O32" i="1"/>
  <c r="O31" i="1" s="1"/>
  <c r="K10" i="1"/>
  <c r="O10" i="1"/>
  <c r="O11" i="1" s="1"/>
  <c r="P35" i="1"/>
  <c r="P32" i="1"/>
  <c r="P31" i="1" s="1"/>
  <c r="L10" i="1"/>
  <c r="L11" i="1" s="1"/>
  <c r="L29" i="1" s="1"/>
  <c r="P10" i="1"/>
  <c r="P11" i="1" s="1"/>
  <c r="M35" i="1"/>
  <c r="D48" i="2" s="1"/>
  <c r="D60" i="2" s="1"/>
  <c r="M32" i="1"/>
  <c r="D45" i="2" s="1"/>
  <c r="M10" i="1"/>
  <c r="M28" i="1" s="1"/>
  <c r="Q10" i="1"/>
  <c r="U28" i="1" s="1"/>
  <c r="Q35" i="1"/>
  <c r="E48" i="2" s="1"/>
  <c r="Q32" i="1"/>
  <c r="E45" i="2" s="1"/>
  <c r="R35" i="1"/>
  <c r="R33" i="1"/>
  <c r="R32" i="1"/>
  <c r="R48" i="1"/>
  <c r="Q5" i="1"/>
  <c r="P5" i="1"/>
  <c r="P7" i="1" s="1"/>
  <c r="P21" i="1" s="1"/>
  <c r="O5" i="1"/>
  <c r="O7" i="1" s="1"/>
  <c r="R40" i="1"/>
  <c r="N10" i="1"/>
  <c r="N11" i="1" s="1"/>
  <c r="R27" i="1"/>
  <c r="R26" i="1"/>
  <c r="N5" i="1"/>
  <c r="N7" i="1" s="1"/>
  <c r="N21" i="1" s="1"/>
  <c r="R5" i="1"/>
  <c r="R7" i="1" s="1"/>
  <c r="R10" i="1"/>
  <c r="E49" i="2"/>
  <c r="E27" i="2"/>
  <c r="E29" i="2"/>
  <c r="Q40" i="1"/>
  <c r="E46" i="2"/>
  <c r="E50" i="2"/>
  <c r="E32" i="2"/>
  <c r="M5" i="1"/>
  <c r="M7" i="1"/>
  <c r="M21" i="1" s="1"/>
  <c r="I5" i="1"/>
  <c r="I25" i="1" s="1"/>
  <c r="D46" i="2"/>
  <c r="Q48" i="1"/>
  <c r="P48" i="1"/>
  <c r="O48" i="1"/>
  <c r="N48" i="1"/>
  <c r="M48" i="1"/>
  <c r="L48" i="1"/>
  <c r="K48" i="1"/>
  <c r="J48" i="1"/>
  <c r="I48" i="1"/>
  <c r="E5" i="1"/>
  <c r="E7" i="1" s="1"/>
  <c r="E11" i="1"/>
  <c r="E40" i="1"/>
  <c r="B49" i="2"/>
  <c r="B50" i="2"/>
  <c r="P40" i="1"/>
  <c r="C27" i="2"/>
  <c r="C29" i="2"/>
  <c r="C49" i="2"/>
  <c r="C50" i="2"/>
  <c r="B46" i="2"/>
  <c r="B32" i="2"/>
  <c r="C46" i="2"/>
  <c r="D49" i="2"/>
  <c r="D50" i="2"/>
  <c r="J5" i="1"/>
  <c r="J7" i="1"/>
  <c r="K5" i="1"/>
  <c r="L5" i="1"/>
  <c r="I40" i="1"/>
  <c r="M40" i="1"/>
  <c r="B5" i="1"/>
  <c r="B7" i="1" s="1"/>
  <c r="B21" i="1" s="1"/>
  <c r="D5" i="1"/>
  <c r="D7" i="1" s="1"/>
  <c r="O40" i="1"/>
  <c r="N40" i="1"/>
  <c r="Q27" i="1"/>
  <c r="Q26" i="1"/>
  <c r="N27" i="1"/>
  <c r="N26" i="1"/>
  <c r="O27" i="1"/>
  <c r="O26" i="1"/>
  <c r="P27" i="1"/>
  <c r="P26" i="1"/>
  <c r="D32" i="2"/>
  <c r="C32" i="2"/>
  <c r="G32" i="2"/>
  <c r="H32" i="2" s="1"/>
  <c r="I32" i="2" s="1"/>
  <c r="J32" i="2" s="1"/>
  <c r="K32" i="2" s="1"/>
  <c r="L32" i="2" s="1"/>
  <c r="M32" i="2" s="1"/>
  <c r="N32" i="2" s="1"/>
  <c r="O32" i="2" s="1"/>
  <c r="P32" i="2" s="1"/>
  <c r="F26" i="1"/>
  <c r="I26" i="1"/>
  <c r="M26" i="1"/>
  <c r="K26" i="1"/>
  <c r="J26" i="1"/>
  <c r="H26" i="1"/>
  <c r="L26" i="1"/>
  <c r="H27" i="1"/>
  <c r="I27" i="1"/>
  <c r="J27" i="1"/>
  <c r="K27" i="1"/>
  <c r="L27" i="1"/>
  <c r="M27" i="1"/>
  <c r="G27" i="1"/>
  <c r="G28" i="1"/>
  <c r="G26" i="1"/>
  <c r="F27" i="1"/>
  <c r="E11" i="2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M11" i="1" l="1"/>
  <c r="M29" i="1" s="1"/>
  <c r="B60" i="2"/>
  <c r="N28" i="1"/>
  <c r="Q28" i="1"/>
  <c r="Q11" i="1"/>
  <c r="J28" i="1"/>
  <c r="J12" i="1"/>
  <c r="J14" i="1" s="1"/>
  <c r="I31" i="1"/>
  <c r="S31" i="1"/>
  <c r="N39" i="1"/>
  <c r="D24" i="2"/>
  <c r="D25" i="2" s="1"/>
  <c r="L28" i="1"/>
  <c r="I28" i="1"/>
  <c r="R11" i="1"/>
  <c r="V29" i="1" s="1"/>
  <c r="F24" i="2"/>
  <c r="Q39" i="1"/>
  <c r="P39" i="1"/>
  <c r="P28" i="1"/>
  <c r="R39" i="1"/>
  <c r="C40" i="2"/>
  <c r="B19" i="2"/>
  <c r="D19" i="2"/>
  <c r="D21" i="2" s="1"/>
  <c r="D34" i="2" s="1"/>
  <c r="L25" i="1"/>
  <c r="P25" i="1"/>
  <c r="R25" i="1"/>
  <c r="Q7" i="1"/>
  <c r="Q21" i="1" s="1"/>
  <c r="U25" i="1"/>
  <c r="K25" i="1"/>
  <c r="F25" i="1"/>
  <c r="J25" i="1"/>
  <c r="V25" i="1"/>
  <c r="G63" i="2"/>
  <c r="K63" i="2"/>
  <c r="D63" i="2"/>
  <c r="B63" i="2"/>
  <c r="J63" i="2"/>
  <c r="F63" i="2"/>
  <c r="E63" i="2"/>
  <c r="C63" i="2"/>
  <c r="I63" i="2"/>
  <c r="H63" i="2"/>
  <c r="E60" i="2"/>
  <c r="C53" i="2"/>
  <c r="E39" i="2"/>
  <c r="E44" i="2"/>
  <c r="E66" i="2"/>
  <c r="B44" i="2"/>
  <c r="B21" i="2"/>
  <c r="B34" i="2" s="1"/>
  <c r="E67" i="2"/>
  <c r="D53" i="2"/>
  <c r="C66" i="2"/>
  <c r="E40" i="2"/>
  <c r="V12" i="1"/>
  <c r="V21" i="1"/>
  <c r="O12" i="1"/>
  <c r="O21" i="1"/>
  <c r="C44" i="2"/>
  <c r="E65" i="2"/>
  <c r="O28" i="1"/>
  <c r="K28" i="1"/>
  <c r="D67" i="2"/>
  <c r="M25" i="1"/>
  <c r="E53" i="2"/>
  <c r="E52" i="2"/>
  <c r="G14" i="2"/>
  <c r="O39" i="1"/>
  <c r="M12" i="1"/>
  <c r="M22" i="1" s="1"/>
  <c r="D65" i="2"/>
  <c r="B24" i="2"/>
  <c r="B25" i="2" s="1"/>
  <c r="R31" i="1"/>
  <c r="D40" i="2"/>
  <c r="M39" i="1"/>
  <c r="D44" i="2"/>
  <c r="I39" i="1"/>
  <c r="D66" i="2"/>
  <c r="J21" i="1"/>
  <c r="B53" i="2"/>
  <c r="N25" i="1"/>
  <c r="C67" i="2"/>
  <c r="Q31" i="1"/>
  <c r="P29" i="1"/>
  <c r="E31" i="1"/>
  <c r="D39" i="2"/>
  <c r="C38" i="2"/>
  <c r="E21" i="1"/>
  <c r="E12" i="1"/>
  <c r="D21" i="1"/>
  <c r="D12" i="1"/>
  <c r="N29" i="1"/>
  <c r="T28" i="1"/>
  <c r="F21" i="1"/>
  <c r="O14" i="1"/>
  <c r="O22" i="1"/>
  <c r="D52" i="2"/>
  <c r="C14" i="1"/>
  <c r="C22" i="1"/>
  <c r="S21" i="1"/>
  <c r="P12" i="1"/>
  <c r="F28" i="1"/>
  <c r="Q25" i="1"/>
  <c r="C65" i="2"/>
  <c r="B12" i="1"/>
  <c r="B52" i="2"/>
  <c r="C48" i="2"/>
  <c r="C60" i="2" s="1"/>
  <c r="E19" i="2"/>
  <c r="C21" i="1"/>
  <c r="L7" i="1"/>
  <c r="N12" i="1"/>
  <c r="K11" i="1"/>
  <c r="K29" i="1" s="1"/>
  <c r="G7" i="1"/>
  <c r="M31" i="1"/>
  <c r="H12" i="1"/>
  <c r="S25" i="1"/>
  <c r="S11" i="1"/>
  <c r="S29" i="1" s="1"/>
  <c r="E39" i="1"/>
  <c r="C24" i="2"/>
  <c r="E24" i="2"/>
  <c r="H25" i="1"/>
  <c r="C21" i="2"/>
  <c r="R28" i="1"/>
  <c r="C6" i="2"/>
  <c r="C7" i="2" s="1"/>
  <c r="K7" i="1"/>
  <c r="R21" i="1"/>
  <c r="F11" i="1"/>
  <c r="J29" i="1" s="1"/>
  <c r="S28" i="1"/>
  <c r="I7" i="1"/>
  <c r="H28" i="1"/>
  <c r="O25" i="1"/>
  <c r="C39" i="2"/>
  <c r="T29" i="1"/>
  <c r="J22" i="1" l="1"/>
  <c r="R12" i="1"/>
  <c r="R14" i="1" s="1"/>
  <c r="G24" i="2"/>
  <c r="H24" i="2" s="1"/>
  <c r="I24" i="2" s="1"/>
  <c r="J24" i="2" s="1"/>
  <c r="K24" i="2" s="1"/>
  <c r="F25" i="2"/>
  <c r="F26" i="2" s="1"/>
  <c r="F28" i="2" s="1"/>
  <c r="Q12" i="1"/>
  <c r="Q22" i="1" s="1"/>
  <c r="U29" i="1"/>
  <c r="Q29" i="1"/>
  <c r="E41" i="2"/>
  <c r="R29" i="1"/>
  <c r="D38" i="2"/>
  <c r="C52" i="2"/>
  <c r="B26" i="2"/>
  <c r="B28" i="2" s="1"/>
  <c r="C41" i="2"/>
  <c r="V22" i="1"/>
  <c r="V14" i="1"/>
  <c r="R22" i="1"/>
  <c r="H66" i="2"/>
  <c r="F12" i="1"/>
  <c r="F22" i="1" s="1"/>
  <c r="O29" i="1"/>
  <c r="M14" i="1"/>
  <c r="M17" i="1" s="1"/>
  <c r="O17" i="1"/>
  <c r="O23" i="1"/>
  <c r="T25" i="1"/>
  <c r="I21" i="1"/>
  <c r="I12" i="1"/>
  <c r="H22" i="1"/>
  <c r="H14" i="1"/>
  <c r="K12" i="1"/>
  <c r="K21" i="1"/>
  <c r="J17" i="1"/>
  <c r="J23" i="1"/>
  <c r="D26" i="2"/>
  <c r="D14" i="1"/>
  <c r="D22" i="1"/>
  <c r="E22" i="1"/>
  <c r="E14" i="1"/>
  <c r="R23" i="1"/>
  <c r="R17" i="1"/>
  <c r="C17" i="1"/>
  <c r="C18" i="1" s="1"/>
  <c r="C23" i="1"/>
  <c r="N22" i="1"/>
  <c r="N14" i="1"/>
  <c r="L21" i="1"/>
  <c r="L12" i="1"/>
  <c r="C34" i="2"/>
  <c r="B22" i="1"/>
  <c r="B14" i="1"/>
  <c r="F40" i="2"/>
  <c r="G12" i="1"/>
  <c r="G21" i="1"/>
  <c r="M23" i="1"/>
  <c r="P14" i="1"/>
  <c r="P22" i="1"/>
  <c r="E38" i="2"/>
  <c r="E21" i="2"/>
  <c r="D41" i="2"/>
  <c r="S12" i="1"/>
  <c r="E25" i="2"/>
  <c r="E42" i="2" s="1"/>
  <c r="C25" i="2"/>
  <c r="C42" i="2" s="1"/>
  <c r="H14" i="2"/>
  <c r="G67" i="2"/>
  <c r="B35" i="2" l="1"/>
  <c r="Q14" i="1"/>
  <c r="R18" i="1"/>
  <c r="F14" i="1"/>
  <c r="I66" i="2"/>
  <c r="V17" i="1"/>
  <c r="V23" i="1"/>
  <c r="F39" i="2"/>
  <c r="B30" i="2"/>
  <c r="B62" i="2" s="1"/>
  <c r="B36" i="2"/>
  <c r="I22" i="1"/>
  <c r="I14" i="1"/>
  <c r="F23" i="1"/>
  <c r="F17" i="1"/>
  <c r="H17" i="1"/>
  <c r="H18" i="1" s="1"/>
  <c r="H23" i="1"/>
  <c r="S14" i="1"/>
  <c r="S22" i="1"/>
  <c r="D17" i="1"/>
  <c r="D18" i="1" s="1"/>
  <c r="D23" i="1"/>
  <c r="G22" i="1"/>
  <c r="G14" i="1"/>
  <c r="G40" i="2"/>
  <c r="C26" i="2"/>
  <c r="D35" i="2"/>
  <c r="D28" i="2"/>
  <c r="B23" i="1"/>
  <c r="B17" i="1"/>
  <c r="P17" i="1"/>
  <c r="P23" i="1"/>
  <c r="D42" i="2"/>
  <c r="T21" i="1"/>
  <c r="I14" i="2"/>
  <c r="H67" i="2"/>
  <c r="L22" i="1"/>
  <c r="L14" i="1"/>
  <c r="M18" i="1"/>
  <c r="J18" i="1"/>
  <c r="F41" i="2"/>
  <c r="E26" i="2"/>
  <c r="E34" i="2"/>
  <c r="G12" i="2"/>
  <c r="G19" i="2" s="1"/>
  <c r="N23" i="1"/>
  <c r="N17" i="1"/>
  <c r="Q23" i="1"/>
  <c r="Q17" i="1"/>
  <c r="E23" i="1"/>
  <c r="E17" i="1"/>
  <c r="K22" i="1"/>
  <c r="K14" i="1"/>
  <c r="O18" i="1"/>
  <c r="F42" i="2"/>
  <c r="Q18" i="1" l="1"/>
  <c r="J66" i="2"/>
  <c r="V18" i="1"/>
  <c r="T22" i="1"/>
  <c r="G41" i="2"/>
  <c r="H25" i="2"/>
  <c r="H12" i="2"/>
  <c r="G65" i="2"/>
  <c r="S23" i="1"/>
  <c r="S17" i="1"/>
  <c r="E42" i="1"/>
  <c r="B18" i="1"/>
  <c r="E18" i="1"/>
  <c r="E46" i="1"/>
  <c r="E45" i="1"/>
  <c r="E44" i="1"/>
  <c r="E43" i="1"/>
  <c r="I17" i="1"/>
  <c r="I18" i="1" s="1"/>
  <c r="I23" i="1"/>
  <c r="D30" i="2"/>
  <c r="D62" i="2" s="1"/>
  <c r="D36" i="2"/>
  <c r="C35" i="2"/>
  <c r="C28" i="2"/>
  <c r="H40" i="2"/>
  <c r="F38" i="2"/>
  <c r="P18" i="1"/>
  <c r="K17" i="1"/>
  <c r="K23" i="1"/>
  <c r="L23" i="1"/>
  <c r="L17" i="1"/>
  <c r="N18" i="1"/>
  <c r="Q42" i="1"/>
  <c r="E35" i="2"/>
  <c r="E28" i="2"/>
  <c r="R42" i="1"/>
  <c r="P42" i="1"/>
  <c r="F18" i="1"/>
  <c r="G25" i="2"/>
  <c r="G42" i="2" s="1"/>
  <c r="J14" i="2"/>
  <c r="I67" i="2"/>
  <c r="G17" i="1"/>
  <c r="G18" i="1" s="1"/>
  <c r="G23" i="1"/>
  <c r="B55" i="2"/>
  <c r="B31" i="2"/>
  <c r="B56" i="2"/>
  <c r="B58" i="2"/>
  <c r="B57" i="2"/>
  <c r="S18" i="1" l="1"/>
  <c r="U42" i="1"/>
  <c r="T42" i="1"/>
  <c r="I42" i="1"/>
  <c r="J67" i="2"/>
  <c r="K14" i="2"/>
  <c r="K67" i="2" s="1"/>
  <c r="K66" i="2"/>
  <c r="H42" i="2"/>
  <c r="H39" i="2"/>
  <c r="F34" i="2"/>
  <c r="D58" i="2"/>
  <c r="D55" i="2"/>
  <c r="D57" i="2"/>
  <c r="D31" i="2"/>
  <c r="D56" i="2"/>
  <c r="I12" i="2"/>
  <c r="H65" i="2"/>
  <c r="H19" i="2"/>
  <c r="H41" i="2"/>
  <c r="P46" i="1"/>
  <c r="P43" i="1"/>
  <c r="P45" i="1"/>
  <c r="P44" i="1"/>
  <c r="I40" i="2"/>
  <c r="C36" i="2"/>
  <c r="C30" i="2"/>
  <c r="G38" i="2"/>
  <c r="I46" i="1"/>
  <c r="I45" i="1"/>
  <c r="I44" i="1"/>
  <c r="I43" i="1"/>
  <c r="R45" i="1"/>
  <c r="R44" i="1"/>
  <c r="R43" i="1"/>
  <c r="R46" i="1"/>
  <c r="E36" i="2"/>
  <c r="E30" i="2"/>
  <c r="E62" i="2" s="1"/>
  <c r="Q46" i="1"/>
  <c r="Q45" i="1"/>
  <c r="Q44" i="1"/>
  <c r="Q43" i="1"/>
  <c r="L18" i="1"/>
  <c r="O42" i="1"/>
  <c r="N42" i="1"/>
  <c r="K18" i="1"/>
  <c r="M42" i="1"/>
  <c r="S42" i="1"/>
  <c r="C57" i="2" l="1"/>
  <c r="C56" i="2"/>
  <c r="C55" i="2"/>
  <c r="C62" i="2"/>
  <c r="T45" i="1"/>
  <c r="T44" i="1"/>
  <c r="T43" i="1"/>
  <c r="T46" i="1"/>
  <c r="U46" i="1"/>
  <c r="U44" i="1"/>
  <c r="U43" i="1"/>
  <c r="U45" i="1"/>
  <c r="G21" i="2"/>
  <c r="G20" i="2" s="1"/>
  <c r="I25" i="2"/>
  <c r="I42" i="2" s="1"/>
  <c r="E58" i="2"/>
  <c r="E57" i="2"/>
  <c r="E55" i="2"/>
  <c r="L22" i="2"/>
  <c r="M22" i="2" s="1"/>
  <c r="N22" i="2" s="1"/>
  <c r="O22" i="2" s="1"/>
  <c r="P22" i="2" s="1"/>
  <c r="I39" i="2"/>
  <c r="M46" i="1"/>
  <c r="M45" i="1"/>
  <c r="M44" i="1"/>
  <c r="M43" i="1"/>
  <c r="H38" i="2"/>
  <c r="O46" i="1"/>
  <c r="O45" i="1"/>
  <c r="O44" i="1"/>
  <c r="O43" i="1"/>
  <c r="I65" i="2"/>
  <c r="J12" i="2"/>
  <c r="K12" i="2" s="1"/>
  <c r="I19" i="2"/>
  <c r="T23" i="1"/>
  <c r="E31" i="2"/>
  <c r="E56" i="2"/>
  <c r="J40" i="2"/>
  <c r="S45" i="1"/>
  <c r="S44" i="1"/>
  <c r="S43" i="1"/>
  <c r="S46" i="1"/>
  <c r="C58" i="2"/>
  <c r="C31" i="2"/>
  <c r="F35" i="2"/>
  <c r="I41" i="2"/>
  <c r="N46" i="1"/>
  <c r="N45" i="1"/>
  <c r="N44" i="1"/>
  <c r="N43" i="1"/>
  <c r="G34" i="2" l="1"/>
  <c r="H21" i="2" s="1"/>
  <c r="G26" i="2"/>
  <c r="G35" i="2" s="1"/>
  <c r="J25" i="2"/>
  <c r="J42" i="2" s="1"/>
  <c r="K65" i="2"/>
  <c r="K19" i="2"/>
  <c r="J39" i="2"/>
  <c r="H26" i="2"/>
  <c r="H34" i="2"/>
  <c r="H20" i="2"/>
  <c r="F36" i="2"/>
  <c r="I38" i="2"/>
  <c r="I21" i="2"/>
  <c r="I20" i="2" s="1"/>
  <c r="K40" i="2"/>
  <c r="L23" i="2"/>
  <c r="J41" i="2"/>
  <c r="J19" i="2"/>
  <c r="J65" i="2"/>
  <c r="F30" i="2" l="1"/>
  <c r="F62" i="2" s="1"/>
  <c r="V42" i="1"/>
  <c r="K39" i="2"/>
  <c r="I26" i="2"/>
  <c r="I34" i="2"/>
  <c r="J21" i="2" s="1"/>
  <c r="J38" i="2"/>
  <c r="K41" i="2"/>
  <c r="L24" i="2"/>
  <c r="K25" i="2"/>
  <c r="K42" i="2" s="1"/>
  <c r="L40" i="2"/>
  <c r="M23" i="2"/>
  <c r="H35" i="2"/>
  <c r="V46" i="1" l="1"/>
  <c r="V45" i="1"/>
  <c r="F31" i="2"/>
  <c r="F55" i="2"/>
  <c r="F57" i="2"/>
  <c r="F56" i="2"/>
  <c r="F58" i="2"/>
  <c r="G27" i="2"/>
  <c r="G28" i="2" s="1"/>
  <c r="V44" i="1"/>
  <c r="V43" i="1"/>
  <c r="L39" i="2"/>
  <c r="M24" i="2"/>
  <c r="M25" i="2" s="1"/>
  <c r="L41" i="2"/>
  <c r="J26" i="2"/>
  <c r="J34" i="2"/>
  <c r="K21" i="2" s="1"/>
  <c r="K20" i="2" s="1"/>
  <c r="L19" i="2"/>
  <c r="K38" i="2"/>
  <c r="J20" i="2"/>
  <c r="L25" i="2"/>
  <c r="L42" i="2" s="1"/>
  <c r="M40" i="2"/>
  <c r="N23" i="2"/>
  <c r="I35" i="2"/>
  <c r="M39" i="2" l="1"/>
  <c r="J35" i="2"/>
  <c r="G29" i="2"/>
  <c r="G36" i="2" s="1"/>
  <c r="K26" i="2"/>
  <c r="K34" i="2"/>
  <c r="L21" i="2" s="1"/>
  <c r="M19" i="2"/>
  <c r="L38" i="2"/>
  <c r="M42" i="2"/>
  <c r="O23" i="2"/>
  <c r="N40" i="2"/>
  <c r="N24" i="2"/>
  <c r="M41" i="2"/>
  <c r="G30" i="2" l="1"/>
  <c r="G62" i="2" s="1"/>
  <c r="N39" i="2"/>
  <c r="N19" i="2"/>
  <c r="M38" i="2"/>
  <c r="O40" i="2"/>
  <c r="P23" i="2"/>
  <c r="L26" i="2"/>
  <c r="L34" i="2"/>
  <c r="M21" i="2" s="1"/>
  <c r="K35" i="2"/>
  <c r="L20" i="2"/>
  <c r="O24" i="2"/>
  <c r="N41" i="2"/>
  <c r="N25" i="2"/>
  <c r="N42" i="2" s="1"/>
  <c r="G31" i="2" l="1"/>
  <c r="G44" i="2"/>
  <c r="O39" i="2"/>
  <c r="M26" i="2"/>
  <c r="M34" i="2"/>
  <c r="N21" i="2" s="1"/>
  <c r="M20" i="2"/>
  <c r="O41" i="2"/>
  <c r="P24" i="2"/>
  <c r="L35" i="2"/>
  <c r="O25" i="2"/>
  <c r="O42" i="2" s="1"/>
  <c r="P40" i="2"/>
  <c r="P25" i="2"/>
  <c r="O19" i="2"/>
  <c r="N38" i="2"/>
  <c r="P39" i="2" l="1"/>
  <c r="N34" i="2"/>
  <c r="O21" i="2" s="1"/>
  <c r="O20" i="2" s="1"/>
  <c r="N26" i="2"/>
  <c r="N20" i="2"/>
  <c r="O38" i="2"/>
  <c r="P19" i="2"/>
  <c r="P42" i="2"/>
  <c r="H27" i="2"/>
  <c r="H28" i="2" s="1"/>
  <c r="P41" i="2"/>
  <c r="M35" i="2"/>
  <c r="H29" i="2" l="1"/>
  <c r="H36" i="2" s="1"/>
  <c r="N35" i="2"/>
  <c r="P38" i="2"/>
  <c r="O26" i="2"/>
  <c r="O34" i="2"/>
  <c r="P21" i="2" s="1"/>
  <c r="H30" i="2" l="1"/>
  <c r="H62" i="2" s="1"/>
  <c r="P26" i="2"/>
  <c r="P34" i="2"/>
  <c r="P20" i="2"/>
  <c r="O35" i="2"/>
  <c r="H31" i="2" l="1"/>
  <c r="H44" i="2"/>
  <c r="I27" i="2" s="1"/>
  <c r="I28" i="2" s="1"/>
  <c r="P35" i="2"/>
  <c r="I29" i="2" l="1"/>
  <c r="I36" i="2" s="1"/>
  <c r="I30" i="2" l="1"/>
  <c r="I62" i="2" s="1"/>
  <c r="I44" i="2"/>
  <c r="I31" i="2" l="1"/>
  <c r="J27" i="2"/>
  <c r="J28" i="2" s="1"/>
  <c r="J29" i="2" l="1"/>
  <c r="J36" i="2" s="1"/>
  <c r="J30" i="2" l="1"/>
  <c r="J31" i="2" l="1"/>
  <c r="J62" i="2"/>
  <c r="J44" i="2"/>
  <c r="K27" i="2" s="1"/>
  <c r="K28" i="2" s="1"/>
  <c r="K29" i="2" l="1"/>
  <c r="K36" i="2" s="1"/>
  <c r="K30" i="2"/>
  <c r="K62" i="2" s="1"/>
  <c r="K31" i="2" l="1"/>
  <c r="K44" i="2"/>
  <c r="L27" i="2" l="1"/>
  <c r="L28" i="2" s="1"/>
  <c r="L29" i="2" l="1"/>
  <c r="L36" i="2" s="1"/>
  <c r="L30" i="2" l="1"/>
  <c r="L31" i="2"/>
  <c r="L44" i="2"/>
  <c r="M27" i="2" l="1"/>
  <c r="M28" i="2" s="1"/>
  <c r="M29" i="2" l="1"/>
  <c r="M36" i="2" s="1"/>
  <c r="M30" i="2" l="1"/>
  <c r="M31" i="2" l="1"/>
  <c r="M44" i="2"/>
  <c r="N27" i="2" l="1"/>
  <c r="N28" i="2" s="1"/>
  <c r="N29" i="2" l="1"/>
  <c r="N36" i="2" s="1"/>
  <c r="N30" i="2" l="1"/>
  <c r="N31" i="2" s="1"/>
  <c r="N44" i="2" l="1"/>
  <c r="O27" i="2"/>
  <c r="O28" i="2" s="1"/>
  <c r="O29" i="2" l="1"/>
  <c r="O36" i="2" s="1"/>
  <c r="O30" i="2" l="1"/>
  <c r="O31" i="2"/>
  <c r="O44" i="2"/>
  <c r="P27" i="2" l="1"/>
  <c r="P28" i="2" s="1"/>
  <c r="P29" i="2" l="1"/>
  <c r="P36" i="2" s="1"/>
  <c r="P30" i="2" l="1"/>
  <c r="Q30" i="2" s="1"/>
  <c r="R30" i="2" s="1"/>
  <c r="S30" i="2" s="1"/>
  <c r="T30" i="2" s="1"/>
  <c r="U30" i="2" s="1"/>
  <c r="P31" i="2" l="1"/>
  <c r="P44" i="2"/>
  <c r="V30" i="2" l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EF30" i="2" s="1"/>
  <c r="EG30" i="2" s="1"/>
  <c r="EH30" i="2" s="1"/>
  <c r="EI30" i="2" s="1"/>
  <c r="EJ30" i="2" s="1"/>
  <c r="EK30" i="2" s="1"/>
  <c r="EL30" i="2" s="1"/>
  <c r="EM30" i="2" s="1"/>
  <c r="EN30" i="2" s="1"/>
  <c r="EO30" i="2" s="1"/>
  <c r="EP30" i="2" s="1"/>
  <c r="EQ30" i="2" s="1"/>
  <c r="ER30" i="2" s="1"/>
  <c r="ES30" i="2" s="1"/>
  <c r="ET30" i="2" s="1"/>
  <c r="EU30" i="2" s="1"/>
  <c r="EV30" i="2" s="1"/>
  <c r="EW30" i="2" s="1"/>
  <c r="EX30" i="2" s="1"/>
  <c r="EY30" i="2" s="1"/>
  <c r="EZ30" i="2" s="1"/>
  <c r="FA30" i="2" s="1"/>
  <c r="FB30" i="2" s="1"/>
  <c r="FC30" i="2" s="1"/>
  <c r="FD30" i="2" s="1"/>
  <c r="FE30" i="2" s="1"/>
  <c r="FF30" i="2" s="1"/>
  <c r="FG30" i="2" s="1"/>
  <c r="FH30" i="2" s="1"/>
  <c r="FI30" i="2" s="1"/>
  <c r="FJ30" i="2" s="1"/>
  <c r="FK30" i="2" s="1"/>
  <c r="FL30" i="2" s="1"/>
  <c r="FM30" i="2" s="1"/>
  <c r="FN30" i="2" s="1"/>
  <c r="FO30" i="2" s="1"/>
  <c r="FP30" i="2" s="1"/>
  <c r="FQ30" i="2" s="1"/>
  <c r="FR30" i="2" s="1"/>
  <c r="FS30" i="2" s="1"/>
  <c r="FT30" i="2" s="1"/>
  <c r="FU30" i="2" s="1"/>
  <c r="FV30" i="2" s="1"/>
  <c r="FW30" i="2" s="1"/>
  <c r="FX30" i="2" s="1"/>
  <c r="FY30" i="2" s="1"/>
  <c r="FZ30" i="2" s="1"/>
  <c r="GA30" i="2" s="1"/>
  <c r="GB30" i="2" s="1"/>
  <c r="GC30" i="2" s="1"/>
  <c r="GD30" i="2" s="1"/>
  <c r="GE30" i="2" s="1"/>
  <c r="GF30" i="2" s="1"/>
  <c r="GG30" i="2" s="1"/>
  <c r="GH30" i="2" s="1"/>
  <c r="GI30" i="2" s="1"/>
  <c r="GJ30" i="2" s="1"/>
  <c r="GK30" i="2" s="1"/>
  <c r="GL30" i="2" s="1"/>
  <c r="GM30" i="2" s="1"/>
  <c r="GN30" i="2" s="1"/>
  <c r="GO30" i="2" s="1"/>
  <c r="GP30" i="2" s="1"/>
  <c r="GQ30" i="2" s="1"/>
  <c r="GR30" i="2" s="1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<sst xmlns="http://schemas.openxmlformats.org/spreadsheetml/2006/main" count="172" uniqueCount="132">
  <si>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</si>
  <si>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</si>
  <si>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</si>
  <si>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</si>
  <si>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</si>
  <si>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</si>
  <si>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</si>
  <si>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</si>
  <si>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</si>
  <si>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</si>
  <si>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</si>
  <si>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</si>
  <si>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</si>
  <si>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</si>
  <si>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</si>
  <si>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</si>
  <si>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</si>
  <si>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</si>
  <si>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</si>
  <si>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</si>
  <si>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</si>
  <si>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</si>
  <si>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</si>
  <si>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</si>
  <si>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</si>
  <si>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</si>
  <si>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</si>
  <si>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</si>
  <si>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</si>
  <si>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</si>
  <si>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</si>
  <si>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</si>
  <si>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</si>
  <si>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</si>
  <si>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</si>
  <si>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</si>
  <si>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</si>
  <si>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</si>
  <si>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Q115</t>
  </si>
  <si>
    <t>Q215</t>
  </si>
  <si>
    <t>Q315</t>
  </si>
  <si>
    <t>Q415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</si>
  <si>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</si>
  <si>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</si>
  <si>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</si>
  <si>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</si>
  <si>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</si>
  <si>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</si>
  <si>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</si>
  <si>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</si>
  <si>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</si>
  <si>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</si>
  <si>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</si>
  <si>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</si>
  <si>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</si>
  <si>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</si>
  <si>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</si>
  <si>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</si>
  <si>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</si>
  <si>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</si>
  <si>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</si>
  <si>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</si>
  <si>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</si>
  <si>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</si>
  <si>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</si>
  <si>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</si>
  <si>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</si>
  <si>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</si>
  <si>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Tax anomaly</t>
  </si>
  <si>
    <t>DAU</t>
  </si>
  <si>
    <t>ARPU</t>
  </si>
  <si>
    <t>DAU y/y</t>
  </si>
  <si>
    <t>ARPU y/y</t>
  </si>
  <si>
    <t>Subscription</t>
  </si>
  <si>
    <t>Product</t>
  </si>
  <si>
    <t>Servcies and support</t>
  </si>
  <si>
    <t>Subscription y/y</t>
  </si>
  <si>
    <t>Product y/y</t>
  </si>
  <si>
    <t>Servcies and support y/y</t>
  </si>
  <si>
    <t>30/11/2018</t>
  </si>
  <si>
    <t>2/3/2018</t>
  </si>
  <si>
    <t>Operating Expenses y/y</t>
  </si>
  <si>
    <t>1/12/2017</t>
  </si>
  <si>
    <t>31/8/2018</t>
  </si>
  <si>
    <t>1/9/2017</t>
  </si>
  <si>
    <t>1/6/2018</t>
  </si>
  <si>
    <t>2/6/2017</t>
  </si>
  <si>
    <t>3/3/2017</t>
  </si>
  <si>
    <t>2/12/2016</t>
  </si>
  <si>
    <t>27/11/2015</t>
  </si>
  <si>
    <t>2/9/2016</t>
  </si>
  <si>
    <t>28/8/2015</t>
  </si>
  <si>
    <t>3/6/2016</t>
  </si>
  <si>
    <t>29/5/2015</t>
  </si>
  <si>
    <t>4/3/2016</t>
  </si>
  <si>
    <t>27/2/2015</t>
  </si>
  <si>
    <t>Q120</t>
  </si>
  <si>
    <t>Q221</t>
  </si>
  <si>
    <t>Q321</t>
  </si>
  <si>
    <t>Q420</t>
  </si>
  <si>
    <t>BADWILL</t>
  </si>
  <si>
    <t>Intangibles per share</t>
  </si>
  <si>
    <t>Risk-free rate + market premium (opportunity cost)</t>
  </si>
  <si>
    <t>http://www.worldgovernmentbonds.com/country/united-states/</t>
  </si>
  <si>
    <t>Net present value on future net income (terminal value)</t>
  </si>
  <si>
    <t>RORC</t>
  </si>
  <si>
    <t>PRR</t>
  </si>
  <si>
    <t>Return on research capital</t>
  </si>
  <si>
    <t>Price to R&amp;D ratio</t>
  </si>
  <si>
    <t>Ubisoft Entertainment SA (UBI)</t>
  </si>
  <si>
    <t>Yves Guillemot</t>
  </si>
  <si>
    <t>EUR/USD</t>
  </si>
  <si>
    <t>GAMES</t>
  </si>
  <si>
    <t>Tom Clancy's Rainbow Six Siege</t>
  </si>
  <si>
    <t>Assassin's Creed</t>
  </si>
  <si>
    <t>Just Dance</t>
  </si>
  <si>
    <t>Hyper Space</t>
  </si>
  <si>
    <t>IFRS</t>
  </si>
  <si>
    <t>Playstation</t>
  </si>
  <si>
    <t>Xbox</t>
  </si>
  <si>
    <t>PC</t>
  </si>
  <si>
    <t>Nintendo</t>
  </si>
  <si>
    <t>Mobile</t>
  </si>
  <si>
    <t>Other</t>
  </si>
  <si>
    <t>Playstation y/y</t>
  </si>
  <si>
    <t>Xbox y/y</t>
  </si>
  <si>
    <t>PC y/y</t>
  </si>
  <si>
    <t>Nintendo y/y</t>
  </si>
  <si>
    <t>Mobile y/y</t>
  </si>
  <si>
    <t>Other y/y</t>
  </si>
  <si>
    <t>Total sales</t>
  </si>
  <si>
    <t>IFRS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</si>
</sst>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0" borderId="0" xfId="0" applyNumberFormat="1" applyFont="1"/>
    <xf numFmtId="4" fontId="6" fillId="0" borderId="0" xfId="0" applyNumberFormat="1" applyFont="1" applyBorder="1" applyAlignment="1">
      <alignment horizontal="right"/>
    </xf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Border="1"/>
    <xf numFmtId="4" fontId="6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9" fontId="6" fillId="2" borderId="0" xfId="0" applyNumberFormat="1" applyFont="1" applyFill="1" applyAlignment="1">
      <alignment horizontal="right"/>
    </xf>
    <xf numFmtId="0" fontId="4" fillId="0" borderId="0" xfId="4" applyBorder="1"/>
    <xf numFmtId="3" fontId="6" fillId="0" borderId="0" xfId="0" applyNumberFormat="1" applyFont="1" applyAlignment="1">
      <alignment horizontal="left"/>
    </xf>
    <xf numFmtId="4" fontId="5" fillId="0" borderId="0" xfId="0" applyNumberFormat="1" applyFont="1"/>
    <xf numFmtId="0" fontId="8" fillId="0" borderId="0" xfId="0" applyFont="1"/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7</xdr:row>
      <xdr:rowOff>152400</xdr:rowOff>
    </xdr:from>
    <xdr:to>
      <xdr:col>6</xdr:col>
      <xdr:colOff>165100</xdr:colOff>
      <xdr:row>71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765800" y="1308100"/>
          <a:ext cx="0" cy="9271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215900</xdr:colOff>
      <xdr:row>0</xdr:row>
      <xdr:rowOff>152400</xdr:rowOff>
    </xdr:from>
    <xdr:to>
      <xdr:col>22</xdr:col>
      <xdr:colOff>215900</xdr:colOff>
      <xdr:row>64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9100800" y="152400"/>
          <a:ext cx="0" cy="114046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profile/person/1929161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www.ubisoft.com/en-us/company/investor_center/index.aspx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bloomberg.com/profile/person/192916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ubisoft.com/en-US/company/investor_center/earnings_sal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70"/>
  <sheetViews>
    <sheetView workbookViewId="0">
      <pane xSplit="1" ySplit="11" topLeftCell="B12" activePane="bottomRight" state="frozen"/>
      <selection pane="topRight" activeCell="B1" sqref="B1"/>
      <selection pane="bottomLeft" activeCell="A11" sqref="A11"/>
      <selection pane="bottomRight" activeCell="E16" sqref="E16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7" x14ac:dyDescent="0.15">
      <c r="A1" s="1" t="s">
        <v>66</v>
      </c>
      <c r="B1" s="2" t="s">
        <v>109</v>
      </c>
    </row>
    <row r="2" spans="1:117" x14ac:dyDescent="0.15">
      <c r="B2" s="3" t="s">
        <v>48</v>
      </c>
      <c r="C2" s="4"/>
      <c r="E2" s="5" t="s">
        <v>29</v>
      </c>
      <c r="F2" s="6">
        <v>-0.02</v>
      </c>
      <c r="I2" s="13"/>
    </row>
    <row r="3" spans="1:117" x14ac:dyDescent="0.15">
      <c r="A3" s="3" t="s">
        <v>46</v>
      </c>
      <c r="B3" s="3" t="s">
        <v>17</v>
      </c>
      <c r="C3" s="7">
        <f>'Reports EUR'!V19</f>
        <v>488</v>
      </c>
      <c r="D3" s="3" t="s">
        <v>96</v>
      </c>
      <c r="E3" s="5" t="s">
        <v>30</v>
      </c>
      <c r="F3" s="6">
        <v>0.02</v>
      </c>
      <c r="G3" s="3" t="s">
        <v>67</v>
      </c>
      <c r="I3" s="13"/>
    </row>
    <row r="4" spans="1:117" x14ac:dyDescent="0.15">
      <c r="A4" s="8" t="s">
        <v>110</v>
      </c>
      <c r="B4" s="3" t="s">
        <v>49</v>
      </c>
      <c r="C4" s="9">
        <f>C2*C3</f>
        <v>0</v>
      </c>
      <c r="E4" s="5" t="s">
        <v>31</v>
      </c>
      <c r="F4" s="6">
        <f>2%+3%</f>
        <v>0.05</v>
      </c>
      <c r="G4" s="3" t="s">
        <v>102</v>
      </c>
      <c r="I4" s="16"/>
      <c r="L4" s="8" t="s">
        <v>103</v>
      </c>
    </row>
    <row r="5" spans="1:117" x14ac:dyDescent="0.15">
      <c r="B5" s="3" t="s">
        <v>26</v>
      </c>
      <c r="C5" s="7">
        <f>'Reports EUR'!V31</f>
        <v>58</v>
      </c>
      <c r="D5" s="3" t="s">
        <v>96</v>
      </c>
      <c r="E5" s="5" t="s">
        <v>32</v>
      </c>
      <c r="F5" s="10" t="e">
        <f>NPV(F4,G30:GR30)</f>
        <v>#REF!</v>
      </c>
      <c r="G5" s="3" t="s">
        <v>104</v>
      </c>
      <c r="I5" s="16"/>
    </row>
    <row r="6" spans="1:117" x14ac:dyDescent="0.15">
      <c r="A6" s="3" t="s">
        <v>47</v>
      </c>
      <c r="B6" s="3" t="s">
        <v>50</v>
      </c>
      <c r="C6" s="9">
        <f>C4-C5</f>
        <v>-58</v>
      </c>
      <c r="E6" s="5" t="s">
        <v>33</v>
      </c>
      <c r="F6" s="10" t="e">
        <f>F5+C5</f>
        <v>#REF!</v>
      </c>
      <c r="I6" s="16"/>
    </row>
    <row r="7" spans="1:117" x14ac:dyDescent="0.15">
      <c r="A7" s="8" t="s">
        <v>110</v>
      </c>
      <c r="B7" s="3" t="s">
        <v>51</v>
      </c>
      <c r="C7" s="45">
        <f>C6/C3</f>
        <v>-0.11885245901639344</v>
      </c>
      <c r="E7" s="5" t="s">
        <v>51</v>
      </c>
      <c r="F7" s="42" t="e">
        <f>F6/C3</f>
        <v>#REF!</v>
      </c>
      <c r="G7" s="16" t="e">
        <f>F7/C2-1</f>
        <v>#REF!</v>
      </c>
    </row>
    <row r="8" spans="1:117" x14ac:dyDescent="0.15">
      <c r="A8" s="8"/>
      <c r="E8" s="5"/>
      <c r="F8" s="12"/>
    </row>
    <row r="9" spans="1:117" x14ac:dyDescent="0.15">
      <c r="A9" s="8"/>
      <c r="B9" s="2" t="s">
        <v>111</v>
      </c>
      <c r="C9" s="64">
        <v>1.1575299999999999</v>
      </c>
      <c r="E9" s="5"/>
      <c r="F9" s="12"/>
    </row>
    <row r="10" spans="1:117" x14ac:dyDescent="0.15">
      <c r="A10" s="8"/>
      <c r="E10" s="5"/>
      <c r="F10" s="12"/>
    </row>
    <row r="11" spans="1:117" x14ac:dyDescent="0.15">
      <c r="B11" s="38">
        <v>2015</v>
      </c>
      <c r="C11" s="38">
        <v>2016</v>
      </c>
      <c r="D11" s="38">
        <v>2017</v>
      </c>
      <c r="E11" s="38">
        <f>D11+1</f>
        <v>2018</v>
      </c>
      <c r="F11" s="38">
        <f t="shared" ref="F11:P11" si="0">E11+1</f>
        <v>2019</v>
      </c>
      <c r="G11" s="38">
        <f t="shared" si="0"/>
        <v>2020</v>
      </c>
      <c r="H11" s="38">
        <f t="shared" si="0"/>
        <v>2021</v>
      </c>
      <c r="I11" s="38">
        <f t="shared" si="0"/>
        <v>2022</v>
      </c>
      <c r="J11" s="38">
        <f t="shared" si="0"/>
        <v>2023</v>
      </c>
      <c r="K11" s="38">
        <f t="shared" si="0"/>
        <v>2024</v>
      </c>
      <c r="L11" s="38">
        <f t="shared" si="0"/>
        <v>2025</v>
      </c>
      <c r="M11" s="38">
        <f t="shared" si="0"/>
        <v>2026</v>
      </c>
      <c r="N11" s="38">
        <f t="shared" si="0"/>
        <v>2027</v>
      </c>
      <c r="O11" s="38">
        <f t="shared" si="0"/>
        <v>2028</v>
      </c>
      <c r="P11" s="38">
        <f t="shared" si="0"/>
        <v>2029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</row>
    <row r="12" spans="1:117" x14ac:dyDescent="0.15">
      <c r="A12" s="7" t="s">
        <v>73</v>
      </c>
      <c r="B12" s="20">
        <f>SUM('Reports EUR'!B3:E3)</f>
        <v>0</v>
      </c>
      <c r="C12" s="20">
        <f>SUM('Reports EUR'!F3:I3)</f>
        <v>0</v>
      </c>
      <c r="D12" s="37">
        <f>SUM('Reports EUR'!J3:M3)</f>
        <v>0</v>
      </c>
      <c r="E12" s="37">
        <f>SUM('Reports EUR'!N3:Q3)</f>
        <v>0</v>
      </c>
      <c r="F12" s="37">
        <f>SUM('Reports EUR'!R3:U3)</f>
        <v>363.4</v>
      </c>
      <c r="G12" s="37">
        <f t="shared" ref="G12:K12" si="1">F12*1.25</f>
        <v>454.25</v>
      </c>
      <c r="H12" s="37">
        <f t="shared" si="1"/>
        <v>567.8125</v>
      </c>
      <c r="I12" s="37">
        <f t="shared" si="1"/>
        <v>709.765625</v>
      </c>
      <c r="J12" s="37">
        <f t="shared" si="1"/>
        <v>887.20703125</v>
      </c>
      <c r="K12" s="37">
        <f t="shared" si="1"/>
        <v>1109.0087890625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</row>
    <row r="13" spans="1:117" x14ac:dyDescent="0.15">
      <c r="A13" s="7" t="s">
        <v>74</v>
      </c>
      <c r="B13" s="20" t="e">
        <f>SUM('Reports EUR'!#REF!)</f>
        <v>#REF!</v>
      </c>
      <c r="C13" s="20" t="e">
        <f>SUM('Reports EUR'!#REF!)</f>
        <v>#REF!</v>
      </c>
      <c r="D13" s="37" t="e">
        <f>SUM('Reports EUR'!#REF!)</f>
        <v>#REF!</v>
      </c>
      <c r="E13" s="37" t="e">
        <f>SUM('Reports EUR'!#REF!)</f>
        <v>#REF!</v>
      </c>
      <c r="F13" s="37" t="e">
        <f>SUM('Reports EUR'!#REF!)</f>
        <v>#REF!</v>
      </c>
      <c r="G13" s="37" t="e">
        <f>F13*0.95</f>
        <v>#REF!</v>
      </c>
      <c r="H13" s="37" t="e">
        <f t="shared" ref="H13:K13" si="2">G13*0.95</f>
        <v>#REF!</v>
      </c>
      <c r="I13" s="37" t="e">
        <f t="shared" si="2"/>
        <v>#REF!</v>
      </c>
      <c r="J13" s="37" t="e">
        <f t="shared" si="2"/>
        <v>#REF!</v>
      </c>
      <c r="K13" s="37" t="e">
        <f t="shared" si="2"/>
        <v>#REF!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</row>
    <row r="14" spans="1:117" x14ac:dyDescent="0.15">
      <c r="A14" s="7" t="s">
        <v>75</v>
      </c>
      <c r="B14" s="20" t="e">
        <f>SUM('Reports EUR'!#REF!)</f>
        <v>#REF!</v>
      </c>
      <c r="C14" s="20" t="e">
        <f>SUM('Reports EUR'!#REF!)</f>
        <v>#REF!</v>
      </c>
      <c r="D14" s="37" t="e">
        <f>SUM('Reports EUR'!#REF!)</f>
        <v>#REF!</v>
      </c>
      <c r="E14" s="37" t="e">
        <f>SUM('Reports EUR'!#REF!)</f>
        <v>#REF!</v>
      </c>
      <c r="F14" s="37" t="e">
        <f>SUM('Reports EUR'!#REF!)</f>
        <v>#REF!</v>
      </c>
      <c r="G14" s="37" t="e">
        <f>F14*1.1</f>
        <v>#REF!</v>
      </c>
      <c r="H14" s="37" t="e">
        <f>G14*1.1</f>
        <v>#REF!</v>
      </c>
      <c r="I14" s="37" t="e">
        <f>H14*1.1</f>
        <v>#REF!</v>
      </c>
      <c r="J14" s="37" t="e">
        <f>I14*1.1</f>
        <v>#REF!</v>
      </c>
      <c r="K14" s="37" t="e">
        <f>J14*1.1</f>
        <v>#REF!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</row>
    <row r="15" spans="1:117" x14ac:dyDescent="0.15">
      <c r="B15" s="20"/>
      <c r="C15" s="20"/>
      <c r="D15" s="37"/>
      <c r="E15" s="37"/>
      <c r="F15" s="37"/>
      <c r="G15" s="37"/>
      <c r="H15" s="37"/>
      <c r="I15" s="37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</row>
    <row r="16" spans="1:117" s="13" customFormat="1" x14ac:dyDescent="0.15">
      <c r="A16" s="13" t="s">
        <v>69</v>
      </c>
      <c r="B16" s="20"/>
      <c r="C16" s="20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</row>
    <row r="17" spans="1:200" s="43" customFormat="1" x14ac:dyDescent="0.15">
      <c r="A17" s="43" t="s">
        <v>70</v>
      </c>
      <c r="B17" s="44"/>
      <c r="C17" s="44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</row>
    <row r="18" spans="1:200" s="38" customFormat="1" x14ac:dyDescent="0.15">
      <c r="F18" s="37">
        <v>11150</v>
      </c>
      <c r="G18" s="37"/>
      <c r="H18" s="37"/>
      <c r="I18" s="37"/>
    </row>
    <row r="19" spans="1:200" x14ac:dyDescent="0.15">
      <c r="A19" s="3" t="s">
        <v>4</v>
      </c>
      <c r="B19" s="25" t="e">
        <f t="shared" ref="B19:F19" si="3">SUM(B12:B14)</f>
        <v>#REF!</v>
      </c>
      <c r="C19" s="25" t="e">
        <f t="shared" si="3"/>
        <v>#REF!</v>
      </c>
      <c r="D19" s="25" t="e">
        <f t="shared" si="3"/>
        <v>#REF!</v>
      </c>
      <c r="E19" s="25" t="e">
        <f t="shared" si="3"/>
        <v>#REF!</v>
      </c>
      <c r="F19" s="25" t="e">
        <f t="shared" si="3"/>
        <v>#REF!</v>
      </c>
      <c r="G19" s="20" t="e">
        <f>SUM(G12:G14)</f>
        <v>#REF!</v>
      </c>
      <c r="H19" s="20" t="e">
        <f t="shared" ref="H19:I19" si="4">SUM(H12:H14)</f>
        <v>#REF!</v>
      </c>
      <c r="I19" s="20" t="e">
        <f t="shared" si="4"/>
        <v>#REF!</v>
      </c>
      <c r="J19" s="20" t="e">
        <f>SUM(J12:J14)</f>
        <v>#REF!</v>
      </c>
      <c r="K19" s="20" t="e">
        <f>SUM(K12:K14)</f>
        <v>#REF!</v>
      </c>
      <c r="L19" s="20" t="e">
        <f t="shared" ref="L19:P19" si="5">K19*1.1</f>
        <v>#REF!</v>
      </c>
      <c r="M19" s="20" t="e">
        <f t="shared" si="5"/>
        <v>#REF!</v>
      </c>
      <c r="N19" s="20" t="e">
        <f t="shared" si="5"/>
        <v>#REF!</v>
      </c>
      <c r="O19" s="20" t="e">
        <f t="shared" si="5"/>
        <v>#REF!</v>
      </c>
      <c r="P19" s="20" t="e">
        <f t="shared" si="5"/>
        <v>#REF!</v>
      </c>
      <c r="Q19" s="20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</row>
    <row r="20" spans="1:200" x14ac:dyDescent="0.15">
      <c r="A20" s="3" t="s">
        <v>5</v>
      </c>
      <c r="B20" s="20">
        <f>SUM('Reports EUR'!B6:E6)</f>
        <v>744.31700000000001</v>
      </c>
      <c r="C20" s="20">
        <f>SUM('Reports EUR'!F6:I6)</f>
        <v>819.90800000000002</v>
      </c>
      <c r="D20" s="37">
        <f>SUM('Reports EUR'!J6:M6)</f>
        <v>1010.491</v>
      </c>
      <c r="E20" s="37">
        <f>SUM('Reports EUR'!N6:Q6)</f>
        <v>1194.999</v>
      </c>
      <c r="F20" s="37">
        <f>SUM('Reports EUR'!R6:U6)</f>
        <v>1672.72</v>
      </c>
      <c r="G20" s="20" t="e">
        <f>G19-G21</f>
        <v>#REF!</v>
      </c>
      <c r="H20" s="20" t="e">
        <f t="shared" ref="H20" si="6">H19-H21</f>
        <v>#REF!</v>
      </c>
      <c r="I20" s="20" t="e">
        <f t="shared" ref="I20:P20" si="7">I19-I21</f>
        <v>#REF!</v>
      </c>
      <c r="J20" s="20" t="e">
        <f t="shared" si="7"/>
        <v>#REF!</v>
      </c>
      <c r="K20" s="20" t="e">
        <f>K19-K21</f>
        <v>#REF!</v>
      </c>
      <c r="L20" s="20" t="e">
        <f t="shared" si="7"/>
        <v>#REF!</v>
      </c>
      <c r="M20" s="20" t="e">
        <f t="shared" si="7"/>
        <v>#REF!</v>
      </c>
      <c r="N20" s="20" t="e">
        <f t="shared" si="7"/>
        <v>#REF!</v>
      </c>
      <c r="O20" s="20" t="e">
        <f t="shared" si="7"/>
        <v>#REF!</v>
      </c>
      <c r="P20" s="20" t="e">
        <f t="shared" si="7"/>
        <v>#REF!</v>
      </c>
      <c r="Q20" s="20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</row>
    <row r="21" spans="1:200" x14ac:dyDescent="0.15">
      <c r="A21" s="3" t="s">
        <v>6</v>
      </c>
      <c r="B21" s="25" t="e">
        <f>B19-B20</f>
        <v>#REF!</v>
      </c>
      <c r="C21" s="25" t="e">
        <f>C19-C20</f>
        <v>#REF!</v>
      </c>
      <c r="D21" s="25" t="e">
        <f>D19-D20</f>
        <v>#REF!</v>
      </c>
      <c r="E21" s="25" t="e">
        <f>E19-E20</f>
        <v>#REF!</v>
      </c>
      <c r="F21" s="25" t="e">
        <f>F19-F20</f>
        <v>#REF!</v>
      </c>
      <c r="G21" s="20" t="e">
        <f>G19*F34</f>
        <v>#REF!</v>
      </c>
      <c r="H21" s="20" t="e">
        <f t="shared" ref="H21:P21" si="8">H19*G34</f>
        <v>#REF!</v>
      </c>
      <c r="I21" s="20" t="e">
        <f t="shared" si="8"/>
        <v>#REF!</v>
      </c>
      <c r="J21" s="20" t="e">
        <f t="shared" si="8"/>
        <v>#REF!</v>
      </c>
      <c r="K21" s="20" t="e">
        <f>K19*J34</f>
        <v>#REF!</v>
      </c>
      <c r="L21" s="20" t="e">
        <f t="shared" si="8"/>
        <v>#REF!</v>
      </c>
      <c r="M21" s="20" t="e">
        <f t="shared" si="8"/>
        <v>#REF!</v>
      </c>
      <c r="N21" s="20" t="e">
        <f t="shared" si="8"/>
        <v>#REF!</v>
      </c>
      <c r="O21" s="20" t="e">
        <f t="shared" si="8"/>
        <v>#REF!</v>
      </c>
      <c r="P21" s="20" t="e">
        <f t="shared" si="8"/>
        <v>#REF!</v>
      </c>
      <c r="Q21" s="20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</row>
    <row r="22" spans="1:200" x14ac:dyDescent="0.15">
      <c r="A22" s="3" t="s">
        <v>7</v>
      </c>
      <c r="B22" s="20">
        <f>SUM('Reports EUR'!B8:E8)</f>
        <v>862.73</v>
      </c>
      <c r="C22" s="20">
        <f>SUM('Reports EUR'!F8:I8)</f>
        <v>975.98699999999985</v>
      </c>
      <c r="D22" s="37">
        <f>SUM('Reports EUR'!J8:M8)</f>
        <v>1224.0590000000002</v>
      </c>
      <c r="E22" s="37">
        <f>SUM('Reports EUR'!N8:Q8)</f>
        <v>1537.8119999999999</v>
      </c>
      <c r="F22" s="37">
        <f>SUM('Reports EUR'!R8:U8)</f>
        <v>1930.2280000000001</v>
      </c>
      <c r="G22" s="20">
        <f>F22*1.22</f>
        <v>2354.8781600000002</v>
      </c>
      <c r="H22" s="20">
        <f t="shared" ref="H22:K22" si="9">G22*1.22</f>
        <v>2872.9513552000003</v>
      </c>
      <c r="I22" s="20">
        <f t="shared" si="9"/>
        <v>3505.0006533440005</v>
      </c>
      <c r="J22" s="20">
        <f t="shared" si="9"/>
        <v>4276.1007970796809</v>
      </c>
      <c r="K22" s="20">
        <f t="shared" si="9"/>
        <v>5216.8429724372108</v>
      </c>
      <c r="L22" s="20">
        <f>K22*1.08</f>
        <v>5634.1904102321878</v>
      </c>
      <c r="M22" s="20">
        <f t="shared" ref="M22:P22" si="10">L22*1.08</f>
        <v>6084.925643050763</v>
      </c>
      <c r="N22" s="20">
        <f t="shared" si="10"/>
        <v>6571.7196944948246</v>
      </c>
      <c r="O22" s="20">
        <f t="shared" si="10"/>
        <v>7097.4572700544113</v>
      </c>
      <c r="P22" s="20">
        <f t="shared" si="10"/>
        <v>7665.2538516587647</v>
      </c>
      <c r="Q22" s="20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</row>
    <row r="23" spans="1:200" x14ac:dyDescent="0.15">
      <c r="A23" s="3" t="s">
        <v>8</v>
      </c>
      <c r="B23" s="20">
        <f>SUM('Reports EUR'!B9:E9)</f>
        <v>1683.242</v>
      </c>
      <c r="C23" s="20">
        <f>SUM('Reports EUR'!F9:I9)</f>
        <v>1910.1970000000001</v>
      </c>
      <c r="D23" s="37">
        <f>SUM('Reports EUR'!J9:M9)</f>
        <v>2197.5919999999996</v>
      </c>
      <c r="E23" s="37">
        <f>SUM('Reports EUR'!N9:Q9)</f>
        <v>2620.8289999999997</v>
      </c>
      <c r="F23" s="37">
        <f>SUM('Reports EUR'!R9:U9)</f>
        <v>3244.3469999999998</v>
      </c>
      <c r="G23" s="20">
        <f>F23*1.18</f>
        <v>3828.3294599999995</v>
      </c>
      <c r="H23" s="20">
        <f t="shared" ref="H23:K23" si="11">G23*1.18</f>
        <v>4517.4287627999993</v>
      </c>
      <c r="I23" s="20">
        <f t="shared" si="11"/>
        <v>5330.5659401039993</v>
      </c>
      <c r="J23" s="20">
        <f t="shared" si="11"/>
        <v>6290.0678093227189</v>
      </c>
      <c r="K23" s="20">
        <f t="shared" si="11"/>
        <v>7422.2800150008079</v>
      </c>
      <c r="L23" s="20">
        <f t="shared" ref="L23:P23" si="12">K23*0.98</f>
        <v>7273.834414700792</v>
      </c>
      <c r="M23" s="20">
        <f t="shared" si="12"/>
        <v>7128.3577264067762</v>
      </c>
      <c r="N23" s="20">
        <f t="shared" si="12"/>
        <v>6985.7905718786405</v>
      </c>
      <c r="O23" s="20">
        <f t="shared" si="12"/>
        <v>6846.0747604410681</v>
      </c>
      <c r="P23" s="20">
        <f t="shared" si="12"/>
        <v>6709.1532652322467</v>
      </c>
      <c r="Q23" s="20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</row>
    <row r="24" spans="1:200" x14ac:dyDescent="0.15">
      <c r="A24" s="3" t="s">
        <v>9</v>
      </c>
      <c r="B24" s="20">
        <f>SUM('Reports EUR'!B10:E10)</f>
        <v>602.12699999999995</v>
      </c>
      <c r="C24" s="20">
        <f>SUM('Reports EUR'!F10:I10)</f>
        <v>654.7360000000001</v>
      </c>
      <c r="D24" s="37">
        <f>SUM('Reports EUR'!J10:M10)</f>
        <v>701.26799999999992</v>
      </c>
      <c r="E24" s="37">
        <f>SUM('Reports EUR'!N10:Q10)</f>
        <v>835.99900000000002</v>
      </c>
      <c r="F24" s="37">
        <f>SUM('Reports EUR'!R10:U10)</f>
        <v>1055.8810000000001</v>
      </c>
      <c r="G24" s="20">
        <f>F24*1.15</f>
        <v>1214.26315</v>
      </c>
      <c r="H24" s="20">
        <f t="shared" ref="H24:K24" si="13">G24*1.15</f>
        <v>1396.4026224999998</v>
      </c>
      <c r="I24" s="20">
        <f t="shared" si="13"/>
        <v>1605.8630158749995</v>
      </c>
      <c r="J24" s="20">
        <f t="shared" si="13"/>
        <v>1846.7424682562494</v>
      </c>
      <c r="K24" s="20">
        <f t="shared" si="13"/>
        <v>2123.7538384946865</v>
      </c>
      <c r="L24" s="20">
        <f t="shared" ref="L24:P24" si="14">K24*0.98</f>
        <v>2081.2787617247927</v>
      </c>
      <c r="M24" s="20">
        <f t="shared" si="14"/>
        <v>2039.6531864902968</v>
      </c>
      <c r="N24" s="20">
        <f t="shared" si="14"/>
        <v>1998.8601227604909</v>
      </c>
      <c r="O24" s="20">
        <f t="shared" si="14"/>
        <v>1958.882920305281</v>
      </c>
      <c r="P24" s="20">
        <f t="shared" si="14"/>
        <v>1919.7052618991754</v>
      </c>
      <c r="Q24" s="20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</row>
    <row r="25" spans="1:200" x14ac:dyDescent="0.15">
      <c r="A25" s="3" t="s">
        <v>10</v>
      </c>
      <c r="B25" s="25">
        <f>SUM(B22:B24)</f>
        <v>3148.0989999999997</v>
      </c>
      <c r="C25" s="25">
        <f>SUM(C22:C24)</f>
        <v>3540.92</v>
      </c>
      <c r="D25" s="25">
        <f>SUM(D22:D24)</f>
        <v>4122.9189999999999</v>
      </c>
      <c r="E25" s="25">
        <f>SUM(E22:E24)</f>
        <v>4994.6399999999994</v>
      </c>
      <c r="F25" s="25">
        <f>SUM(F22:F24)</f>
        <v>6230.4560000000001</v>
      </c>
      <c r="G25" s="20">
        <f t="shared" ref="G25:H25" si="15">SUM(G22:G24)</f>
        <v>7397.470769999999</v>
      </c>
      <c r="H25" s="20">
        <f t="shared" si="15"/>
        <v>8786.7827404999989</v>
      </c>
      <c r="I25" s="20">
        <f t="shared" ref="I25:P25" si="16">SUM(I22:I24)</f>
        <v>10441.429609323</v>
      </c>
      <c r="J25" s="20">
        <f t="shared" si="16"/>
        <v>12412.911074658648</v>
      </c>
      <c r="K25" s="20">
        <f t="shared" si="16"/>
        <v>14762.876825932704</v>
      </c>
      <c r="L25" s="20">
        <f t="shared" si="16"/>
        <v>14989.303586657772</v>
      </c>
      <c r="M25" s="20">
        <f t="shared" si="16"/>
        <v>15252.936555947836</v>
      </c>
      <c r="N25" s="20">
        <f t="shared" si="16"/>
        <v>15556.370389133956</v>
      </c>
      <c r="O25" s="20">
        <f t="shared" si="16"/>
        <v>15902.414950800761</v>
      </c>
      <c r="P25" s="20">
        <f t="shared" si="16"/>
        <v>16294.112378790187</v>
      </c>
      <c r="Q25" s="20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</row>
    <row r="26" spans="1:200" x14ac:dyDescent="0.15">
      <c r="A26" s="3" t="s">
        <v>11</v>
      </c>
      <c r="B26" s="25" t="e">
        <f>B21-B25</f>
        <v>#REF!</v>
      </c>
      <c r="C26" s="25" t="e">
        <f>C21-C25</f>
        <v>#REF!</v>
      </c>
      <c r="D26" s="25" t="e">
        <f>D21-D25</f>
        <v>#REF!</v>
      </c>
      <c r="E26" s="25" t="e">
        <f>E21-E25</f>
        <v>#REF!</v>
      </c>
      <c r="F26" s="25" t="e">
        <f>F21-F25</f>
        <v>#REF!</v>
      </c>
      <c r="G26" s="20" t="e">
        <f t="shared" ref="G26:H26" si="17">G21-G25</f>
        <v>#REF!</v>
      </c>
      <c r="H26" s="20" t="e">
        <f t="shared" si="17"/>
        <v>#REF!</v>
      </c>
      <c r="I26" s="20" t="e">
        <f t="shared" ref="I26:P26" si="18">I21-I25</f>
        <v>#REF!</v>
      </c>
      <c r="J26" s="20" t="e">
        <f t="shared" si="18"/>
        <v>#REF!</v>
      </c>
      <c r="K26" s="20" t="e">
        <f t="shared" si="18"/>
        <v>#REF!</v>
      </c>
      <c r="L26" s="20" t="e">
        <f t="shared" si="18"/>
        <v>#REF!</v>
      </c>
      <c r="M26" s="20" t="e">
        <f t="shared" si="18"/>
        <v>#REF!</v>
      </c>
      <c r="N26" s="20" t="e">
        <f t="shared" si="18"/>
        <v>#REF!</v>
      </c>
      <c r="O26" s="20" t="e">
        <f t="shared" si="18"/>
        <v>#REF!</v>
      </c>
      <c r="P26" s="20" t="e">
        <f t="shared" si="18"/>
        <v>#REF!</v>
      </c>
      <c r="Q26" s="20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</row>
    <row r="27" spans="1:200" x14ac:dyDescent="0.15">
      <c r="A27" s="3" t="s">
        <v>12</v>
      </c>
      <c r="B27" s="20">
        <f>SUM('Reports EUR'!B13:E13)</f>
        <v>-29.314</v>
      </c>
      <c r="C27" s="20">
        <f>SUM('Reports EUR'!F13:I13)</f>
        <v>-58.463999999999999</v>
      </c>
      <c r="D27" s="37">
        <f>SUM('Reports EUR'!J13:M13)</f>
        <v>-30.454000000000004</v>
      </c>
      <c r="E27" s="20">
        <f>SUM('Reports EUR'!N13:Q13)</f>
        <v>-46.493000000000002</v>
      </c>
      <c r="F27" s="37">
        <f>SUM('Reports EUR'!R13:U13)</f>
        <v>-63.378999999999998</v>
      </c>
      <c r="G27" s="20">
        <f>F44*$F$3</f>
        <v>0.77418000000001486</v>
      </c>
      <c r="H27" s="20" t="e">
        <f t="shared" ref="H27:P27" si="19">G44*$F$3</f>
        <v>#REF!</v>
      </c>
      <c r="I27" s="20" t="e">
        <f t="shared" si="19"/>
        <v>#REF!</v>
      </c>
      <c r="J27" s="20" t="e">
        <f t="shared" si="19"/>
        <v>#REF!</v>
      </c>
      <c r="K27" s="20" t="e">
        <f t="shared" si="19"/>
        <v>#REF!</v>
      </c>
      <c r="L27" s="20" t="e">
        <f t="shared" si="19"/>
        <v>#REF!</v>
      </c>
      <c r="M27" s="20" t="e">
        <f t="shared" si="19"/>
        <v>#REF!</v>
      </c>
      <c r="N27" s="20" t="e">
        <f t="shared" si="19"/>
        <v>#REF!</v>
      </c>
      <c r="O27" s="20" t="e">
        <f t="shared" si="19"/>
        <v>#REF!</v>
      </c>
      <c r="P27" s="20" t="e">
        <f t="shared" si="19"/>
        <v>#REF!</v>
      </c>
      <c r="Q27" s="20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</row>
    <row r="28" spans="1:200" x14ac:dyDescent="0.15">
      <c r="A28" s="3" t="s">
        <v>13</v>
      </c>
      <c r="B28" s="25" t="e">
        <f>B26+B27</f>
        <v>#REF!</v>
      </c>
      <c r="C28" s="25" t="e">
        <f>C26+C27</f>
        <v>#REF!</v>
      </c>
      <c r="D28" s="25" t="e">
        <f>D26+D27</f>
        <v>#REF!</v>
      </c>
      <c r="E28" s="25" t="e">
        <f>E26+E27</f>
        <v>#REF!</v>
      </c>
      <c r="F28" s="25" t="e">
        <f>F26+F27</f>
        <v>#REF!</v>
      </c>
      <c r="G28" s="20" t="e">
        <f t="shared" ref="G28:H28" si="20">G26+G27</f>
        <v>#REF!</v>
      </c>
      <c r="H28" s="20" t="e">
        <f t="shared" si="20"/>
        <v>#REF!</v>
      </c>
      <c r="I28" s="20" t="e">
        <f t="shared" ref="I28" si="21">I26+I27</f>
        <v>#REF!</v>
      </c>
      <c r="J28" s="20" t="e">
        <f t="shared" ref="J28" si="22">J26+J27</f>
        <v>#REF!</v>
      </c>
      <c r="K28" s="20" t="e">
        <f t="shared" ref="K28" si="23">K26+K27</f>
        <v>#REF!</v>
      </c>
      <c r="L28" s="20" t="e">
        <f t="shared" ref="L28" si="24">L26+L27</f>
        <v>#REF!</v>
      </c>
      <c r="M28" s="20" t="e">
        <f t="shared" ref="M28" si="25">M26+M27</f>
        <v>#REF!</v>
      </c>
      <c r="N28" s="20" t="e">
        <f t="shared" ref="N28" si="26">N26+N27</f>
        <v>#REF!</v>
      </c>
      <c r="O28" s="20" t="e">
        <f t="shared" ref="O28" si="27">O26+O27</f>
        <v>#REF!</v>
      </c>
      <c r="P28" s="20" t="e">
        <f t="shared" ref="P28" si="28">P26+P27</f>
        <v>#REF!</v>
      </c>
      <c r="Q28" s="20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</row>
    <row r="29" spans="1:200" x14ac:dyDescent="0.15">
      <c r="A29" s="3" t="s">
        <v>14</v>
      </c>
      <c r="B29" s="20">
        <f>SUM('Reports EUR'!B15:E15)</f>
        <v>244.23000000000002</v>
      </c>
      <c r="C29" s="20">
        <f>SUM('Reports EUR'!F15:I15)</f>
        <v>266.35599999999999</v>
      </c>
      <c r="D29" s="37">
        <f>SUM('Reports EUR'!J15:M15)</f>
        <v>443.68700000000001</v>
      </c>
      <c r="E29" s="20">
        <f>SUM('Reports EUR'!N15:Q15)</f>
        <v>203.102</v>
      </c>
      <c r="F29" s="37">
        <f>SUM('Reports EUR'!R15:U15)</f>
        <v>253.28300000000002</v>
      </c>
      <c r="G29" s="20" t="e">
        <f>G28*0.1</f>
        <v>#REF!</v>
      </c>
      <c r="H29" s="20" t="e">
        <f t="shared" ref="H29:P29" si="29">H28*0.1</f>
        <v>#REF!</v>
      </c>
      <c r="I29" s="20" t="e">
        <f t="shared" si="29"/>
        <v>#REF!</v>
      </c>
      <c r="J29" s="20" t="e">
        <f t="shared" si="29"/>
        <v>#REF!</v>
      </c>
      <c r="K29" s="20" t="e">
        <f t="shared" si="29"/>
        <v>#REF!</v>
      </c>
      <c r="L29" s="20" t="e">
        <f t="shared" si="29"/>
        <v>#REF!</v>
      </c>
      <c r="M29" s="20" t="e">
        <f t="shared" si="29"/>
        <v>#REF!</v>
      </c>
      <c r="N29" s="20" t="e">
        <f t="shared" si="29"/>
        <v>#REF!</v>
      </c>
      <c r="O29" s="20" t="e">
        <f t="shared" si="29"/>
        <v>#REF!</v>
      </c>
      <c r="P29" s="20" t="e">
        <f t="shared" si="29"/>
        <v>#REF!</v>
      </c>
      <c r="Q29" s="20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</row>
    <row r="30" spans="1:200" x14ac:dyDescent="0.15">
      <c r="A30" s="3" t="s">
        <v>15</v>
      </c>
      <c r="B30" s="25" t="e">
        <f>B28-B29</f>
        <v>#REF!</v>
      </c>
      <c r="C30" s="25" t="e">
        <f>C28-C29</f>
        <v>#REF!</v>
      </c>
      <c r="D30" s="25" t="e">
        <f>D28-D29</f>
        <v>#REF!</v>
      </c>
      <c r="E30" s="25" t="e">
        <f>E28-E29</f>
        <v>#REF!</v>
      </c>
      <c r="F30" s="25" t="e">
        <f t="shared" ref="F30:H30" si="30">F28-F29</f>
        <v>#REF!</v>
      </c>
      <c r="G30" s="25" t="e">
        <f>G28-G29</f>
        <v>#REF!</v>
      </c>
      <c r="H30" s="25" t="e">
        <f t="shared" si="30"/>
        <v>#REF!</v>
      </c>
      <c r="I30" s="25" t="e">
        <f t="shared" ref="I30:P30" si="31">I28-I29</f>
        <v>#REF!</v>
      </c>
      <c r="J30" s="25" t="e">
        <f t="shared" si="31"/>
        <v>#REF!</v>
      </c>
      <c r="K30" s="25" t="e">
        <f t="shared" si="31"/>
        <v>#REF!</v>
      </c>
      <c r="L30" s="25" t="e">
        <f t="shared" si="31"/>
        <v>#REF!</v>
      </c>
      <c r="M30" s="25" t="e">
        <f t="shared" si="31"/>
        <v>#REF!</v>
      </c>
      <c r="N30" s="25" t="e">
        <f t="shared" si="31"/>
        <v>#REF!</v>
      </c>
      <c r="O30" s="25" t="e">
        <f t="shared" si="31"/>
        <v>#REF!</v>
      </c>
      <c r="P30" s="25" t="e">
        <f t="shared" si="31"/>
        <v>#REF!</v>
      </c>
      <c r="Q30" s="25" t="e">
        <f t="shared" ref="Q30:BY30" si="32">P30*($F$2+1)</f>
        <v>#REF!</v>
      </c>
      <c r="R30" s="25" t="e">
        <f t="shared" si="32"/>
        <v>#REF!</v>
      </c>
      <c r="S30" s="25" t="e">
        <f t="shared" si="32"/>
        <v>#REF!</v>
      </c>
      <c r="T30" s="25" t="e">
        <f t="shared" si="32"/>
        <v>#REF!</v>
      </c>
      <c r="U30" s="25" t="e">
        <f t="shared" si="32"/>
        <v>#REF!</v>
      </c>
      <c r="V30" s="25" t="e">
        <f t="shared" si="32"/>
        <v>#REF!</v>
      </c>
      <c r="W30" s="25" t="e">
        <f t="shared" si="32"/>
        <v>#REF!</v>
      </c>
      <c r="X30" s="25" t="e">
        <f t="shared" si="32"/>
        <v>#REF!</v>
      </c>
      <c r="Y30" s="25" t="e">
        <f t="shared" si="32"/>
        <v>#REF!</v>
      </c>
      <c r="Z30" s="25" t="e">
        <f t="shared" si="32"/>
        <v>#REF!</v>
      </c>
      <c r="AA30" s="25" t="e">
        <f t="shared" si="32"/>
        <v>#REF!</v>
      </c>
      <c r="AB30" s="25" t="e">
        <f t="shared" si="32"/>
        <v>#REF!</v>
      </c>
      <c r="AC30" s="25" t="e">
        <f t="shared" si="32"/>
        <v>#REF!</v>
      </c>
      <c r="AD30" s="25" t="e">
        <f t="shared" si="32"/>
        <v>#REF!</v>
      </c>
      <c r="AE30" s="25" t="e">
        <f t="shared" si="32"/>
        <v>#REF!</v>
      </c>
      <c r="AF30" s="25" t="e">
        <f t="shared" si="32"/>
        <v>#REF!</v>
      </c>
      <c r="AG30" s="25" t="e">
        <f t="shared" si="32"/>
        <v>#REF!</v>
      </c>
      <c r="AH30" s="25" t="e">
        <f t="shared" si="32"/>
        <v>#REF!</v>
      </c>
      <c r="AI30" s="25" t="e">
        <f t="shared" si="32"/>
        <v>#REF!</v>
      </c>
      <c r="AJ30" s="25" t="e">
        <f t="shared" si="32"/>
        <v>#REF!</v>
      </c>
      <c r="AK30" s="25" t="e">
        <f t="shared" si="32"/>
        <v>#REF!</v>
      </c>
      <c r="AL30" s="25" t="e">
        <f t="shared" si="32"/>
        <v>#REF!</v>
      </c>
      <c r="AM30" s="25" t="e">
        <f t="shared" si="32"/>
        <v>#REF!</v>
      </c>
      <c r="AN30" s="25" t="e">
        <f t="shared" si="32"/>
        <v>#REF!</v>
      </c>
      <c r="AO30" s="25" t="e">
        <f t="shared" si="32"/>
        <v>#REF!</v>
      </c>
      <c r="AP30" s="25" t="e">
        <f t="shared" si="32"/>
        <v>#REF!</v>
      </c>
      <c r="AQ30" s="25" t="e">
        <f t="shared" si="32"/>
        <v>#REF!</v>
      </c>
      <c r="AR30" s="25" t="e">
        <f t="shared" si="32"/>
        <v>#REF!</v>
      </c>
      <c r="AS30" s="25" t="e">
        <f t="shared" si="32"/>
        <v>#REF!</v>
      </c>
      <c r="AT30" s="25" t="e">
        <f t="shared" si="32"/>
        <v>#REF!</v>
      </c>
      <c r="AU30" s="25" t="e">
        <f t="shared" si="32"/>
        <v>#REF!</v>
      </c>
      <c r="AV30" s="25" t="e">
        <f t="shared" si="32"/>
        <v>#REF!</v>
      </c>
      <c r="AW30" s="25" t="e">
        <f t="shared" si="32"/>
        <v>#REF!</v>
      </c>
      <c r="AX30" s="25" t="e">
        <f t="shared" si="32"/>
        <v>#REF!</v>
      </c>
      <c r="AY30" s="25" t="e">
        <f t="shared" si="32"/>
        <v>#REF!</v>
      </c>
      <c r="AZ30" s="25" t="e">
        <f t="shared" si="32"/>
        <v>#REF!</v>
      </c>
      <c r="BA30" s="25" t="e">
        <f t="shared" si="32"/>
        <v>#REF!</v>
      </c>
      <c r="BB30" s="25" t="e">
        <f t="shared" si="32"/>
        <v>#REF!</v>
      </c>
      <c r="BC30" s="25" t="e">
        <f t="shared" si="32"/>
        <v>#REF!</v>
      </c>
      <c r="BD30" s="25" t="e">
        <f t="shared" si="32"/>
        <v>#REF!</v>
      </c>
      <c r="BE30" s="25" t="e">
        <f t="shared" si="32"/>
        <v>#REF!</v>
      </c>
      <c r="BF30" s="25" t="e">
        <f t="shared" si="32"/>
        <v>#REF!</v>
      </c>
      <c r="BG30" s="25" t="e">
        <f t="shared" si="32"/>
        <v>#REF!</v>
      </c>
      <c r="BH30" s="25" t="e">
        <f t="shared" si="32"/>
        <v>#REF!</v>
      </c>
      <c r="BI30" s="25" t="e">
        <f t="shared" si="32"/>
        <v>#REF!</v>
      </c>
      <c r="BJ30" s="25" t="e">
        <f t="shared" si="32"/>
        <v>#REF!</v>
      </c>
      <c r="BK30" s="25" t="e">
        <f t="shared" si="32"/>
        <v>#REF!</v>
      </c>
      <c r="BL30" s="25" t="e">
        <f t="shared" si="32"/>
        <v>#REF!</v>
      </c>
      <c r="BM30" s="25" t="e">
        <f t="shared" si="32"/>
        <v>#REF!</v>
      </c>
      <c r="BN30" s="25" t="e">
        <f t="shared" si="32"/>
        <v>#REF!</v>
      </c>
      <c r="BO30" s="25" t="e">
        <f t="shared" si="32"/>
        <v>#REF!</v>
      </c>
      <c r="BP30" s="25" t="e">
        <f t="shared" si="32"/>
        <v>#REF!</v>
      </c>
      <c r="BQ30" s="25" t="e">
        <f t="shared" si="32"/>
        <v>#REF!</v>
      </c>
      <c r="BR30" s="25" t="e">
        <f t="shared" si="32"/>
        <v>#REF!</v>
      </c>
      <c r="BS30" s="25" t="e">
        <f t="shared" si="32"/>
        <v>#REF!</v>
      </c>
      <c r="BT30" s="25" t="e">
        <f t="shared" si="32"/>
        <v>#REF!</v>
      </c>
      <c r="BU30" s="25" t="e">
        <f t="shared" si="32"/>
        <v>#REF!</v>
      </c>
      <c r="BV30" s="25" t="e">
        <f t="shared" si="32"/>
        <v>#REF!</v>
      </c>
      <c r="BW30" s="25" t="e">
        <f t="shared" si="32"/>
        <v>#REF!</v>
      </c>
      <c r="BX30" s="25" t="e">
        <f t="shared" si="32"/>
        <v>#REF!</v>
      </c>
      <c r="BY30" s="25" t="e">
        <f t="shared" si="32"/>
        <v>#REF!</v>
      </c>
      <c r="BZ30" s="25" t="e">
        <f t="shared" ref="BZ30:DM30" si="33">BY30*($F$2+1)</f>
        <v>#REF!</v>
      </c>
      <c r="CA30" s="25" t="e">
        <f t="shared" si="33"/>
        <v>#REF!</v>
      </c>
      <c r="CB30" s="25" t="e">
        <f t="shared" si="33"/>
        <v>#REF!</v>
      </c>
      <c r="CC30" s="25" t="e">
        <f t="shared" si="33"/>
        <v>#REF!</v>
      </c>
      <c r="CD30" s="25" t="e">
        <f t="shared" si="33"/>
        <v>#REF!</v>
      </c>
      <c r="CE30" s="25" t="e">
        <f t="shared" si="33"/>
        <v>#REF!</v>
      </c>
      <c r="CF30" s="25" t="e">
        <f t="shared" si="33"/>
        <v>#REF!</v>
      </c>
      <c r="CG30" s="25" t="e">
        <f t="shared" si="33"/>
        <v>#REF!</v>
      </c>
      <c r="CH30" s="25" t="e">
        <f t="shared" si="33"/>
        <v>#REF!</v>
      </c>
      <c r="CI30" s="25" t="e">
        <f t="shared" si="33"/>
        <v>#REF!</v>
      </c>
      <c r="CJ30" s="25" t="e">
        <f t="shared" si="33"/>
        <v>#REF!</v>
      </c>
      <c r="CK30" s="25" t="e">
        <f t="shared" si="33"/>
        <v>#REF!</v>
      </c>
      <c r="CL30" s="25" t="e">
        <f t="shared" si="33"/>
        <v>#REF!</v>
      </c>
      <c r="CM30" s="25" t="e">
        <f t="shared" si="33"/>
        <v>#REF!</v>
      </c>
      <c r="CN30" s="25" t="e">
        <f t="shared" si="33"/>
        <v>#REF!</v>
      </c>
      <c r="CO30" s="25" t="e">
        <f t="shared" si="33"/>
        <v>#REF!</v>
      </c>
      <c r="CP30" s="25" t="e">
        <f t="shared" si="33"/>
        <v>#REF!</v>
      </c>
      <c r="CQ30" s="25" t="e">
        <f t="shared" si="33"/>
        <v>#REF!</v>
      </c>
      <c r="CR30" s="25" t="e">
        <f t="shared" si="33"/>
        <v>#REF!</v>
      </c>
      <c r="CS30" s="25" t="e">
        <f t="shared" si="33"/>
        <v>#REF!</v>
      </c>
      <c r="CT30" s="25" t="e">
        <f t="shared" si="33"/>
        <v>#REF!</v>
      </c>
      <c r="CU30" s="25" t="e">
        <f t="shared" si="33"/>
        <v>#REF!</v>
      </c>
      <c r="CV30" s="25" t="e">
        <f t="shared" si="33"/>
        <v>#REF!</v>
      </c>
      <c r="CW30" s="25" t="e">
        <f t="shared" si="33"/>
        <v>#REF!</v>
      </c>
      <c r="CX30" s="25" t="e">
        <f t="shared" si="33"/>
        <v>#REF!</v>
      </c>
      <c r="CY30" s="25" t="e">
        <f t="shared" si="33"/>
        <v>#REF!</v>
      </c>
      <c r="CZ30" s="25" t="e">
        <f t="shared" si="33"/>
        <v>#REF!</v>
      </c>
      <c r="DA30" s="25" t="e">
        <f t="shared" si="33"/>
        <v>#REF!</v>
      </c>
      <c r="DB30" s="25" t="e">
        <f t="shared" si="33"/>
        <v>#REF!</v>
      </c>
      <c r="DC30" s="25" t="e">
        <f t="shared" si="33"/>
        <v>#REF!</v>
      </c>
      <c r="DD30" s="25" t="e">
        <f t="shared" si="33"/>
        <v>#REF!</v>
      </c>
      <c r="DE30" s="25" t="e">
        <f t="shared" si="33"/>
        <v>#REF!</v>
      </c>
      <c r="DF30" s="25" t="e">
        <f t="shared" si="33"/>
        <v>#REF!</v>
      </c>
      <c r="DG30" s="25" t="e">
        <f t="shared" si="33"/>
        <v>#REF!</v>
      </c>
      <c r="DH30" s="25" t="e">
        <f t="shared" si="33"/>
        <v>#REF!</v>
      </c>
      <c r="DI30" s="25" t="e">
        <f t="shared" si="33"/>
        <v>#REF!</v>
      </c>
      <c r="DJ30" s="25" t="e">
        <f t="shared" si="33"/>
        <v>#REF!</v>
      </c>
      <c r="DK30" s="25" t="e">
        <f t="shared" si="33"/>
        <v>#REF!</v>
      </c>
      <c r="DL30" s="25" t="e">
        <f t="shared" si="33"/>
        <v>#REF!</v>
      </c>
      <c r="DM30" s="25" t="e">
        <f t="shared" si="33"/>
        <v>#REF!</v>
      </c>
      <c r="DN30" s="25" t="e">
        <f t="shared" ref="DN30" si="34">DM30*($F$2+1)</f>
        <v>#REF!</v>
      </c>
      <c r="DO30" s="25" t="e">
        <f t="shared" ref="DO30" si="35">DN30*($F$2+1)</f>
        <v>#REF!</v>
      </c>
      <c r="DP30" s="25" t="e">
        <f t="shared" ref="DP30" si="36">DO30*($F$2+1)</f>
        <v>#REF!</v>
      </c>
      <c r="DQ30" s="25" t="e">
        <f t="shared" ref="DQ30" si="37">DP30*($F$2+1)</f>
        <v>#REF!</v>
      </c>
      <c r="DR30" s="25" t="e">
        <f t="shared" ref="DR30" si="38">DQ30*($F$2+1)</f>
        <v>#REF!</v>
      </c>
      <c r="DS30" s="25" t="e">
        <f t="shared" ref="DS30" si="39">DR30*($F$2+1)</f>
        <v>#REF!</v>
      </c>
      <c r="DT30" s="25" t="e">
        <f t="shared" ref="DT30" si="40">DS30*($F$2+1)</f>
        <v>#REF!</v>
      </c>
      <c r="DU30" s="25" t="e">
        <f t="shared" ref="DU30" si="41">DT30*($F$2+1)</f>
        <v>#REF!</v>
      </c>
      <c r="DV30" s="25" t="e">
        <f t="shared" ref="DV30" si="42">DU30*($F$2+1)</f>
        <v>#REF!</v>
      </c>
      <c r="DW30" s="25" t="e">
        <f t="shared" ref="DW30" si="43">DV30*($F$2+1)</f>
        <v>#REF!</v>
      </c>
      <c r="DX30" s="25" t="e">
        <f t="shared" ref="DX30" si="44">DW30*($F$2+1)</f>
        <v>#REF!</v>
      </c>
      <c r="DY30" s="25" t="e">
        <f t="shared" ref="DY30" si="45">DX30*($F$2+1)</f>
        <v>#REF!</v>
      </c>
      <c r="DZ30" s="25" t="e">
        <f t="shared" ref="DZ30" si="46">DY30*($F$2+1)</f>
        <v>#REF!</v>
      </c>
      <c r="EA30" s="25" t="e">
        <f t="shared" ref="EA30" si="47">DZ30*($F$2+1)</f>
        <v>#REF!</v>
      </c>
      <c r="EB30" s="25" t="e">
        <f t="shared" ref="EB30" si="48">EA30*($F$2+1)</f>
        <v>#REF!</v>
      </c>
      <c r="EC30" s="25" t="e">
        <f t="shared" ref="EC30" si="49">EB30*($F$2+1)</f>
        <v>#REF!</v>
      </c>
      <c r="ED30" s="25" t="e">
        <f t="shared" ref="ED30" si="50">EC30*($F$2+1)</f>
        <v>#REF!</v>
      </c>
      <c r="EE30" s="25" t="e">
        <f t="shared" ref="EE30" si="51">ED30*($F$2+1)</f>
        <v>#REF!</v>
      </c>
      <c r="EF30" s="25" t="e">
        <f t="shared" ref="EF30" si="52">EE30*($F$2+1)</f>
        <v>#REF!</v>
      </c>
      <c r="EG30" s="25" t="e">
        <f t="shared" ref="EG30" si="53">EF30*($F$2+1)</f>
        <v>#REF!</v>
      </c>
      <c r="EH30" s="25" t="e">
        <f t="shared" ref="EH30" si="54">EG30*($F$2+1)</f>
        <v>#REF!</v>
      </c>
      <c r="EI30" s="25" t="e">
        <f t="shared" ref="EI30" si="55">EH30*($F$2+1)</f>
        <v>#REF!</v>
      </c>
      <c r="EJ30" s="25" t="e">
        <f t="shared" ref="EJ30" si="56">EI30*($F$2+1)</f>
        <v>#REF!</v>
      </c>
      <c r="EK30" s="25" t="e">
        <f t="shared" ref="EK30" si="57">EJ30*($F$2+1)</f>
        <v>#REF!</v>
      </c>
      <c r="EL30" s="25" t="e">
        <f t="shared" ref="EL30" si="58">EK30*($F$2+1)</f>
        <v>#REF!</v>
      </c>
      <c r="EM30" s="25" t="e">
        <f t="shared" ref="EM30" si="59">EL30*($F$2+1)</f>
        <v>#REF!</v>
      </c>
      <c r="EN30" s="25" t="e">
        <f t="shared" ref="EN30" si="60">EM30*($F$2+1)</f>
        <v>#REF!</v>
      </c>
      <c r="EO30" s="25" t="e">
        <f t="shared" ref="EO30" si="61">EN30*($F$2+1)</f>
        <v>#REF!</v>
      </c>
      <c r="EP30" s="25" t="e">
        <f t="shared" ref="EP30" si="62">EO30*($F$2+1)</f>
        <v>#REF!</v>
      </c>
      <c r="EQ30" s="25" t="e">
        <f t="shared" ref="EQ30" si="63">EP30*($F$2+1)</f>
        <v>#REF!</v>
      </c>
      <c r="ER30" s="25" t="e">
        <f t="shared" ref="ER30" si="64">EQ30*($F$2+1)</f>
        <v>#REF!</v>
      </c>
      <c r="ES30" s="25" t="e">
        <f t="shared" ref="ES30" si="65">ER30*($F$2+1)</f>
        <v>#REF!</v>
      </c>
      <c r="ET30" s="25" t="e">
        <f t="shared" ref="ET30" si="66">ES30*($F$2+1)</f>
        <v>#REF!</v>
      </c>
      <c r="EU30" s="25" t="e">
        <f t="shared" ref="EU30" si="67">ET30*($F$2+1)</f>
        <v>#REF!</v>
      </c>
      <c r="EV30" s="25" t="e">
        <f t="shared" ref="EV30" si="68">EU30*($F$2+1)</f>
        <v>#REF!</v>
      </c>
      <c r="EW30" s="25" t="e">
        <f t="shared" ref="EW30" si="69">EV30*($F$2+1)</f>
        <v>#REF!</v>
      </c>
      <c r="EX30" s="25" t="e">
        <f t="shared" ref="EX30" si="70">EW30*($F$2+1)</f>
        <v>#REF!</v>
      </c>
      <c r="EY30" s="25" t="e">
        <f t="shared" ref="EY30" si="71">EX30*($F$2+1)</f>
        <v>#REF!</v>
      </c>
      <c r="EZ30" s="25" t="e">
        <f t="shared" ref="EZ30" si="72">EY30*($F$2+1)</f>
        <v>#REF!</v>
      </c>
      <c r="FA30" s="25" t="e">
        <f t="shared" ref="FA30" si="73">EZ30*($F$2+1)</f>
        <v>#REF!</v>
      </c>
      <c r="FB30" s="25" t="e">
        <f t="shared" ref="FB30" si="74">FA30*($F$2+1)</f>
        <v>#REF!</v>
      </c>
      <c r="FC30" s="25" t="e">
        <f t="shared" ref="FC30" si="75">FB30*($F$2+1)</f>
        <v>#REF!</v>
      </c>
      <c r="FD30" s="25" t="e">
        <f t="shared" ref="FD30" si="76">FC30*($F$2+1)</f>
        <v>#REF!</v>
      </c>
      <c r="FE30" s="25" t="e">
        <f t="shared" ref="FE30" si="77">FD30*($F$2+1)</f>
        <v>#REF!</v>
      </c>
      <c r="FF30" s="25" t="e">
        <f t="shared" ref="FF30" si="78">FE30*($F$2+1)</f>
        <v>#REF!</v>
      </c>
      <c r="FG30" s="25" t="e">
        <f t="shared" ref="FG30" si="79">FF30*($F$2+1)</f>
        <v>#REF!</v>
      </c>
      <c r="FH30" s="25" t="e">
        <f t="shared" ref="FH30" si="80">FG30*($F$2+1)</f>
        <v>#REF!</v>
      </c>
      <c r="FI30" s="25" t="e">
        <f t="shared" ref="FI30" si="81">FH30*($F$2+1)</f>
        <v>#REF!</v>
      </c>
      <c r="FJ30" s="25" t="e">
        <f t="shared" ref="FJ30" si="82">FI30*($F$2+1)</f>
        <v>#REF!</v>
      </c>
      <c r="FK30" s="25" t="e">
        <f t="shared" ref="FK30" si="83">FJ30*($F$2+1)</f>
        <v>#REF!</v>
      </c>
      <c r="FL30" s="25" t="e">
        <f t="shared" ref="FL30" si="84">FK30*($F$2+1)</f>
        <v>#REF!</v>
      </c>
      <c r="FM30" s="25" t="e">
        <f t="shared" ref="FM30" si="85">FL30*($F$2+1)</f>
        <v>#REF!</v>
      </c>
      <c r="FN30" s="25" t="e">
        <f t="shared" ref="FN30" si="86">FM30*($F$2+1)</f>
        <v>#REF!</v>
      </c>
      <c r="FO30" s="25" t="e">
        <f t="shared" ref="FO30" si="87">FN30*($F$2+1)</f>
        <v>#REF!</v>
      </c>
      <c r="FP30" s="25" t="e">
        <f t="shared" ref="FP30" si="88">FO30*($F$2+1)</f>
        <v>#REF!</v>
      </c>
      <c r="FQ30" s="25" t="e">
        <f t="shared" ref="FQ30" si="89">FP30*($F$2+1)</f>
        <v>#REF!</v>
      </c>
      <c r="FR30" s="25" t="e">
        <f t="shared" ref="FR30" si="90">FQ30*($F$2+1)</f>
        <v>#REF!</v>
      </c>
      <c r="FS30" s="25" t="e">
        <f t="shared" ref="FS30" si="91">FR30*($F$2+1)</f>
        <v>#REF!</v>
      </c>
      <c r="FT30" s="25" t="e">
        <f t="shared" ref="FT30" si="92">FS30*($F$2+1)</f>
        <v>#REF!</v>
      </c>
      <c r="FU30" s="25" t="e">
        <f t="shared" ref="FU30" si="93">FT30*($F$2+1)</f>
        <v>#REF!</v>
      </c>
      <c r="FV30" s="25" t="e">
        <f t="shared" ref="FV30" si="94">FU30*($F$2+1)</f>
        <v>#REF!</v>
      </c>
      <c r="FW30" s="25" t="e">
        <f t="shared" ref="FW30" si="95">FV30*($F$2+1)</f>
        <v>#REF!</v>
      </c>
      <c r="FX30" s="25" t="e">
        <f t="shared" ref="FX30" si="96">FW30*($F$2+1)</f>
        <v>#REF!</v>
      </c>
      <c r="FY30" s="25" t="e">
        <f t="shared" ref="FY30" si="97">FX30*($F$2+1)</f>
        <v>#REF!</v>
      </c>
      <c r="FZ30" s="25" t="e">
        <f t="shared" ref="FZ30" si="98">FY30*($F$2+1)</f>
        <v>#REF!</v>
      </c>
      <c r="GA30" s="25" t="e">
        <f t="shared" ref="GA30" si="99">FZ30*($F$2+1)</f>
        <v>#REF!</v>
      </c>
      <c r="GB30" s="25" t="e">
        <f t="shared" ref="GB30" si="100">GA30*($F$2+1)</f>
        <v>#REF!</v>
      </c>
      <c r="GC30" s="25" t="e">
        <f t="shared" ref="GC30" si="101">GB30*($F$2+1)</f>
        <v>#REF!</v>
      </c>
      <c r="GD30" s="25" t="e">
        <f t="shared" ref="GD30" si="102">GC30*($F$2+1)</f>
        <v>#REF!</v>
      </c>
      <c r="GE30" s="25" t="e">
        <f t="shared" ref="GE30" si="103">GD30*($F$2+1)</f>
        <v>#REF!</v>
      </c>
      <c r="GF30" s="25" t="e">
        <f t="shared" ref="GF30" si="104">GE30*($F$2+1)</f>
        <v>#REF!</v>
      </c>
      <c r="GG30" s="25" t="e">
        <f t="shared" ref="GG30" si="105">GF30*($F$2+1)</f>
        <v>#REF!</v>
      </c>
      <c r="GH30" s="25" t="e">
        <f t="shared" ref="GH30" si="106">GG30*($F$2+1)</f>
        <v>#REF!</v>
      </c>
      <c r="GI30" s="25" t="e">
        <f t="shared" ref="GI30" si="107">GH30*($F$2+1)</f>
        <v>#REF!</v>
      </c>
      <c r="GJ30" s="25" t="e">
        <f t="shared" ref="GJ30" si="108">GI30*($F$2+1)</f>
        <v>#REF!</v>
      </c>
      <c r="GK30" s="25" t="e">
        <f t="shared" ref="GK30" si="109">GJ30*($F$2+1)</f>
        <v>#REF!</v>
      </c>
      <c r="GL30" s="25" t="e">
        <f t="shared" ref="GL30" si="110">GK30*($F$2+1)</f>
        <v>#REF!</v>
      </c>
      <c r="GM30" s="25" t="e">
        <f t="shared" ref="GM30" si="111">GL30*($F$2+1)</f>
        <v>#REF!</v>
      </c>
      <c r="GN30" s="25" t="e">
        <f t="shared" ref="GN30" si="112">GM30*($F$2+1)</f>
        <v>#REF!</v>
      </c>
      <c r="GO30" s="25" t="e">
        <f t="shared" ref="GO30" si="113">GN30*($F$2+1)</f>
        <v>#REF!</v>
      </c>
      <c r="GP30" s="25" t="e">
        <f t="shared" ref="GP30" si="114">GO30*($F$2+1)</f>
        <v>#REF!</v>
      </c>
      <c r="GQ30" s="25" t="e">
        <f t="shared" ref="GQ30" si="115">GP30*($F$2+1)</f>
        <v>#REF!</v>
      </c>
      <c r="GR30" s="25" t="e">
        <f t="shared" ref="GR30" si="116">GQ30*($F$2+1)</f>
        <v>#REF!</v>
      </c>
    </row>
    <row r="31" spans="1:200" x14ac:dyDescent="0.15">
      <c r="A31" s="3" t="s">
        <v>16</v>
      </c>
      <c r="B31" s="27" t="e">
        <f t="shared" ref="B31:G31" si="117">B30/B32</f>
        <v>#REF!</v>
      </c>
      <c r="C31" s="27" t="e">
        <f t="shared" si="117"/>
        <v>#REF!</v>
      </c>
      <c r="D31" s="27" t="e">
        <f t="shared" si="117"/>
        <v>#REF!</v>
      </c>
      <c r="E31" s="27" t="e">
        <f t="shared" si="117"/>
        <v>#REF!</v>
      </c>
      <c r="F31" s="27" t="e">
        <f t="shared" si="117"/>
        <v>#REF!</v>
      </c>
      <c r="G31" s="51" t="e">
        <f t="shared" si="117"/>
        <v>#REF!</v>
      </c>
      <c r="H31" s="51" t="e">
        <f t="shared" ref="H31" si="118">H30/H32</f>
        <v>#REF!</v>
      </c>
      <c r="I31" s="51" t="e">
        <f t="shared" ref="I31:P31" si="119">I30/I32</f>
        <v>#REF!</v>
      </c>
      <c r="J31" s="51" t="e">
        <f t="shared" si="119"/>
        <v>#REF!</v>
      </c>
      <c r="K31" s="51" t="e">
        <f t="shared" si="119"/>
        <v>#REF!</v>
      </c>
      <c r="L31" s="51" t="e">
        <f t="shared" si="119"/>
        <v>#REF!</v>
      </c>
      <c r="M31" s="51" t="e">
        <f t="shared" si="119"/>
        <v>#REF!</v>
      </c>
      <c r="N31" s="51" t="e">
        <f t="shared" si="119"/>
        <v>#REF!</v>
      </c>
      <c r="O31" s="51" t="e">
        <f t="shared" si="119"/>
        <v>#REF!</v>
      </c>
      <c r="P31" s="51" t="e">
        <f t="shared" si="119"/>
        <v>#REF!</v>
      </c>
      <c r="Q31" s="51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</row>
    <row r="32" spans="1:200" s="13" customFormat="1" x14ac:dyDescent="0.15">
      <c r="A32" s="13" t="s">
        <v>17</v>
      </c>
      <c r="B32" s="20">
        <f>'Reports EUR'!E19</f>
        <v>506.012</v>
      </c>
      <c r="C32" s="20">
        <f>'Reports EUR'!I19</f>
        <v>501.17599999999999</v>
      </c>
      <c r="D32" s="20">
        <f>'Reports EUR'!M19</f>
        <v>500.06</v>
      </c>
      <c r="E32" s="20">
        <f>'Reports EUR'!Q19</f>
        <v>495.18799999999999</v>
      </c>
      <c r="F32" s="20">
        <f>'Reports EUR'!U19</f>
        <v>488.851</v>
      </c>
      <c r="G32" s="20">
        <f t="shared" ref="G32" si="120">F32</f>
        <v>488.851</v>
      </c>
      <c r="H32" s="20">
        <f t="shared" ref="H32" si="121">G32</f>
        <v>488.851</v>
      </c>
      <c r="I32" s="20">
        <f t="shared" ref="I32" si="122">H32</f>
        <v>488.851</v>
      </c>
      <c r="J32" s="20">
        <f t="shared" ref="J32" si="123">I32</f>
        <v>488.851</v>
      </c>
      <c r="K32" s="20">
        <f t="shared" ref="K32" si="124">J32</f>
        <v>488.851</v>
      </c>
      <c r="L32" s="20">
        <f t="shared" ref="L32" si="125">K32</f>
        <v>488.851</v>
      </c>
      <c r="M32" s="20">
        <f t="shared" ref="M32" si="126">L32</f>
        <v>488.851</v>
      </c>
      <c r="N32" s="20">
        <f t="shared" ref="N32" si="127">M32</f>
        <v>488.851</v>
      </c>
      <c r="O32" s="20">
        <f t="shared" ref="O32" si="128">N32</f>
        <v>488.851</v>
      </c>
      <c r="P32" s="20">
        <f t="shared" ref="P32" si="129">O32</f>
        <v>488.851</v>
      </c>
      <c r="Q32" s="20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</row>
    <row r="33" spans="1:117" x14ac:dyDescent="0.1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</row>
    <row r="34" spans="1:117" x14ac:dyDescent="0.15">
      <c r="A34" s="3" t="s">
        <v>19</v>
      </c>
      <c r="B34" s="33">
        <f t="shared" ref="B34:P34" si="130">IFERROR(B21/B19,0)</f>
        <v>0</v>
      </c>
      <c r="C34" s="33">
        <f t="shared" si="130"/>
        <v>0</v>
      </c>
      <c r="D34" s="33">
        <f t="shared" si="130"/>
        <v>0</v>
      </c>
      <c r="E34" s="33">
        <f>IFERROR(E21/E19,0)</f>
        <v>0</v>
      </c>
      <c r="F34" s="33">
        <f t="shared" si="130"/>
        <v>0</v>
      </c>
      <c r="G34" s="33">
        <f t="shared" si="130"/>
        <v>0</v>
      </c>
      <c r="H34" s="33">
        <f>IFERROR(H21/H19,0)</f>
        <v>0</v>
      </c>
      <c r="I34" s="33">
        <f t="shared" si="130"/>
        <v>0</v>
      </c>
      <c r="J34" s="33">
        <f t="shared" si="130"/>
        <v>0</v>
      </c>
      <c r="K34" s="33">
        <f t="shared" si="130"/>
        <v>0</v>
      </c>
      <c r="L34" s="33">
        <f t="shared" si="130"/>
        <v>0</v>
      </c>
      <c r="M34" s="33">
        <f t="shared" si="130"/>
        <v>0</v>
      </c>
      <c r="N34" s="33">
        <f t="shared" si="130"/>
        <v>0</v>
      </c>
      <c r="O34" s="33">
        <f t="shared" si="130"/>
        <v>0</v>
      </c>
      <c r="P34" s="33">
        <f t="shared" si="130"/>
        <v>0</v>
      </c>
      <c r="Q34" s="33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</row>
    <row r="35" spans="1:117" x14ac:dyDescent="0.15">
      <c r="A35" s="3" t="s">
        <v>20</v>
      </c>
      <c r="B35" s="35">
        <f t="shared" ref="B35:P35" si="131">IFERROR(B26/B19,0)</f>
        <v>0</v>
      </c>
      <c r="C35" s="35">
        <f t="shared" si="131"/>
        <v>0</v>
      </c>
      <c r="D35" s="35">
        <f t="shared" si="131"/>
        <v>0</v>
      </c>
      <c r="E35" s="35">
        <f>IFERROR(E26/E19,0)</f>
        <v>0</v>
      </c>
      <c r="F35" s="35">
        <f t="shared" si="131"/>
        <v>0</v>
      </c>
      <c r="G35" s="35">
        <f>IFERROR(G26/G19,0)</f>
        <v>0</v>
      </c>
      <c r="H35" s="35">
        <f t="shared" si="131"/>
        <v>0</v>
      </c>
      <c r="I35" s="35">
        <f t="shared" si="131"/>
        <v>0</v>
      </c>
      <c r="J35" s="35">
        <f t="shared" si="131"/>
        <v>0</v>
      </c>
      <c r="K35" s="35">
        <f t="shared" si="131"/>
        <v>0</v>
      </c>
      <c r="L35" s="35">
        <f t="shared" si="131"/>
        <v>0</v>
      </c>
      <c r="M35" s="35">
        <f t="shared" si="131"/>
        <v>0</v>
      </c>
      <c r="N35" s="35">
        <f t="shared" si="131"/>
        <v>0</v>
      </c>
      <c r="O35" s="35">
        <f t="shared" si="131"/>
        <v>0</v>
      </c>
      <c r="P35" s="35">
        <f t="shared" si="131"/>
        <v>0</v>
      </c>
      <c r="Q35" s="35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</row>
    <row r="36" spans="1:117" x14ac:dyDescent="0.15">
      <c r="A36" s="3" t="s">
        <v>21</v>
      </c>
      <c r="B36" s="35">
        <f t="shared" ref="B36:P36" si="132">IFERROR(B29/B28,0)</f>
        <v>0</v>
      </c>
      <c r="C36" s="35">
        <f t="shared" si="132"/>
        <v>0</v>
      </c>
      <c r="D36" s="35">
        <f t="shared" si="132"/>
        <v>0</v>
      </c>
      <c r="E36" s="35">
        <f>IFERROR(E29/E28,0)</f>
        <v>0</v>
      </c>
      <c r="F36" s="35">
        <f t="shared" si="132"/>
        <v>0</v>
      </c>
      <c r="G36" s="35">
        <f t="shared" si="132"/>
        <v>0</v>
      </c>
      <c r="H36" s="35">
        <f t="shared" si="132"/>
        <v>0</v>
      </c>
      <c r="I36" s="35">
        <f t="shared" si="132"/>
        <v>0</v>
      </c>
      <c r="J36" s="35">
        <f t="shared" si="132"/>
        <v>0</v>
      </c>
      <c r="K36" s="35">
        <f t="shared" si="132"/>
        <v>0</v>
      </c>
      <c r="L36" s="35">
        <f t="shared" si="132"/>
        <v>0</v>
      </c>
      <c r="M36" s="35">
        <f t="shared" si="132"/>
        <v>0</v>
      </c>
      <c r="N36" s="35">
        <f t="shared" si="132"/>
        <v>0</v>
      </c>
      <c r="O36" s="35">
        <f t="shared" si="132"/>
        <v>0</v>
      </c>
      <c r="P36" s="35">
        <f t="shared" si="132"/>
        <v>0</v>
      </c>
      <c r="Q36" s="35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</row>
    <row r="37" spans="1:117" x14ac:dyDescent="0.15"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</row>
    <row r="38" spans="1:117" x14ac:dyDescent="0.15">
      <c r="A38" s="3" t="s">
        <v>18</v>
      </c>
      <c r="B38" s="17"/>
      <c r="C38" s="35" t="e">
        <f t="shared" ref="C38:P38" si="133">C19/B19-1</f>
        <v>#REF!</v>
      </c>
      <c r="D38" s="35" t="e">
        <f t="shared" si="133"/>
        <v>#REF!</v>
      </c>
      <c r="E38" s="35" t="e">
        <f t="shared" si="133"/>
        <v>#REF!</v>
      </c>
      <c r="F38" s="35" t="e">
        <f>F19/E19-1</f>
        <v>#REF!</v>
      </c>
      <c r="G38" s="35" t="e">
        <f t="shared" si="133"/>
        <v>#REF!</v>
      </c>
      <c r="H38" s="35" t="e">
        <f t="shared" si="133"/>
        <v>#REF!</v>
      </c>
      <c r="I38" s="35" t="e">
        <f t="shared" si="133"/>
        <v>#REF!</v>
      </c>
      <c r="J38" s="35" t="e">
        <f t="shared" si="133"/>
        <v>#REF!</v>
      </c>
      <c r="K38" s="35" t="e">
        <f t="shared" si="133"/>
        <v>#REF!</v>
      </c>
      <c r="L38" s="35" t="e">
        <f t="shared" si="133"/>
        <v>#REF!</v>
      </c>
      <c r="M38" s="35" t="e">
        <f t="shared" si="133"/>
        <v>#REF!</v>
      </c>
      <c r="N38" s="35" t="e">
        <f t="shared" si="133"/>
        <v>#REF!</v>
      </c>
      <c r="O38" s="35" t="e">
        <f t="shared" si="133"/>
        <v>#REF!</v>
      </c>
      <c r="P38" s="35" t="e">
        <f t="shared" si="133"/>
        <v>#REF!</v>
      </c>
      <c r="Q38" s="35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</row>
    <row r="39" spans="1:117" x14ac:dyDescent="0.15">
      <c r="A39" s="3" t="s">
        <v>42</v>
      </c>
      <c r="B39" s="17"/>
      <c r="C39" s="35">
        <f t="shared" ref="C39:P39" si="134">C22/B22-1</f>
        <v>0.13127745644639677</v>
      </c>
      <c r="D39" s="35">
        <f t="shared" si="134"/>
        <v>0.25417551668208738</v>
      </c>
      <c r="E39" s="35">
        <f t="shared" si="134"/>
        <v>0.25632179494615825</v>
      </c>
      <c r="F39" s="35">
        <f t="shared" si="134"/>
        <v>0.25517813620910768</v>
      </c>
      <c r="G39" s="35">
        <f t="shared" si="134"/>
        <v>0.21999999999999997</v>
      </c>
      <c r="H39" s="35">
        <f t="shared" si="134"/>
        <v>0.21999999999999997</v>
      </c>
      <c r="I39" s="35">
        <f t="shared" si="134"/>
        <v>0.21999999999999997</v>
      </c>
      <c r="J39" s="35">
        <f t="shared" si="134"/>
        <v>0.21999999999999997</v>
      </c>
      <c r="K39" s="35">
        <f t="shared" si="134"/>
        <v>0.21999999999999997</v>
      </c>
      <c r="L39" s="35">
        <f t="shared" si="134"/>
        <v>8.0000000000000071E-2</v>
      </c>
      <c r="M39" s="35">
        <f t="shared" si="134"/>
        <v>8.0000000000000071E-2</v>
      </c>
      <c r="N39" s="35">
        <f t="shared" si="134"/>
        <v>8.0000000000000071E-2</v>
      </c>
      <c r="O39" s="35">
        <f t="shared" si="134"/>
        <v>8.0000000000000071E-2</v>
      </c>
      <c r="P39" s="35">
        <f t="shared" si="134"/>
        <v>8.0000000000000071E-2</v>
      </c>
      <c r="Q39" s="35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</row>
    <row r="40" spans="1:117" x14ac:dyDescent="0.15">
      <c r="A40" s="3" t="s">
        <v>43</v>
      </c>
      <c r="B40" s="17"/>
      <c r="C40" s="35">
        <f t="shared" ref="C40:P40" si="135">C23/B23-1</f>
        <v>0.13483206811617121</v>
      </c>
      <c r="D40" s="35">
        <f t="shared" si="135"/>
        <v>0.15045306845314887</v>
      </c>
      <c r="E40" s="35">
        <f t="shared" si="135"/>
        <v>0.19259125442757341</v>
      </c>
      <c r="F40" s="35">
        <f t="shared" si="135"/>
        <v>0.23790869224966604</v>
      </c>
      <c r="G40" s="35">
        <f t="shared" si="135"/>
        <v>0.17999999999999994</v>
      </c>
      <c r="H40" s="35">
        <f t="shared" si="135"/>
        <v>0.17999999999999994</v>
      </c>
      <c r="I40" s="35">
        <f t="shared" si="135"/>
        <v>0.17999999999999994</v>
      </c>
      <c r="J40" s="35">
        <f t="shared" si="135"/>
        <v>0.17999999999999994</v>
      </c>
      <c r="K40" s="35">
        <f t="shared" si="135"/>
        <v>0.17999999999999994</v>
      </c>
      <c r="L40" s="35">
        <f t="shared" si="135"/>
        <v>-2.0000000000000018E-2</v>
      </c>
      <c r="M40" s="35">
        <f t="shared" si="135"/>
        <v>-2.0000000000000018E-2</v>
      </c>
      <c r="N40" s="35">
        <f t="shared" si="135"/>
        <v>-2.0000000000000018E-2</v>
      </c>
      <c r="O40" s="35">
        <f t="shared" si="135"/>
        <v>-1.9999999999999907E-2</v>
      </c>
      <c r="P40" s="35">
        <f t="shared" si="135"/>
        <v>-2.0000000000000018E-2</v>
      </c>
      <c r="Q40" s="35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</row>
    <row r="41" spans="1:117" x14ac:dyDescent="0.15">
      <c r="A41" s="3" t="s">
        <v>44</v>
      </c>
      <c r="B41" s="17"/>
      <c r="C41" s="35">
        <f t="shared" ref="C41:P41" si="136">C24/B24-1</f>
        <v>8.7371933163602034E-2</v>
      </c>
      <c r="D41" s="35">
        <f>D24/C24-1</f>
        <v>7.1069866327801989E-2</v>
      </c>
      <c r="E41" s="35">
        <f t="shared" si="136"/>
        <v>0.19212483672433378</v>
      </c>
      <c r="F41" s="35">
        <f t="shared" si="136"/>
        <v>0.26301706102519273</v>
      </c>
      <c r="G41" s="35">
        <f t="shared" si="136"/>
        <v>0.14999999999999991</v>
      </c>
      <c r="H41" s="35">
        <f t="shared" si="136"/>
        <v>0.14999999999999991</v>
      </c>
      <c r="I41" s="35">
        <f t="shared" si="136"/>
        <v>0.14999999999999991</v>
      </c>
      <c r="J41" s="35">
        <f t="shared" si="136"/>
        <v>0.14999999999999991</v>
      </c>
      <c r="K41" s="35">
        <f t="shared" si="136"/>
        <v>0.14999999999999991</v>
      </c>
      <c r="L41" s="35">
        <f t="shared" si="136"/>
        <v>-2.0000000000000018E-2</v>
      </c>
      <c r="M41" s="35">
        <f t="shared" si="136"/>
        <v>-2.0000000000000018E-2</v>
      </c>
      <c r="N41" s="35">
        <f t="shared" si="136"/>
        <v>-2.0000000000000018E-2</v>
      </c>
      <c r="O41" s="35">
        <f t="shared" si="136"/>
        <v>-2.0000000000000018E-2</v>
      </c>
      <c r="P41" s="35">
        <f t="shared" si="136"/>
        <v>-2.0000000000000018E-2</v>
      </c>
      <c r="Q41" s="35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</row>
    <row r="42" spans="1:117" x14ac:dyDescent="0.15">
      <c r="A42" s="5" t="s">
        <v>81</v>
      </c>
      <c r="B42" s="17"/>
      <c r="C42" s="33">
        <f>C25/B25-1</f>
        <v>0.12478038333610231</v>
      </c>
      <c r="D42" s="33">
        <f>D25/C25-1</f>
        <v>0.16436378116421713</v>
      </c>
      <c r="E42" s="33">
        <f>E25/D25-1</f>
        <v>0.21143296775900744</v>
      </c>
      <c r="F42" s="33">
        <f t="shared" ref="F42:P42" si="137">F25/E25-1</f>
        <v>0.24742844329120839</v>
      </c>
      <c r="G42" s="33">
        <f t="shared" si="137"/>
        <v>0.18730808306807711</v>
      </c>
      <c r="H42" s="33">
        <f t="shared" si="137"/>
        <v>0.18780905172809481</v>
      </c>
      <c r="I42" s="33">
        <f t="shared" si="137"/>
        <v>0.18831088894418779</v>
      </c>
      <c r="J42" s="33">
        <f t="shared" si="137"/>
        <v>0.18881336551609196</v>
      </c>
      <c r="K42" s="33">
        <f t="shared" si="137"/>
        <v>0.18931624798888524</v>
      </c>
      <c r="L42" s="33">
        <f>L25/K25-1</f>
        <v>1.5337577045100304E-2</v>
      </c>
      <c r="M42" s="33">
        <f t="shared" si="137"/>
        <v>1.7588073239421798E-2</v>
      </c>
      <c r="N42" s="33">
        <f t="shared" si="137"/>
        <v>1.9893469829440624E-2</v>
      </c>
      <c r="O42" s="33">
        <f t="shared" si="137"/>
        <v>2.2244556603545185E-2</v>
      </c>
      <c r="P42" s="33">
        <f t="shared" si="137"/>
        <v>2.4631317268557495E-2</v>
      </c>
      <c r="Q42" s="17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</row>
    <row r="43" spans="1:117" x14ac:dyDescent="0.15">
      <c r="B43" s="17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17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</row>
    <row r="44" spans="1:117" x14ac:dyDescent="0.15">
      <c r="A44" s="3" t="s">
        <v>26</v>
      </c>
      <c r="B44" s="25">
        <f>B45-B46</f>
        <v>2080.8530000000001</v>
      </c>
      <c r="C44" s="25">
        <f>C45-C46</f>
        <v>2859.232</v>
      </c>
      <c r="D44" s="25">
        <f>D45-D46</f>
        <v>3938.3530000000001</v>
      </c>
      <c r="E44" s="25">
        <f>E45-E46</f>
        <v>-895.83800000000019</v>
      </c>
      <c r="F44" s="25">
        <f>F45-F46</f>
        <v>38.709000000000742</v>
      </c>
      <c r="G44" s="53" t="e">
        <f>F44+G30</f>
        <v>#REF!</v>
      </c>
      <c r="H44" s="53" t="e">
        <f>G44+H30</f>
        <v>#REF!</v>
      </c>
      <c r="I44" s="53" t="e">
        <f t="shared" ref="I44:P44" si="138">H44+I30</f>
        <v>#REF!</v>
      </c>
      <c r="J44" s="53" t="e">
        <f t="shared" si="138"/>
        <v>#REF!</v>
      </c>
      <c r="K44" s="53" t="e">
        <f t="shared" si="138"/>
        <v>#REF!</v>
      </c>
      <c r="L44" s="53" t="e">
        <f t="shared" si="138"/>
        <v>#REF!</v>
      </c>
      <c r="M44" s="53" t="e">
        <f t="shared" si="138"/>
        <v>#REF!</v>
      </c>
      <c r="N44" s="53" t="e">
        <f t="shared" si="138"/>
        <v>#REF!</v>
      </c>
      <c r="O44" s="53" t="e">
        <f t="shared" si="138"/>
        <v>#REF!</v>
      </c>
      <c r="P44" s="53" t="e">
        <f t="shared" si="138"/>
        <v>#REF!</v>
      </c>
      <c r="Q44" s="20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</row>
    <row r="45" spans="1:117" x14ac:dyDescent="0.15">
      <c r="A45" s="3" t="s">
        <v>27</v>
      </c>
      <c r="B45" s="53">
        <f>'Reports EUR'!E32</f>
        <v>3988.0839999999998</v>
      </c>
      <c r="C45" s="53">
        <f>'Reports EUR'!I32</f>
        <v>4761.3</v>
      </c>
      <c r="D45" s="53">
        <f>'Reports EUR'!M32</f>
        <v>5819.7740000000003</v>
      </c>
      <c r="E45" s="53">
        <f>'Reports EUR'!Q32</f>
        <v>3228.962</v>
      </c>
      <c r="F45" s="53">
        <f>'Reports EUR'!U32</f>
        <v>4176.9760000000006</v>
      </c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0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</row>
    <row r="46" spans="1:117" x14ac:dyDescent="0.15">
      <c r="A46" s="3" t="s">
        <v>28</v>
      </c>
      <c r="B46" s="53">
        <f>'Reports EUR'!E33</f>
        <v>1907.231</v>
      </c>
      <c r="C46" s="53">
        <f>'Reports EUR'!I33</f>
        <v>1902.068</v>
      </c>
      <c r="D46" s="53">
        <f>'Reports EUR'!M33</f>
        <v>1881.421</v>
      </c>
      <c r="E46" s="53">
        <f>'Reports EUR'!Q33</f>
        <v>4124.8</v>
      </c>
      <c r="F46" s="53">
        <f>'Reports EUR'!U33</f>
        <v>4138.2669999999998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20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</row>
    <row r="47" spans="1:117" x14ac:dyDescent="0.15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5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</row>
    <row r="48" spans="1:117" x14ac:dyDescent="0.15">
      <c r="A48" s="3" t="s">
        <v>56</v>
      </c>
      <c r="B48" s="56">
        <f>'Reports EUR'!E35</f>
        <v>5876.8879999999999</v>
      </c>
      <c r="C48" s="56">
        <f>'Reports EUR'!I35</f>
        <v>5820.8789999999999</v>
      </c>
      <c r="D48" s="56">
        <f>'Reports EUR'!M35</f>
        <v>6207.2190000000001</v>
      </c>
      <c r="E48" s="53">
        <f>'Reports EUR'!Q35</f>
        <v>12650.049000000001</v>
      </c>
      <c r="F48" s="53">
        <f>'Reports EUR'!U35</f>
        <v>12411.764000000001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</row>
    <row r="49" spans="1:117" x14ac:dyDescent="0.15">
      <c r="A49" s="3" t="s">
        <v>57</v>
      </c>
      <c r="B49" s="56">
        <f>'Reports EUR'!E36</f>
        <v>11726.472</v>
      </c>
      <c r="C49" s="56">
        <f>'Reports EUR'!I36</f>
        <v>12707.114</v>
      </c>
      <c r="D49" s="56">
        <f>'Reports EUR'!M36</f>
        <v>14535.556</v>
      </c>
      <c r="E49" s="53">
        <f>'Reports EUR'!Q36</f>
        <v>18768.682000000001</v>
      </c>
      <c r="F49" s="53">
        <f>'Reports EUR'!U36</f>
        <v>20762.400000000001</v>
      </c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</row>
    <row r="50" spans="1:117" x14ac:dyDescent="0.15">
      <c r="A50" s="3" t="s">
        <v>58</v>
      </c>
      <c r="B50" s="56">
        <f>'Reports EUR'!E37</f>
        <v>4724.8919999999998</v>
      </c>
      <c r="C50" s="56">
        <f>'Reports EUR'!I37</f>
        <v>5282.2790000000005</v>
      </c>
      <c r="D50" s="56">
        <f>'Reports EUR'!M37</f>
        <v>6075.6869999999999</v>
      </c>
      <c r="E50" s="53">
        <f>'Reports EUR'!Q37</f>
        <v>9406.5679999999993</v>
      </c>
      <c r="F50" s="53">
        <f>'Reports EUR'!U37</f>
        <v>10232.245000000001</v>
      </c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</row>
    <row r="51" spans="1:117" x14ac:dyDescent="0.15"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</row>
    <row r="52" spans="1:117" x14ac:dyDescent="0.15">
      <c r="A52" s="3" t="s">
        <v>59</v>
      </c>
      <c r="B52" s="57">
        <f>B49-B48-B45</f>
        <v>1861.5</v>
      </c>
      <c r="C52" s="57">
        <f>C49-C48-C45</f>
        <v>2124.9349999999995</v>
      </c>
      <c r="D52" s="57">
        <f>D49-D48-D45</f>
        <v>2508.5629999999992</v>
      </c>
      <c r="E52" s="57">
        <f>E49-E48-E45</f>
        <v>2889.6709999999998</v>
      </c>
      <c r="F52" s="57">
        <f>F49-F48-F45</f>
        <v>4173.66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</row>
    <row r="53" spans="1:117" x14ac:dyDescent="0.15">
      <c r="A53" s="3" t="s">
        <v>60</v>
      </c>
      <c r="B53" s="57">
        <f>B49-B50</f>
        <v>7001.58</v>
      </c>
      <c r="C53" s="57">
        <f>C49-C50</f>
        <v>7424.8349999999991</v>
      </c>
      <c r="D53" s="57">
        <f>D49-D50</f>
        <v>8459.8690000000006</v>
      </c>
      <c r="E53" s="57">
        <f>E49-E50</f>
        <v>9362.1140000000014</v>
      </c>
      <c r="F53" s="57">
        <f>F49-F50</f>
        <v>10530.155000000001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</row>
    <row r="54" spans="1:117" x14ac:dyDescent="0.15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</row>
    <row r="55" spans="1:117" x14ac:dyDescent="0.15">
      <c r="A55" s="15" t="s">
        <v>62</v>
      </c>
      <c r="B55" s="58" t="e">
        <f>B30/B53</f>
        <v>#REF!</v>
      </c>
      <c r="C55" s="58" t="e">
        <f>C30/C53</f>
        <v>#REF!</v>
      </c>
      <c r="D55" s="58" t="e">
        <f>D30/D53</f>
        <v>#REF!</v>
      </c>
      <c r="E55" s="58" t="e">
        <f>E30/E53</f>
        <v>#REF!</v>
      </c>
      <c r="F55" s="58" t="e">
        <f>F30/F53</f>
        <v>#REF!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</row>
    <row r="56" spans="1:117" x14ac:dyDescent="0.15">
      <c r="A56" s="15" t="s">
        <v>63</v>
      </c>
      <c r="B56" s="58" t="e">
        <f>B30/B49</f>
        <v>#REF!</v>
      </c>
      <c r="C56" s="58" t="e">
        <f>C30/C49</f>
        <v>#REF!</v>
      </c>
      <c r="D56" s="58" t="e">
        <f>D30/D49</f>
        <v>#REF!</v>
      </c>
      <c r="E56" s="58" t="e">
        <f>E30/E49</f>
        <v>#REF!</v>
      </c>
      <c r="F56" s="58" t="e">
        <f>F30/F49</f>
        <v>#REF!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</row>
    <row r="57" spans="1:117" x14ac:dyDescent="0.15">
      <c r="A57" s="15" t="s">
        <v>64</v>
      </c>
      <c r="B57" s="58" t="e">
        <f>B30/(B53-B48)</f>
        <v>#REF!</v>
      </c>
      <c r="C57" s="58" t="e">
        <f>C30/(C53-C48)</f>
        <v>#REF!</v>
      </c>
      <c r="D57" s="58" t="e">
        <f>D30/(D53-D48)</f>
        <v>#REF!</v>
      </c>
      <c r="E57" s="58" t="e">
        <f>E30/(E53-E48)</f>
        <v>#REF!</v>
      </c>
      <c r="F57" s="58" t="e">
        <f>F30/(F53-F48)</f>
        <v>#REF!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</row>
    <row r="58" spans="1:117" x14ac:dyDescent="0.15">
      <c r="A58" s="15" t="s">
        <v>65</v>
      </c>
      <c r="B58" s="58" t="e">
        <f>B30/B52</f>
        <v>#REF!</v>
      </c>
      <c r="C58" s="58" t="e">
        <f>C30/C52</f>
        <v>#REF!</v>
      </c>
      <c r="D58" s="58" t="e">
        <f>D30/D52</f>
        <v>#REF!</v>
      </c>
      <c r="E58" s="58" t="e">
        <f>E30/E52</f>
        <v>#REF!</v>
      </c>
      <c r="F58" s="58" t="e">
        <f>F30/F52</f>
        <v>#REF!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</row>
    <row r="59" spans="1:117" x14ac:dyDescent="0.15"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</row>
    <row r="60" spans="1:117" x14ac:dyDescent="0.15">
      <c r="A60" s="3" t="s">
        <v>100</v>
      </c>
      <c r="B60" s="58" t="e">
        <f>(B48/B32)/$C$2</f>
        <v>#DIV/0!</v>
      </c>
      <c r="C60" s="58" t="e">
        <f t="shared" ref="C60:E60" si="139">(C48/C32)/$C$2</f>
        <v>#DIV/0!</v>
      </c>
      <c r="D60" s="58" t="e">
        <f t="shared" si="139"/>
        <v>#DIV/0!</v>
      </c>
      <c r="E60" s="58" t="e">
        <f t="shared" si="139"/>
        <v>#DIV/0!</v>
      </c>
      <c r="F60" s="58" t="e">
        <f>(F48/F32)/$C$2</f>
        <v>#DIV/0!</v>
      </c>
      <c r="G60" s="63" t="s">
        <v>101</v>
      </c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</row>
    <row r="61" spans="1:117" x14ac:dyDescent="0.15">
      <c r="B61" s="58"/>
      <c r="C61" s="58"/>
      <c r="D61" s="58"/>
      <c r="E61" s="58"/>
      <c r="F61" s="58"/>
      <c r="G61" s="63"/>
      <c r="H61" s="38"/>
      <c r="I61" s="38"/>
      <c r="J61" s="38"/>
      <c r="K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</row>
    <row r="62" spans="1:117" x14ac:dyDescent="0.15">
      <c r="A62" s="3" t="s">
        <v>105</v>
      </c>
      <c r="B62" s="58" t="e">
        <f t="shared" ref="B62:K62" si="140">B30/B22-1</f>
        <v>#REF!</v>
      </c>
      <c r="C62" s="58" t="e">
        <f t="shared" si="140"/>
        <v>#REF!</v>
      </c>
      <c r="D62" s="58" t="e">
        <f t="shared" si="140"/>
        <v>#REF!</v>
      </c>
      <c r="E62" s="58" t="e">
        <f t="shared" si="140"/>
        <v>#REF!</v>
      </c>
      <c r="F62" s="58" t="e">
        <f t="shared" si="140"/>
        <v>#REF!</v>
      </c>
      <c r="G62" s="58" t="e">
        <f t="shared" si="140"/>
        <v>#REF!</v>
      </c>
      <c r="H62" s="58" t="e">
        <f t="shared" si="140"/>
        <v>#REF!</v>
      </c>
      <c r="I62" s="58" t="e">
        <f t="shared" si="140"/>
        <v>#REF!</v>
      </c>
      <c r="J62" s="58" t="e">
        <f t="shared" si="140"/>
        <v>#REF!</v>
      </c>
      <c r="K62" s="58" t="e">
        <f t="shared" si="140"/>
        <v>#REF!</v>
      </c>
      <c r="L62" s="63" t="s">
        <v>107</v>
      </c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</row>
    <row r="63" spans="1:117" x14ac:dyDescent="0.15">
      <c r="A63" s="3" t="s">
        <v>106</v>
      </c>
      <c r="B63" s="61" t="str">
        <f t="shared" ref="B63:K63" si="141">ROUND($C$4/B22,0)&amp;"x"</f>
        <v>0x</v>
      </c>
      <c r="C63" s="61" t="str">
        <f t="shared" si="141"/>
        <v>0x</v>
      </c>
      <c r="D63" s="61" t="str">
        <f t="shared" si="141"/>
        <v>0x</v>
      </c>
      <c r="E63" s="61" t="str">
        <f t="shared" si="141"/>
        <v>0x</v>
      </c>
      <c r="F63" s="61" t="str">
        <f t="shared" si="141"/>
        <v>0x</v>
      </c>
      <c r="G63" s="61" t="str">
        <f t="shared" si="141"/>
        <v>0x</v>
      </c>
      <c r="H63" s="61" t="str">
        <f t="shared" si="141"/>
        <v>0x</v>
      </c>
      <c r="I63" s="61" t="str">
        <f t="shared" si="141"/>
        <v>0x</v>
      </c>
      <c r="J63" s="61" t="str">
        <f t="shared" si="141"/>
        <v>0x</v>
      </c>
      <c r="K63" s="61" t="str">
        <f t="shared" si="141"/>
        <v>0x</v>
      </c>
      <c r="L63" s="63" t="s">
        <v>108</v>
      </c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</row>
    <row r="64" spans="1:117" x14ac:dyDescent="0.15"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</row>
    <row r="65" spans="1:117" x14ac:dyDescent="0.15">
      <c r="A65" s="5" t="s">
        <v>76</v>
      </c>
      <c r="B65" s="38"/>
      <c r="C65" s="58" t="e">
        <f>C12/B12-1</f>
        <v>#DIV/0!</v>
      </c>
      <c r="D65" s="58" t="e">
        <f t="shared" ref="D65:F65" si="142">D12/C12-1</f>
        <v>#DIV/0!</v>
      </c>
      <c r="E65" s="58" t="e">
        <f t="shared" si="142"/>
        <v>#DIV/0!</v>
      </c>
      <c r="F65" s="58" t="e">
        <f t="shared" si="142"/>
        <v>#DIV/0!</v>
      </c>
      <c r="G65" s="58">
        <f t="shared" ref="G65:K67" si="143">G12/F12-1</f>
        <v>0.25</v>
      </c>
      <c r="H65" s="58">
        <f t="shared" si="143"/>
        <v>0.25</v>
      </c>
      <c r="I65" s="58">
        <f t="shared" si="143"/>
        <v>0.25</v>
      </c>
      <c r="J65" s="58">
        <f t="shared" si="143"/>
        <v>0.25</v>
      </c>
      <c r="K65" s="58">
        <f t="shared" si="143"/>
        <v>0.25</v>
      </c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</row>
    <row r="66" spans="1:117" x14ac:dyDescent="0.15">
      <c r="A66" s="5" t="s">
        <v>77</v>
      </c>
      <c r="B66" s="38"/>
      <c r="C66" s="58" t="e">
        <f t="shared" ref="C66:F66" si="144">C13/B13-1</f>
        <v>#REF!</v>
      </c>
      <c r="D66" s="58" t="e">
        <f t="shared" si="144"/>
        <v>#REF!</v>
      </c>
      <c r="E66" s="58" t="e">
        <f t="shared" si="144"/>
        <v>#REF!</v>
      </c>
      <c r="F66" s="58" t="e">
        <f t="shared" si="144"/>
        <v>#REF!</v>
      </c>
      <c r="G66" s="58" t="e">
        <f t="shared" si="143"/>
        <v>#REF!</v>
      </c>
      <c r="H66" s="58" t="e">
        <f t="shared" si="143"/>
        <v>#REF!</v>
      </c>
      <c r="I66" s="58" t="e">
        <f t="shared" si="143"/>
        <v>#REF!</v>
      </c>
      <c r="J66" s="58" t="e">
        <f t="shared" si="143"/>
        <v>#REF!</v>
      </c>
      <c r="K66" s="58" t="e">
        <f t="shared" si="143"/>
        <v>#REF!</v>
      </c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</row>
    <row r="67" spans="1:117" x14ac:dyDescent="0.15">
      <c r="A67" s="5" t="s">
        <v>78</v>
      </c>
      <c r="B67" s="38"/>
      <c r="C67" s="58" t="e">
        <f t="shared" ref="C67:F67" si="145">C14/B14-1</f>
        <v>#REF!</v>
      </c>
      <c r="D67" s="58" t="e">
        <f t="shared" si="145"/>
        <v>#REF!</v>
      </c>
      <c r="E67" s="58" t="e">
        <f t="shared" si="145"/>
        <v>#REF!</v>
      </c>
      <c r="F67" s="58" t="e">
        <f t="shared" si="145"/>
        <v>#REF!</v>
      </c>
      <c r="G67" s="58" t="e">
        <f t="shared" si="143"/>
        <v>#REF!</v>
      </c>
      <c r="H67" s="58" t="e">
        <f t="shared" si="143"/>
        <v>#REF!</v>
      </c>
      <c r="I67" s="58" t="e">
        <f t="shared" si="143"/>
        <v>#REF!</v>
      </c>
      <c r="J67" s="58" t="e">
        <f t="shared" si="143"/>
        <v>#REF!</v>
      </c>
      <c r="K67" s="58" t="e">
        <f t="shared" si="143"/>
        <v>#REF!</v>
      </c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</row>
    <row r="68" spans="1:117" x14ac:dyDescent="0.15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</row>
    <row r="69" spans="1:117" s="16" customFormat="1" x14ac:dyDescent="0.15">
      <c r="A69" s="16" t="s">
        <v>71</v>
      </c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</row>
    <row r="70" spans="1:117" s="16" customFormat="1" x14ac:dyDescent="0.15">
      <c r="A70" s="16" t="s">
        <v>72</v>
      </c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</row>
  </sheetData>
  <hyperlinks>
    <hyperlink ref="A1" r:id="rId1" xr:uid="{00000000-0004-0000-0000-000000000000}"/>
    <hyperlink ref="L4" r:id="rId2" xr:uid="{CBCA994A-BC74-CB48-8009-AD2DE8254A02}"/>
    <hyperlink ref="A4" r:id="rId3" xr:uid="{80407B9E-8908-3942-99DC-DEB7AC2453E4}"/>
    <hyperlink ref="A7" r:id="rId4" xr:uid="{D70FF7FB-38FC-5144-8EA2-D1F20FB945EE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3"/>
  <sheetViews>
    <sheetView tabSelected="1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X13" sqref="X13"/>
    </sheetView>
  </sheetViews>
  <sheetFormatPr baseColWidth="10" defaultRowHeight="13" x14ac:dyDescent="0.15"/>
  <cols>
    <col min="1" max="1" width="20.33203125" style="5" bestFit="1" customWidth="1"/>
    <col min="2" max="5" width="10.83203125" style="17" customWidth="1"/>
    <col min="6" max="6" width="10.83203125" style="18" customWidth="1"/>
    <col min="7" max="8" width="10.83203125" style="17" customWidth="1"/>
    <col min="9" max="9" width="10.83203125" style="17"/>
    <col min="10" max="10" width="10.83203125" style="18"/>
    <col min="11" max="13" width="10.83203125" style="17"/>
    <col min="14" max="14" width="10.83203125" style="18"/>
    <col min="15" max="17" width="10.83203125" style="17"/>
    <col min="18" max="18" width="10.83203125" style="18"/>
    <col min="19" max="21" width="10.83203125" style="17"/>
    <col min="22" max="22" width="10.83203125" style="18"/>
    <col min="23" max="25" width="10.83203125" style="17"/>
    <col min="26" max="16384" width="10.83203125" style="5"/>
  </cols>
  <sheetData>
    <row r="1" spans="1:25" x14ac:dyDescent="0.15">
      <c r="A1" s="62" t="s">
        <v>45</v>
      </c>
      <c r="B1" s="17" t="s">
        <v>38</v>
      </c>
      <c r="C1" s="17" t="s">
        <v>39</v>
      </c>
      <c r="D1" s="17" t="s">
        <v>40</v>
      </c>
      <c r="E1" s="17" t="s">
        <v>41</v>
      </c>
      <c r="F1" s="18" t="s">
        <v>22</v>
      </c>
      <c r="G1" s="17" t="s">
        <v>23</v>
      </c>
      <c r="H1" s="17" t="s">
        <v>24</v>
      </c>
      <c r="I1" s="17" t="s">
        <v>25</v>
      </c>
      <c r="J1" s="19" t="s">
        <v>0</v>
      </c>
      <c r="K1" s="20" t="s">
        <v>1</v>
      </c>
      <c r="L1" s="20" t="s">
        <v>2</v>
      </c>
      <c r="M1" s="20" t="s">
        <v>3</v>
      </c>
      <c r="N1" s="19" t="s">
        <v>34</v>
      </c>
      <c r="O1" s="20" t="s">
        <v>35</v>
      </c>
      <c r="P1" s="20" t="s">
        <v>36</v>
      </c>
      <c r="Q1" s="20" t="s">
        <v>37</v>
      </c>
      <c r="R1" s="19" t="s">
        <v>52</v>
      </c>
      <c r="S1" s="20" t="s">
        <v>53</v>
      </c>
      <c r="T1" s="20" t="s">
        <v>54</v>
      </c>
      <c r="U1" s="20" t="s">
        <v>55</v>
      </c>
      <c r="V1" s="19" t="s">
        <v>96</v>
      </c>
      <c r="W1" s="20" t="s">
        <v>97</v>
      </c>
      <c r="X1" s="20" t="s">
        <v>98</v>
      </c>
      <c r="Y1" s="20" t="s">
        <v>99</v>
      </c>
    </row>
    <row r="2" spans="1:25" s="17" customFormat="1" x14ac:dyDescent="0.15">
      <c r="A2" s="1"/>
      <c r="B2" s="17" t="s">
        <v>95</v>
      </c>
      <c r="C2" s="17" t="s">
        <v>93</v>
      </c>
      <c r="D2" s="17" t="s">
        <v>91</v>
      </c>
      <c r="E2" s="17" t="s">
        <v>89</v>
      </c>
      <c r="F2" s="18" t="s">
        <v>94</v>
      </c>
      <c r="G2" s="17" t="s">
        <v>92</v>
      </c>
      <c r="H2" s="17" t="s">
        <v>90</v>
      </c>
      <c r="I2" s="17" t="s">
        <v>88</v>
      </c>
      <c r="J2" s="18" t="s">
        <v>87</v>
      </c>
      <c r="K2" s="17" t="s">
        <v>86</v>
      </c>
      <c r="L2" s="17" t="s">
        <v>84</v>
      </c>
      <c r="M2" s="17" t="s">
        <v>82</v>
      </c>
      <c r="N2" s="18" t="s">
        <v>80</v>
      </c>
      <c r="O2" s="17" t="s">
        <v>85</v>
      </c>
      <c r="P2" s="17" t="s">
        <v>83</v>
      </c>
      <c r="Q2" s="17" t="s">
        <v>79</v>
      </c>
      <c r="R2" s="18"/>
      <c r="V2" s="68">
        <v>43921</v>
      </c>
    </row>
    <row r="3" spans="1:25" s="7" customFormat="1" x14ac:dyDescent="0.15">
      <c r="A3" s="7" t="s">
        <v>117</v>
      </c>
      <c r="B3" s="20"/>
      <c r="C3" s="20"/>
      <c r="D3" s="20"/>
      <c r="E3" s="20"/>
      <c r="F3" s="19"/>
      <c r="G3" s="20"/>
      <c r="H3" s="20"/>
      <c r="I3" s="20"/>
      <c r="J3" s="19"/>
      <c r="K3" s="20"/>
      <c r="L3" s="20"/>
      <c r="M3" s="20"/>
      <c r="N3" s="19"/>
      <c r="O3" s="20"/>
      <c r="P3" s="20"/>
      <c r="Q3" s="20"/>
      <c r="R3" s="19">
        <v>363.4</v>
      </c>
      <c r="S3" s="20"/>
      <c r="T3" s="20"/>
      <c r="U3" s="20"/>
      <c r="V3" s="19">
        <v>427.3</v>
      </c>
      <c r="W3" s="20"/>
      <c r="X3" s="20"/>
      <c r="Y3" s="20"/>
    </row>
    <row r="4" spans="1:25" x14ac:dyDescent="0.15">
      <c r="B4" s="20"/>
      <c r="C4" s="20"/>
      <c r="D4" s="20"/>
      <c r="E4" s="20"/>
      <c r="F4" s="19"/>
      <c r="G4" s="20"/>
      <c r="H4" s="20"/>
      <c r="I4" s="20"/>
      <c r="J4" s="19"/>
      <c r="K4" s="20"/>
      <c r="L4" s="20"/>
      <c r="M4" s="20"/>
      <c r="N4" s="19"/>
      <c r="O4" s="20"/>
      <c r="P4" s="20"/>
      <c r="Q4" s="20"/>
    </row>
    <row r="5" spans="1:25" s="14" customFormat="1" x14ac:dyDescent="0.15">
      <c r="A5" s="14" t="s">
        <v>4</v>
      </c>
      <c r="B5" s="22">
        <f>SUM(B3:B3)</f>
        <v>0</v>
      </c>
      <c r="C5" s="22">
        <f>SUM(C3:C3)</f>
        <v>0</v>
      </c>
      <c r="D5" s="22">
        <f>SUM(D3:D3)</f>
        <v>0</v>
      </c>
      <c r="E5" s="22">
        <f>SUM(E3:E3)</f>
        <v>0</v>
      </c>
      <c r="F5" s="23">
        <f>SUM(F3:F3)</f>
        <v>0</v>
      </c>
      <c r="G5" s="22">
        <f>SUM(G3:G3)</f>
        <v>0</v>
      </c>
      <c r="H5" s="22">
        <f>SUM(H3:H3)</f>
        <v>0</v>
      </c>
      <c r="I5" s="22">
        <f>SUM(I3:I3)</f>
        <v>0</v>
      </c>
      <c r="J5" s="23">
        <f>SUM(J3:J3)</f>
        <v>0</v>
      </c>
      <c r="K5" s="22">
        <f>SUM(K3:K3)</f>
        <v>0</v>
      </c>
      <c r="L5" s="22">
        <f>SUM(L3:L3)</f>
        <v>0</v>
      </c>
      <c r="M5" s="22">
        <f>SUM(M3:M3)</f>
        <v>0</v>
      </c>
      <c r="N5" s="23">
        <f>SUM(N3:N3)</f>
        <v>0</v>
      </c>
      <c r="O5" s="22">
        <f>SUM(O3:O3)</f>
        <v>0</v>
      </c>
      <c r="P5" s="22">
        <f>SUM(P3:P3)</f>
        <v>0</v>
      </c>
      <c r="Q5" s="22">
        <f>SUM(Q3:Q3)</f>
        <v>0</v>
      </c>
      <c r="R5" s="23">
        <f>SUM(R3:R3)</f>
        <v>363.4</v>
      </c>
      <c r="S5" s="22">
        <f>SUM(S3:S3)</f>
        <v>0</v>
      </c>
      <c r="T5" s="22">
        <f>SUM(T3:T3)</f>
        <v>0</v>
      </c>
      <c r="U5" s="22">
        <f>SUM(U3:U3)</f>
        <v>0</v>
      </c>
      <c r="V5" s="23">
        <f>SUM(V3:V3)</f>
        <v>427.3</v>
      </c>
      <c r="W5" s="52"/>
      <c r="X5" s="52"/>
      <c r="Y5" s="52"/>
    </row>
    <row r="6" spans="1:25" s="7" customFormat="1" x14ac:dyDescent="0.15">
      <c r="A6" s="7" t="s">
        <v>5</v>
      </c>
      <c r="B6" s="20">
        <v>166.798</v>
      </c>
      <c r="C6" s="20">
        <v>185.173</v>
      </c>
      <c r="D6" s="20">
        <v>190.98500000000001</v>
      </c>
      <c r="E6" s="20">
        <v>201.36099999999999</v>
      </c>
      <c r="F6" s="19">
        <v>198.572</v>
      </c>
      <c r="G6" s="20">
        <v>202.07900000000001</v>
      </c>
      <c r="H6" s="20">
        <v>202.70099999999999</v>
      </c>
      <c r="I6" s="20">
        <v>216.55600000000001</v>
      </c>
      <c r="J6" s="19">
        <v>237.33699999999999</v>
      </c>
      <c r="K6" s="20">
        <v>239.36</v>
      </c>
      <c r="L6" s="20">
        <v>262.92200000000003</v>
      </c>
      <c r="M6" s="20">
        <v>270.87200000000001</v>
      </c>
      <c r="N6" s="19">
        <v>258.90199999999999</v>
      </c>
      <c r="O6" s="20">
        <v>281.34399999999999</v>
      </c>
      <c r="P6" s="20">
        <v>295.49200000000002</v>
      </c>
      <c r="Q6" s="20">
        <v>359.26100000000002</v>
      </c>
      <c r="R6" s="19">
        <v>397.286</v>
      </c>
      <c r="S6" s="20">
        <v>407.488</v>
      </c>
      <c r="T6" s="53">
        <v>415.96300000000002</v>
      </c>
      <c r="U6" s="53">
        <v>451.983</v>
      </c>
      <c r="V6" s="19">
        <v>452</v>
      </c>
      <c r="W6" s="53"/>
      <c r="X6" s="53"/>
      <c r="Y6" s="53"/>
    </row>
    <row r="7" spans="1:25" s="7" customFormat="1" x14ac:dyDescent="0.15">
      <c r="A7" s="7" t="s">
        <v>6</v>
      </c>
      <c r="B7" s="25">
        <f>B5-B6</f>
        <v>-166.798</v>
      </c>
      <c r="C7" s="25">
        <f>C5-C6</f>
        <v>-185.173</v>
      </c>
      <c r="D7" s="25">
        <f>D5-D6</f>
        <v>-190.98500000000001</v>
      </c>
      <c r="E7" s="25">
        <f>E5-E6</f>
        <v>-201.36099999999999</v>
      </c>
      <c r="F7" s="26">
        <f>F5-F6</f>
        <v>-198.572</v>
      </c>
      <c r="G7" s="25">
        <f t="shared" ref="G7:L7" si="0">G5-G6</f>
        <v>-202.07900000000001</v>
      </c>
      <c r="H7" s="25">
        <f t="shared" si="0"/>
        <v>-202.70099999999999</v>
      </c>
      <c r="I7" s="25">
        <f t="shared" si="0"/>
        <v>-216.55600000000001</v>
      </c>
      <c r="J7" s="26">
        <f t="shared" si="0"/>
        <v>-237.33699999999999</v>
      </c>
      <c r="K7" s="25">
        <f t="shared" si="0"/>
        <v>-239.36</v>
      </c>
      <c r="L7" s="25">
        <f t="shared" si="0"/>
        <v>-262.92200000000003</v>
      </c>
      <c r="M7" s="25">
        <f t="shared" ref="M7" si="1">M5-M6</f>
        <v>-270.87200000000001</v>
      </c>
      <c r="N7" s="26">
        <f>N5-N6</f>
        <v>-258.90199999999999</v>
      </c>
      <c r="O7" s="25">
        <f>O5-O6</f>
        <v>-281.34399999999999</v>
      </c>
      <c r="P7" s="25">
        <f t="shared" ref="P7:R7" si="2">P5-P6</f>
        <v>-295.49200000000002</v>
      </c>
      <c r="Q7" s="25">
        <f t="shared" si="2"/>
        <v>-359.26100000000002</v>
      </c>
      <c r="R7" s="26">
        <f t="shared" si="2"/>
        <v>-33.886000000000024</v>
      </c>
      <c r="S7" s="25">
        <f t="shared" ref="S7:U7" si="3">S5-S6</f>
        <v>-407.488</v>
      </c>
      <c r="T7" s="25">
        <f t="shared" si="3"/>
        <v>-415.96300000000002</v>
      </c>
      <c r="U7" s="25">
        <f t="shared" si="3"/>
        <v>-451.983</v>
      </c>
      <c r="V7" s="26">
        <f t="shared" ref="V7" si="4">V5-V6</f>
        <v>-24.699999999999989</v>
      </c>
      <c r="W7" s="53"/>
      <c r="X7" s="53"/>
      <c r="Y7" s="53"/>
    </row>
    <row r="8" spans="1:25" s="7" customFormat="1" x14ac:dyDescent="0.15">
      <c r="A8" s="7" t="s">
        <v>7</v>
      </c>
      <c r="B8" s="20">
        <v>215.50899999999999</v>
      </c>
      <c r="C8" s="20">
        <v>208.047</v>
      </c>
      <c r="D8" s="20">
        <v>218.66</v>
      </c>
      <c r="E8" s="20">
        <v>220.51400000000001</v>
      </c>
      <c r="F8" s="19">
        <v>237.20400000000001</v>
      </c>
      <c r="G8" s="20">
        <v>232.48400000000001</v>
      </c>
      <c r="H8" s="20">
        <v>248.45</v>
      </c>
      <c r="I8" s="20">
        <v>257.84899999999999</v>
      </c>
      <c r="J8" s="19">
        <v>285.077</v>
      </c>
      <c r="K8" s="20">
        <v>299.40100000000001</v>
      </c>
      <c r="L8" s="20">
        <v>315.55500000000001</v>
      </c>
      <c r="M8" s="20">
        <v>324.02600000000001</v>
      </c>
      <c r="N8" s="19">
        <v>348.76900000000001</v>
      </c>
      <c r="O8" s="20">
        <v>374.12799999999999</v>
      </c>
      <c r="P8" s="20">
        <v>398.95699999999999</v>
      </c>
      <c r="Q8" s="20">
        <v>415.95800000000003</v>
      </c>
      <c r="R8" s="19">
        <v>464.637</v>
      </c>
      <c r="S8" s="20">
        <v>475.95800000000003</v>
      </c>
      <c r="T8" s="53">
        <v>489.827</v>
      </c>
      <c r="U8" s="53">
        <v>499.80599999999998</v>
      </c>
      <c r="V8" s="19">
        <v>532</v>
      </c>
      <c r="W8" s="53"/>
      <c r="X8" s="53"/>
      <c r="Y8" s="53"/>
    </row>
    <row r="9" spans="1:25" s="7" customFormat="1" x14ac:dyDescent="0.15">
      <c r="A9" s="7" t="s">
        <v>8</v>
      </c>
      <c r="B9" s="20">
        <v>392.74099999999999</v>
      </c>
      <c r="C9" s="20">
        <v>426.99799999999999</v>
      </c>
      <c r="D9" s="20">
        <v>422.03100000000001</v>
      </c>
      <c r="E9" s="20">
        <v>441.47199999999998</v>
      </c>
      <c r="F9" s="19">
        <v>474.89100000000002</v>
      </c>
      <c r="G9" s="20">
        <v>462.78899999999999</v>
      </c>
      <c r="H9" s="20">
        <v>477.47500000000002</v>
      </c>
      <c r="I9" s="20">
        <v>495.04199999999997</v>
      </c>
      <c r="J9" s="19">
        <v>520.29700000000003</v>
      </c>
      <c r="K9" s="20">
        <v>553.09799999999996</v>
      </c>
      <c r="L9" s="20">
        <v>550.09299999999996</v>
      </c>
      <c r="M9" s="20">
        <v>574.10400000000004</v>
      </c>
      <c r="N9" s="19">
        <v>580.95699999999999</v>
      </c>
      <c r="O9" s="20">
        <v>646.21500000000003</v>
      </c>
      <c r="P9" s="20">
        <v>670.08399999999995</v>
      </c>
      <c r="Q9" s="20">
        <v>723.57299999999998</v>
      </c>
      <c r="R9" s="19">
        <v>781.51800000000003</v>
      </c>
      <c r="S9" s="20">
        <v>848.92700000000002</v>
      </c>
      <c r="T9" s="53">
        <v>812.31399999999996</v>
      </c>
      <c r="U9" s="53">
        <v>801.58799999999997</v>
      </c>
      <c r="V9" s="19">
        <v>857</v>
      </c>
      <c r="W9" s="53"/>
      <c r="X9" s="53"/>
      <c r="Y9" s="53"/>
    </row>
    <row r="10" spans="1:25" s="7" customFormat="1" x14ac:dyDescent="0.15">
      <c r="A10" s="7" t="s">
        <v>9</v>
      </c>
      <c r="B10" s="20">
        <f>145.081+1.755+14.272</f>
        <v>161.10799999999998</v>
      </c>
      <c r="C10" s="20">
        <f>130.208+0.034+18.081</f>
        <v>148.32299999999998</v>
      </c>
      <c r="D10" s="20">
        <f>122.578-0.751+18.246</f>
        <v>140.07300000000001</v>
      </c>
      <c r="E10" s="20">
        <f>134.052+0.521+18.05</f>
        <v>152.62299999999999</v>
      </c>
      <c r="F10" s="19">
        <f>146.935-0.419+18.394</f>
        <v>164.91</v>
      </c>
      <c r="G10" s="20">
        <f>138.596-0.466+18.988</f>
        <v>157.11799999999999</v>
      </c>
      <c r="H10" s="20">
        <f>143.702-0.338+22.652</f>
        <v>166.01600000000002</v>
      </c>
      <c r="I10" s="20">
        <f>148.477-0.285+18.5</f>
        <v>166.69200000000001</v>
      </c>
      <c r="J10" s="19">
        <f>150.808+19.128</f>
        <v>169.93599999999998</v>
      </c>
      <c r="K10" s="20">
        <f>156.929+19.32</f>
        <v>176.249</v>
      </c>
      <c r="L10" s="20">
        <f>147.402+19.428</f>
        <v>166.82999999999998</v>
      </c>
      <c r="M10" s="20">
        <f>169.567+18.686</f>
        <v>188.25300000000001</v>
      </c>
      <c r="N10" s="19">
        <f>170.44+17.146</f>
        <v>187.58600000000001</v>
      </c>
      <c r="O10" s="20">
        <f>178.04+17.149</f>
        <v>195.18899999999999</v>
      </c>
      <c r="P10" s="20">
        <f>184.063+23.874</f>
        <v>207.93699999999998</v>
      </c>
      <c r="Q10" s="20">
        <f>212.355+32.932</f>
        <v>245.28699999999998</v>
      </c>
      <c r="R10" s="19">
        <f>216.109+46.566</f>
        <v>262.67500000000001</v>
      </c>
      <c r="S10" s="20">
        <f>219.334+43.026</f>
        <v>262.36</v>
      </c>
      <c r="T10" s="53">
        <f>219.256+42.954</f>
        <v>262.20999999999998</v>
      </c>
      <c r="U10" s="53">
        <f>225.938+42.698</f>
        <v>268.63599999999997</v>
      </c>
      <c r="V10" s="19">
        <f>271+42</f>
        <v>313</v>
      </c>
      <c r="W10" s="53"/>
      <c r="X10" s="53"/>
      <c r="Y10" s="53"/>
    </row>
    <row r="11" spans="1:25" s="7" customFormat="1" x14ac:dyDescent="0.15">
      <c r="A11" s="7" t="s">
        <v>10</v>
      </c>
      <c r="B11" s="25">
        <f>SUM(B8:B10)</f>
        <v>769.35799999999995</v>
      </c>
      <c r="C11" s="25">
        <f>SUM(C8:C10)</f>
        <v>783.36799999999994</v>
      </c>
      <c r="D11" s="25">
        <f>SUM(D8:D10)</f>
        <v>780.76400000000001</v>
      </c>
      <c r="E11" s="25">
        <f>SUM(E8:E10)</f>
        <v>814.60899999999992</v>
      </c>
      <c r="F11" s="26">
        <f>SUM(F8:F10)</f>
        <v>877.005</v>
      </c>
      <c r="G11" s="25">
        <f t="shared" ref="G11:L11" si="5">SUM(G8:G10)</f>
        <v>852.39100000000008</v>
      </c>
      <c r="H11" s="25">
        <f t="shared" si="5"/>
        <v>891.94100000000003</v>
      </c>
      <c r="I11" s="25">
        <f t="shared" si="5"/>
        <v>919.58299999999997</v>
      </c>
      <c r="J11" s="26">
        <f t="shared" si="5"/>
        <v>975.31</v>
      </c>
      <c r="K11" s="25">
        <f t="shared" si="5"/>
        <v>1028.748</v>
      </c>
      <c r="L11" s="25">
        <f t="shared" si="5"/>
        <v>1032.4779999999998</v>
      </c>
      <c r="M11" s="25">
        <f t="shared" ref="M11:N11" si="6">SUM(M8:M10)</f>
        <v>1086.383</v>
      </c>
      <c r="N11" s="26">
        <f t="shared" si="6"/>
        <v>1117.3119999999999</v>
      </c>
      <c r="O11" s="25">
        <f t="shared" ref="O11:P11" si="7">SUM(O8:O10)</f>
        <v>1215.5320000000002</v>
      </c>
      <c r="P11" s="25">
        <f t="shared" si="7"/>
        <v>1276.9779999999998</v>
      </c>
      <c r="Q11" s="25">
        <f t="shared" ref="Q11:S11" si="8">SUM(Q8:Q10)</f>
        <v>1384.818</v>
      </c>
      <c r="R11" s="26">
        <f t="shared" si="8"/>
        <v>1508.83</v>
      </c>
      <c r="S11" s="25">
        <f t="shared" si="8"/>
        <v>1587.2449999999999</v>
      </c>
      <c r="T11" s="25">
        <f t="shared" ref="T11:U11" si="9">SUM(T8:T10)</f>
        <v>1564.3510000000001</v>
      </c>
      <c r="U11" s="25">
        <f t="shared" si="9"/>
        <v>1570.03</v>
      </c>
      <c r="V11" s="26">
        <f t="shared" ref="V11" si="10">SUM(V8:V10)</f>
        <v>1702</v>
      </c>
      <c r="W11" s="53"/>
      <c r="X11" s="53"/>
      <c r="Y11" s="53"/>
    </row>
    <row r="12" spans="1:25" s="7" customFormat="1" x14ac:dyDescent="0.15">
      <c r="A12" s="7" t="s">
        <v>11</v>
      </c>
      <c r="B12" s="25">
        <f>B7-B11</f>
        <v>-936.15599999999995</v>
      </c>
      <c r="C12" s="25">
        <f>C7-C11</f>
        <v>-968.54099999999994</v>
      </c>
      <c r="D12" s="25">
        <f>D7-D11</f>
        <v>-971.74900000000002</v>
      </c>
      <c r="E12" s="25">
        <f>E7-E11</f>
        <v>-1015.9699999999999</v>
      </c>
      <c r="F12" s="26">
        <f>F7-F11</f>
        <v>-1075.577</v>
      </c>
      <c r="G12" s="25">
        <f t="shared" ref="G12:H12" si="11">G7-G11</f>
        <v>-1054.47</v>
      </c>
      <c r="H12" s="25">
        <f t="shared" si="11"/>
        <v>-1094.6420000000001</v>
      </c>
      <c r="I12" s="25">
        <f t="shared" ref="I12:P12" si="12">I7-I11</f>
        <v>-1136.1389999999999</v>
      </c>
      <c r="J12" s="26">
        <f t="shared" si="12"/>
        <v>-1212.6469999999999</v>
      </c>
      <c r="K12" s="25">
        <f t="shared" si="12"/>
        <v>-1268.1080000000002</v>
      </c>
      <c r="L12" s="25">
        <f t="shared" si="12"/>
        <v>-1295.3999999999999</v>
      </c>
      <c r="M12" s="25">
        <f t="shared" si="12"/>
        <v>-1357.2550000000001</v>
      </c>
      <c r="N12" s="26">
        <f t="shared" si="12"/>
        <v>-1376.2139999999999</v>
      </c>
      <c r="O12" s="25">
        <f t="shared" si="12"/>
        <v>-1496.8760000000002</v>
      </c>
      <c r="P12" s="25">
        <f t="shared" si="12"/>
        <v>-1572.4699999999998</v>
      </c>
      <c r="Q12" s="25">
        <f t="shared" ref="Q12:S12" si="13">Q7-Q11</f>
        <v>-1744.079</v>
      </c>
      <c r="R12" s="26">
        <f t="shared" si="13"/>
        <v>-1542.7159999999999</v>
      </c>
      <c r="S12" s="25">
        <f t="shared" si="13"/>
        <v>-1994.7329999999999</v>
      </c>
      <c r="T12" s="25">
        <f t="shared" ref="T12:U12" si="14">T7-T11</f>
        <v>-1980.3140000000001</v>
      </c>
      <c r="U12" s="25">
        <f t="shared" si="14"/>
        <v>-2022.0129999999999</v>
      </c>
      <c r="V12" s="26">
        <f t="shared" ref="V12" si="15">V7-V11</f>
        <v>-1726.7</v>
      </c>
      <c r="W12" s="53"/>
      <c r="X12" s="53"/>
      <c r="Y12" s="53"/>
    </row>
    <row r="13" spans="1:25" s="7" customFormat="1" x14ac:dyDescent="0.15">
      <c r="A13" s="7" t="s">
        <v>12</v>
      </c>
      <c r="B13" s="20">
        <v>-9.7769999999999992</v>
      </c>
      <c r="C13" s="20">
        <v>-12.643000000000001</v>
      </c>
      <c r="D13" s="20">
        <v>-13.4</v>
      </c>
      <c r="E13" s="20">
        <v>6.5060000000000002</v>
      </c>
      <c r="F13" s="19">
        <v>-15.451000000000001</v>
      </c>
      <c r="G13" s="20">
        <v>-14.409000000000001</v>
      </c>
      <c r="H13" s="20">
        <v>-13.023999999999999</v>
      </c>
      <c r="I13" s="20">
        <v>-15.58</v>
      </c>
      <c r="J13" s="19">
        <v>-8.3670000000000009</v>
      </c>
      <c r="K13" s="20">
        <v>-11.464</v>
      </c>
      <c r="L13" s="20">
        <v>-4.2949999999999999</v>
      </c>
      <c r="M13" s="20">
        <v>-6.3280000000000003</v>
      </c>
      <c r="N13" s="19">
        <v>-0.23100000000000001</v>
      </c>
      <c r="O13" s="20">
        <v>-7.6849999999999996</v>
      </c>
      <c r="P13" s="20">
        <v>-17.248000000000001</v>
      </c>
      <c r="Q13" s="20">
        <v>-21.329000000000001</v>
      </c>
      <c r="R13" s="19">
        <v>7.5039999999999996</v>
      </c>
      <c r="S13" s="20">
        <v>-38.774999999999999</v>
      </c>
      <c r="T13" s="53">
        <v>-19.324000000000002</v>
      </c>
      <c r="U13" s="53">
        <v>-12.784000000000001</v>
      </c>
      <c r="V13" s="19">
        <v>-18</v>
      </c>
      <c r="W13" s="53"/>
      <c r="X13" s="53"/>
      <c r="Y13" s="53"/>
    </row>
    <row r="14" spans="1:25" s="7" customFormat="1" x14ac:dyDescent="0.15">
      <c r="A14" s="7" t="s">
        <v>13</v>
      </c>
      <c r="B14" s="25">
        <f>B12+B13</f>
        <v>-945.93299999999999</v>
      </c>
      <c r="C14" s="25">
        <f>C12+C13</f>
        <v>-981.18399999999997</v>
      </c>
      <c r="D14" s="25">
        <f>D12+D13</f>
        <v>-985.149</v>
      </c>
      <c r="E14" s="25">
        <f>E12+E13</f>
        <v>-1009.4639999999999</v>
      </c>
      <c r="F14" s="26">
        <f>F12+F13</f>
        <v>-1091.028</v>
      </c>
      <c r="G14" s="25">
        <f t="shared" ref="G14:I14" si="16">G12+G13</f>
        <v>-1068.8790000000001</v>
      </c>
      <c r="H14" s="25">
        <f t="shared" si="16"/>
        <v>-1107.6659999999999</v>
      </c>
      <c r="I14" s="25">
        <f t="shared" si="16"/>
        <v>-1151.7189999999998</v>
      </c>
      <c r="J14" s="26">
        <f t="shared" ref="J14:K14" si="17">J12+J13</f>
        <v>-1221.0139999999999</v>
      </c>
      <c r="K14" s="25">
        <f t="shared" si="17"/>
        <v>-1279.5720000000001</v>
      </c>
      <c r="L14" s="25">
        <f t="shared" ref="L14:N14" si="18">L12+L13</f>
        <v>-1299.6949999999999</v>
      </c>
      <c r="M14" s="25">
        <f>M12+M13</f>
        <v>-1363.5830000000001</v>
      </c>
      <c r="N14" s="26">
        <f t="shared" si="18"/>
        <v>-1376.4449999999999</v>
      </c>
      <c r="O14" s="25">
        <f t="shared" ref="O14" si="19">O12+O13</f>
        <v>-1504.5610000000001</v>
      </c>
      <c r="P14" s="25">
        <f t="shared" ref="P14:T14" si="20">P12+P13</f>
        <v>-1589.7179999999998</v>
      </c>
      <c r="Q14" s="25">
        <f t="shared" si="20"/>
        <v>-1765.4079999999999</v>
      </c>
      <c r="R14" s="26">
        <f t="shared" si="20"/>
        <v>-1535.212</v>
      </c>
      <c r="S14" s="25">
        <f t="shared" si="20"/>
        <v>-2033.508</v>
      </c>
      <c r="T14" s="25">
        <f t="shared" si="20"/>
        <v>-1999.6380000000001</v>
      </c>
      <c r="U14" s="25">
        <f t="shared" ref="U14" si="21">U12+U13</f>
        <v>-2034.797</v>
      </c>
      <c r="V14" s="26">
        <f t="shared" ref="V14" si="22">V12+V13</f>
        <v>-1744.7</v>
      </c>
      <c r="W14" s="53"/>
      <c r="X14" s="53"/>
      <c r="Y14" s="53"/>
    </row>
    <row r="15" spans="1:25" s="7" customFormat="1" x14ac:dyDescent="0.15">
      <c r="A15" s="7" t="s">
        <v>14</v>
      </c>
      <c r="B15" s="20">
        <v>78.36</v>
      </c>
      <c r="C15" s="20">
        <v>33.481000000000002</v>
      </c>
      <c r="D15" s="20">
        <v>58.154000000000003</v>
      </c>
      <c r="E15" s="20">
        <v>74.234999999999999</v>
      </c>
      <c r="F15" s="19">
        <v>38</v>
      </c>
      <c r="G15" s="20">
        <v>85.756</v>
      </c>
      <c r="H15" s="20">
        <v>85.513000000000005</v>
      </c>
      <c r="I15" s="20">
        <v>57.087000000000003</v>
      </c>
      <c r="J15" s="19">
        <v>62.186</v>
      </c>
      <c r="K15" s="20">
        <v>118.22799999999999</v>
      </c>
      <c r="L15" s="20">
        <v>121.81</v>
      </c>
      <c r="M15" s="20">
        <v>141.46299999999999</v>
      </c>
      <c r="N15" s="19">
        <v>119.426</v>
      </c>
      <c r="O15" s="20">
        <v>27.632000000000001</v>
      </c>
      <c r="P15" s="20">
        <v>35.067</v>
      </c>
      <c r="Q15" s="20">
        <v>20.977</v>
      </c>
      <c r="R15" s="19">
        <v>28.093</v>
      </c>
      <c r="S15" s="20">
        <v>78.179000000000002</v>
      </c>
      <c r="T15" s="20">
        <v>41.725000000000001</v>
      </c>
      <c r="U15" s="20">
        <v>105.286</v>
      </c>
      <c r="V15" s="19">
        <v>-36</v>
      </c>
      <c r="W15" s="20"/>
      <c r="X15" s="20"/>
      <c r="Y15" s="20"/>
    </row>
    <row r="16" spans="1:25" s="49" customFormat="1" x14ac:dyDescent="0.15">
      <c r="A16" s="49" t="s">
        <v>68</v>
      </c>
      <c r="B16" s="39"/>
      <c r="C16" s="39"/>
      <c r="D16" s="39"/>
      <c r="E16" s="39"/>
      <c r="F16" s="40"/>
      <c r="G16" s="39"/>
      <c r="H16" s="39"/>
      <c r="I16" s="39"/>
      <c r="J16" s="40"/>
      <c r="K16" s="39"/>
      <c r="L16" s="39"/>
      <c r="M16" s="39"/>
      <c r="N16" s="40"/>
      <c r="O16" s="39"/>
      <c r="P16" s="39"/>
      <c r="Q16" s="39"/>
      <c r="R16" s="40"/>
      <c r="S16" s="39"/>
      <c r="T16" s="39"/>
      <c r="U16" s="39"/>
      <c r="V16" s="40"/>
      <c r="W16" s="39"/>
      <c r="X16" s="39"/>
      <c r="Y16" s="39"/>
    </row>
    <row r="17" spans="1:25" s="14" customFormat="1" x14ac:dyDescent="0.15">
      <c r="A17" s="14" t="s">
        <v>15</v>
      </c>
      <c r="B17" s="22">
        <f>B14-B15</f>
        <v>-1024.2929999999999</v>
      </c>
      <c r="C17" s="22">
        <f>C14-C15</f>
        <v>-1014.665</v>
      </c>
      <c r="D17" s="22">
        <f>D14-D15</f>
        <v>-1043.3030000000001</v>
      </c>
      <c r="E17" s="22">
        <f>E14-E15</f>
        <v>-1083.6989999999998</v>
      </c>
      <c r="F17" s="23">
        <f>F14-F15</f>
        <v>-1129.028</v>
      </c>
      <c r="G17" s="22">
        <f t="shared" ref="G17:H17" si="23">G14-G15</f>
        <v>-1154.6350000000002</v>
      </c>
      <c r="H17" s="22">
        <f t="shared" si="23"/>
        <v>-1193.1789999999999</v>
      </c>
      <c r="I17" s="22">
        <f t="shared" ref="I17:O17" si="24">I14-I15</f>
        <v>-1208.8059999999998</v>
      </c>
      <c r="J17" s="23">
        <f t="shared" si="24"/>
        <v>-1283.1999999999998</v>
      </c>
      <c r="K17" s="22">
        <f t="shared" si="24"/>
        <v>-1397.8000000000002</v>
      </c>
      <c r="L17" s="22">
        <f t="shared" si="24"/>
        <v>-1421.5049999999999</v>
      </c>
      <c r="M17" s="22">
        <f t="shared" si="24"/>
        <v>-1505.046</v>
      </c>
      <c r="N17" s="23">
        <f t="shared" si="24"/>
        <v>-1495.8709999999999</v>
      </c>
      <c r="O17" s="22">
        <f t="shared" si="24"/>
        <v>-1532.1930000000002</v>
      </c>
      <c r="P17" s="22">
        <f t="shared" ref="P17:S17" si="25">P14-P15</f>
        <v>-1624.7849999999999</v>
      </c>
      <c r="Q17" s="22">
        <f t="shared" si="25"/>
        <v>-1786.385</v>
      </c>
      <c r="R17" s="23">
        <f t="shared" si="25"/>
        <v>-1563.3050000000001</v>
      </c>
      <c r="S17" s="22">
        <f t="shared" si="25"/>
        <v>-2111.6869999999999</v>
      </c>
      <c r="T17" s="22">
        <f t="shared" ref="T17:U17" si="26">T14-T15</f>
        <v>-2041.3630000000001</v>
      </c>
      <c r="U17" s="22">
        <f t="shared" si="26"/>
        <v>-2140.0830000000001</v>
      </c>
      <c r="V17" s="23">
        <f t="shared" ref="V17" si="27">V14-V15</f>
        <v>-1708.7</v>
      </c>
      <c r="W17" s="52"/>
      <c r="X17" s="52"/>
      <c r="Y17" s="52"/>
    </row>
    <row r="18" spans="1:25" x14ac:dyDescent="0.15">
      <c r="A18" s="5" t="s">
        <v>16</v>
      </c>
      <c r="B18" s="27">
        <f t="shared" ref="B18:H18" si="28">IFERROR(B17/B19,0)</f>
        <v>-2.0182079341748005</v>
      </c>
      <c r="C18" s="27">
        <f t="shared" si="28"/>
        <v>-2.0069246927303581</v>
      </c>
      <c r="D18" s="27">
        <f t="shared" si="28"/>
        <v>-2.062642222657169</v>
      </c>
      <c r="E18" s="27">
        <f>IFERROR(E17/E19,0)</f>
        <v>-2.141646838414899</v>
      </c>
      <c r="F18" s="28">
        <f t="shared" si="28"/>
        <v>-2.2327102729811186</v>
      </c>
      <c r="G18" s="27">
        <f t="shared" si="28"/>
        <v>-2.2876516915151819</v>
      </c>
      <c r="H18" s="27">
        <f t="shared" si="28"/>
        <v>-2.3689744653730922</v>
      </c>
      <c r="I18" s="27">
        <f t="shared" ref="I18:L18" si="29">IFERROR(I17/I19,0)</f>
        <v>-2.4119391191916608</v>
      </c>
      <c r="J18" s="28">
        <f t="shared" si="29"/>
        <v>-2.5619882562227843</v>
      </c>
      <c r="K18" s="27">
        <f t="shared" si="29"/>
        <v>-2.7936388655164079</v>
      </c>
      <c r="L18" s="27">
        <f t="shared" si="29"/>
        <v>-2.8407487639838687</v>
      </c>
      <c r="M18" s="27">
        <f t="shared" ref="M18" si="30">IFERROR(M17/M19,0)</f>
        <v>-3.0097308323001242</v>
      </c>
      <c r="N18" s="28">
        <f t="shared" ref="N18:S18" si="31">IFERROR(N17/N19,0)</f>
        <v>-2.9951384870443079</v>
      </c>
      <c r="O18" s="27">
        <f t="shared" si="31"/>
        <v>-3.0751366778256788</v>
      </c>
      <c r="P18" s="27">
        <f t="shared" si="31"/>
        <v>-3.2700667785680646</v>
      </c>
      <c r="Q18" s="27">
        <f t="shared" si="31"/>
        <v>-3.6074884690259053</v>
      </c>
      <c r="R18" s="28">
        <f t="shared" si="31"/>
        <v>-3.1633811423992491</v>
      </c>
      <c r="S18" s="27">
        <f t="shared" si="31"/>
        <v>-4.2901981260107434</v>
      </c>
      <c r="T18" s="27">
        <f t="shared" ref="T18:U18" si="32">IFERROR(T17/T19,0)</f>
        <v>-4.157206511866602</v>
      </c>
      <c r="U18" s="27">
        <f t="shared" si="32"/>
        <v>-4.3777817780878019</v>
      </c>
      <c r="V18" s="28">
        <f t="shared" ref="V18" si="33">IFERROR(V17/V19,0)</f>
        <v>-3.5014344262295083</v>
      </c>
      <c r="W18" s="59"/>
      <c r="X18" s="59"/>
      <c r="Y18" s="59"/>
    </row>
    <row r="19" spans="1:25" s="7" customFormat="1" x14ac:dyDescent="0.15">
      <c r="A19" s="7" t="s">
        <v>17</v>
      </c>
      <c r="B19" s="20">
        <v>507.52600000000001</v>
      </c>
      <c r="C19" s="20">
        <v>505.58199999999999</v>
      </c>
      <c r="D19" s="20">
        <v>505.80900000000003</v>
      </c>
      <c r="E19" s="20">
        <v>506.012</v>
      </c>
      <c r="F19" s="19">
        <v>505.67599999999999</v>
      </c>
      <c r="G19" s="20">
        <v>504.72500000000002</v>
      </c>
      <c r="H19" s="20">
        <v>503.66899999999998</v>
      </c>
      <c r="I19" s="20">
        <v>501.17599999999999</v>
      </c>
      <c r="J19" s="19">
        <v>500.86099999999999</v>
      </c>
      <c r="K19" s="20">
        <v>500.351</v>
      </c>
      <c r="L19" s="20">
        <v>500.39800000000002</v>
      </c>
      <c r="M19" s="20">
        <v>500.06</v>
      </c>
      <c r="N19" s="19">
        <v>499.43299999999999</v>
      </c>
      <c r="O19" s="20">
        <v>498.25200000000001</v>
      </c>
      <c r="P19" s="20">
        <v>496.86599999999999</v>
      </c>
      <c r="Q19" s="20">
        <v>495.18799999999999</v>
      </c>
      <c r="R19" s="19">
        <v>494.18799999999999</v>
      </c>
      <c r="S19" s="20">
        <v>492.21199999999999</v>
      </c>
      <c r="T19" s="53">
        <v>491.04199999999997</v>
      </c>
      <c r="U19" s="53">
        <v>488.851</v>
      </c>
      <c r="V19" s="19">
        <v>488</v>
      </c>
      <c r="W19" s="53"/>
      <c r="X19" s="53"/>
      <c r="Y19" s="53"/>
    </row>
    <row r="20" spans="1:25" s="41" customFormat="1" x14ac:dyDescent="0.15">
      <c r="B20" s="39"/>
      <c r="C20" s="39"/>
      <c r="D20" s="39"/>
      <c r="E20" s="39"/>
      <c r="F20" s="40"/>
      <c r="G20" s="39"/>
      <c r="H20" s="39"/>
      <c r="I20" s="39"/>
      <c r="J20" s="40"/>
      <c r="K20" s="39"/>
      <c r="L20" s="39"/>
      <c r="M20" s="39"/>
      <c r="N20" s="60"/>
      <c r="Q20" s="39"/>
      <c r="R20" s="60"/>
      <c r="V20" s="60"/>
    </row>
    <row r="21" spans="1:25" x14ac:dyDescent="0.15">
      <c r="A21" s="5" t="s">
        <v>19</v>
      </c>
      <c r="B21" s="33">
        <f t="shared" ref="B21:Q21" si="34">IFERROR(B7/B5,0)</f>
        <v>0</v>
      </c>
      <c r="C21" s="33">
        <f t="shared" si="34"/>
        <v>0</v>
      </c>
      <c r="D21" s="33">
        <f t="shared" si="34"/>
        <v>0</v>
      </c>
      <c r="E21" s="33">
        <f t="shared" si="34"/>
        <v>0</v>
      </c>
      <c r="F21" s="34">
        <f t="shared" si="34"/>
        <v>0</v>
      </c>
      <c r="G21" s="33">
        <f t="shared" si="34"/>
        <v>0</v>
      </c>
      <c r="H21" s="33">
        <f t="shared" si="34"/>
        <v>0</v>
      </c>
      <c r="I21" s="33">
        <f t="shared" si="34"/>
        <v>0</v>
      </c>
      <c r="J21" s="34">
        <f t="shared" si="34"/>
        <v>0</v>
      </c>
      <c r="K21" s="33">
        <f t="shared" si="34"/>
        <v>0</v>
      </c>
      <c r="L21" s="33">
        <f t="shared" si="34"/>
        <v>0</v>
      </c>
      <c r="M21" s="33">
        <f t="shared" si="34"/>
        <v>0</v>
      </c>
      <c r="N21" s="34">
        <f t="shared" si="34"/>
        <v>0</v>
      </c>
      <c r="O21" s="33">
        <f t="shared" si="34"/>
        <v>0</v>
      </c>
      <c r="P21" s="33">
        <f t="shared" si="34"/>
        <v>0</v>
      </c>
      <c r="Q21" s="33">
        <f t="shared" si="34"/>
        <v>0</v>
      </c>
      <c r="R21" s="34">
        <f t="shared" ref="R21:S21" si="35">IFERROR(R7/R5,0)</f>
        <v>-9.3247110621904314E-2</v>
      </c>
      <c r="S21" s="33">
        <f t="shared" si="35"/>
        <v>0</v>
      </c>
      <c r="T21" s="33">
        <f t="shared" ref="T21:V21" si="36">IFERROR(T7/T5,0)</f>
        <v>0</v>
      </c>
      <c r="U21" s="33">
        <f t="shared" ref="U21" si="37">IFERROR(U7/U5,0)</f>
        <v>0</v>
      </c>
      <c r="V21" s="34">
        <f t="shared" si="36"/>
        <v>-5.78048209688743E-2</v>
      </c>
      <c r="W21" s="33"/>
      <c r="X21" s="33"/>
      <c r="Y21" s="33"/>
    </row>
    <row r="22" spans="1:25" x14ac:dyDescent="0.15">
      <c r="A22" s="5" t="s">
        <v>20</v>
      </c>
      <c r="B22" s="35">
        <f t="shared" ref="B22:Q22" si="38">IFERROR(B12/B5,0)</f>
        <v>0</v>
      </c>
      <c r="C22" s="35">
        <f t="shared" si="38"/>
        <v>0</v>
      </c>
      <c r="D22" s="35">
        <f t="shared" si="38"/>
        <v>0</v>
      </c>
      <c r="E22" s="35">
        <f t="shared" si="38"/>
        <v>0</v>
      </c>
      <c r="F22" s="36">
        <f t="shared" si="38"/>
        <v>0</v>
      </c>
      <c r="G22" s="35">
        <f t="shared" si="38"/>
        <v>0</v>
      </c>
      <c r="H22" s="35">
        <f t="shared" si="38"/>
        <v>0</v>
      </c>
      <c r="I22" s="35">
        <f t="shared" si="38"/>
        <v>0</v>
      </c>
      <c r="J22" s="36">
        <f t="shared" si="38"/>
        <v>0</v>
      </c>
      <c r="K22" s="35">
        <f t="shared" si="38"/>
        <v>0</v>
      </c>
      <c r="L22" s="35">
        <f t="shared" si="38"/>
        <v>0</v>
      </c>
      <c r="M22" s="35">
        <f t="shared" si="38"/>
        <v>0</v>
      </c>
      <c r="N22" s="36">
        <f t="shared" si="38"/>
        <v>0</v>
      </c>
      <c r="O22" s="35">
        <f t="shared" si="38"/>
        <v>0</v>
      </c>
      <c r="P22" s="35">
        <f t="shared" si="38"/>
        <v>0</v>
      </c>
      <c r="Q22" s="35">
        <f t="shared" si="38"/>
        <v>0</v>
      </c>
      <c r="R22" s="36">
        <f t="shared" ref="R22:S22" si="39">IFERROR(R12/R5,0)</f>
        <v>-4.2452283984589982</v>
      </c>
      <c r="S22" s="35">
        <f t="shared" si="39"/>
        <v>0</v>
      </c>
      <c r="T22" s="35">
        <f t="shared" ref="T22:V22" si="40">IFERROR(T12/T5,0)</f>
        <v>0</v>
      </c>
      <c r="U22" s="35">
        <f t="shared" ref="U22" si="41">IFERROR(U12/U5,0)</f>
        <v>0</v>
      </c>
      <c r="V22" s="36">
        <f t="shared" si="40"/>
        <v>-4.0409548326702547</v>
      </c>
      <c r="W22" s="35"/>
      <c r="X22" s="35"/>
      <c r="Y22" s="35"/>
    </row>
    <row r="23" spans="1:25" x14ac:dyDescent="0.15">
      <c r="A23" s="5" t="s">
        <v>21</v>
      </c>
      <c r="B23" s="35">
        <f t="shared" ref="B23:Q23" si="42">IFERROR(B15/B14,0)</f>
        <v>-8.2838847994519696E-2</v>
      </c>
      <c r="C23" s="35">
        <f t="shared" si="42"/>
        <v>-3.4123059487313291E-2</v>
      </c>
      <c r="D23" s="35">
        <f t="shared" si="42"/>
        <v>-5.9030664396959247E-2</v>
      </c>
      <c r="E23" s="35">
        <f t="shared" si="42"/>
        <v>-7.3539026651767675E-2</v>
      </c>
      <c r="F23" s="36">
        <f t="shared" si="42"/>
        <v>-3.482953691380973E-2</v>
      </c>
      <c r="G23" s="35">
        <f t="shared" si="42"/>
        <v>-8.0229848280301122E-2</v>
      </c>
      <c r="H23" s="35">
        <f t="shared" si="42"/>
        <v>-7.7201069636514991E-2</v>
      </c>
      <c r="I23" s="35">
        <f t="shared" si="42"/>
        <v>-4.9566778007482735E-2</v>
      </c>
      <c r="J23" s="36">
        <f t="shared" si="42"/>
        <v>-5.0929800968703066E-2</v>
      </c>
      <c r="K23" s="35">
        <f t="shared" si="42"/>
        <v>-9.239652008640388E-2</v>
      </c>
      <c r="L23" s="35">
        <f t="shared" si="42"/>
        <v>-9.3721988620407107E-2</v>
      </c>
      <c r="M23" s="35">
        <f t="shared" si="42"/>
        <v>-0.10374359316594588</v>
      </c>
      <c r="N23" s="36">
        <f t="shared" si="42"/>
        <v>-8.6764091554693432E-2</v>
      </c>
      <c r="O23" s="35">
        <f t="shared" si="42"/>
        <v>-1.836549000007311E-2</v>
      </c>
      <c r="P23" s="35">
        <f t="shared" si="42"/>
        <v>-2.205862926632271E-2</v>
      </c>
      <c r="Q23" s="35">
        <f t="shared" si="42"/>
        <v>-1.1882239119795537E-2</v>
      </c>
      <c r="R23" s="36">
        <f t="shared" ref="R23:S23" si="43">IFERROR(R15/R14,0)</f>
        <v>-1.8299101361896598E-2</v>
      </c>
      <c r="S23" s="35">
        <f t="shared" si="43"/>
        <v>-3.8445386002907291E-2</v>
      </c>
      <c r="T23" s="35">
        <f t="shared" ref="T23:V23" si="44">IFERROR(T15/T14,0)</f>
        <v>-2.0866276796100092E-2</v>
      </c>
      <c r="U23" s="35">
        <f t="shared" ref="U23" si="45">IFERROR(U15/U14,0)</f>
        <v>-5.1742753699754819E-2</v>
      </c>
      <c r="V23" s="36">
        <f t="shared" si="44"/>
        <v>2.0633919871611166E-2</v>
      </c>
      <c r="W23" s="35"/>
      <c r="X23" s="35"/>
      <c r="Y23" s="35"/>
    </row>
    <row r="24" spans="1:25" s="41" customFormat="1" x14ac:dyDescent="0.15">
      <c r="B24" s="39"/>
      <c r="C24" s="39"/>
      <c r="D24" s="39"/>
      <c r="E24" s="39"/>
      <c r="F24" s="40"/>
      <c r="G24" s="39"/>
      <c r="H24" s="39"/>
      <c r="I24" s="39"/>
      <c r="J24" s="40"/>
      <c r="K24" s="39"/>
      <c r="L24" s="39"/>
      <c r="M24" s="39"/>
      <c r="N24" s="60"/>
      <c r="Q24" s="39"/>
      <c r="R24" s="60"/>
      <c r="V24" s="60"/>
      <c r="W24" s="46"/>
    </row>
    <row r="25" spans="1:25" s="11" customFormat="1" x14ac:dyDescent="0.15">
      <c r="A25" s="11" t="s">
        <v>18</v>
      </c>
      <c r="B25" s="29"/>
      <c r="C25" s="29"/>
      <c r="D25" s="29"/>
      <c r="E25" s="29"/>
      <c r="F25" s="30">
        <f t="shared" ref="F25:U25" si="46">IFERROR((F5/B5)-1,0)</f>
        <v>0</v>
      </c>
      <c r="G25" s="29">
        <f t="shared" si="46"/>
        <v>0</v>
      </c>
      <c r="H25" s="29">
        <f t="shared" si="46"/>
        <v>0</v>
      </c>
      <c r="I25" s="29">
        <f t="shared" si="46"/>
        <v>0</v>
      </c>
      <c r="J25" s="30">
        <f t="shared" si="46"/>
        <v>0</v>
      </c>
      <c r="K25" s="29">
        <f t="shared" si="46"/>
        <v>0</v>
      </c>
      <c r="L25" s="29">
        <f t="shared" si="46"/>
        <v>0</v>
      </c>
      <c r="M25" s="29">
        <f t="shared" si="46"/>
        <v>0</v>
      </c>
      <c r="N25" s="30">
        <f t="shared" si="46"/>
        <v>0</v>
      </c>
      <c r="O25" s="29">
        <f t="shared" si="46"/>
        <v>0</v>
      </c>
      <c r="P25" s="29">
        <f t="shared" si="46"/>
        <v>0</v>
      </c>
      <c r="Q25" s="29">
        <f t="shared" si="46"/>
        <v>0</v>
      </c>
      <c r="R25" s="30">
        <f t="shared" si="46"/>
        <v>0</v>
      </c>
      <c r="S25" s="29">
        <f t="shared" si="46"/>
        <v>0</v>
      </c>
      <c r="T25" s="29">
        <f t="shared" si="46"/>
        <v>0</v>
      </c>
      <c r="U25" s="29">
        <f t="shared" si="46"/>
        <v>0</v>
      </c>
      <c r="V25" s="30">
        <f t="shared" ref="V25" si="47">IFERROR((V5/R5)-1,0)</f>
        <v>0.17583929554210243</v>
      </c>
      <c r="W25" s="29"/>
      <c r="X25" s="29"/>
      <c r="Y25" s="29"/>
    </row>
    <row r="26" spans="1:25" s="11" customFormat="1" x14ac:dyDescent="0.15">
      <c r="A26" s="5" t="s">
        <v>42</v>
      </c>
      <c r="B26" s="31"/>
      <c r="C26" s="31"/>
      <c r="D26" s="31"/>
      <c r="E26" s="31"/>
      <c r="F26" s="32">
        <f t="shared" ref="F26:U29" si="48">F8/B8-1</f>
        <v>0.10066864956915955</v>
      </c>
      <c r="G26" s="31">
        <f t="shared" si="48"/>
        <v>0.11745903569866423</v>
      </c>
      <c r="H26" s="31">
        <f t="shared" si="48"/>
        <v>0.13623890972285735</v>
      </c>
      <c r="I26" s="31">
        <f t="shared" si="48"/>
        <v>0.16930897811476808</v>
      </c>
      <c r="J26" s="32">
        <f t="shared" si="48"/>
        <v>0.20182206033625061</v>
      </c>
      <c r="K26" s="31">
        <f t="shared" si="48"/>
        <v>0.28783486175392725</v>
      </c>
      <c r="L26" s="31">
        <f t="shared" si="48"/>
        <v>0.27009458643590278</v>
      </c>
      <c r="M26" s="31">
        <f t="shared" si="48"/>
        <v>0.25665021000663191</v>
      </c>
      <c r="N26" s="32">
        <f t="shared" si="48"/>
        <v>0.22342033906628744</v>
      </c>
      <c r="O26" s="31">
        <f t="shared" si="48"/>
        <v>0.24958834472830738</v>
      </c>
      <c r="P26" s="31">
        <f t="shared" si="48"/>
        <v>0.26430257799749635</v>
      </c>
      <c r="Q26" s="31">
        <f t="shared" si="48"/>
        <v>0.28371797324906023</v>
      </c>
      <c r="R26" s="32">
        <f t="shared" si="48"/>
        <v>0.33221989339648883</v>
      </c>
      <c r="S26" s="31">
        <f t="shared" si="48"/>
        <v>0.27217957490484546</v>
      </c>
      <c r="T26" s="31">
        <f t="shared" si="48"/>
        <v>0.22776890742611355</v>
      </c>
      <c r="U26" s="31">
        <f t="shared" si="48"/>
        <v>0.20157804393712819</v>
      </c>
      <c r="V26" s="32">
        <f t="shared" ref="V26:V28" si="49">V8/R8-1</f>
        <v>0.14497984448074508</v>
      </c>
      <c r="W26" s="31"/>
      <c r="X26" s="31"/>
      <c r="Y26" s="31"/>
    </row>
    <row r="27" spans="1:25" s="11" customFormat="1" x14ac:dyDescent="0.15">
      <c r="A27" s="5" t="s">
        <v>43</v>
      </c>
      <c r="B27" s="31"/>
      <c r="C27" s="31"/>
      <c r="D27" s="31"/>
      <c r="E27" s="31"/>
      <c r="F27" s="32">
        <f t="shared" si="48"/>
        <v>0.20917092944204962</v>
      </c>
      <c r="G27" s="31">
        <f t="shared" si="48"/>
        <v>8.3820064730982358E-2</v>
      </c>
      <c r="H27" s="31">
        <f t="shared" si="48"/>
        <v>0.13137423554193894</v>
      </c>
      <c r="I27" s="31">
        <f t="shared" si="48"/>
        <v>0.12134404899970996</v>
      </c>
      <c r="J27" s="32">
        <f t="shared" si="48"/>
        <v>9.5613519734002228E-2</v>
      </c>
      <c r="K27" s="31">
        <f t="shared" si="48"/>
        <v>0.19514076609426745</v>
      </c>
      <c r="L27" s="31">
        <f t="shared" si="48"/>
        <v>0.15208754385046319</v>
      </c>
      <c r="M27" s="31">
        <f t="shared" si="48"/>
        <v>0.15970766116814339</v>
      </c>
      <c r="N27" s="32">
        <f t="shared" si="48"/>
        <v>0.11658725689365879</v>
      </c>
      <c r="O27" s="31">
        <f t="shared" si="48"/>
        <v>0.16835533666728164</v>
      </c>
      <c r="P27" s="31">
        <f t="shared" si="48"/>
        <v>0.21812857098708771</v>
      </c>
      <c r="Q27" s="31">
        <f t="shared" si="48"/>
        <v>0.2603517829522175</v>
      </c>
      <c r="R27" s="32">
        <f t="shared" si="48"/>
        <v>0.34522520599631301</v>
      </c>
      <c r="S27" s="31">
        <f t="shared" si="48"/>
        <v>0.31369126374349099</v>
      </c>
      <c r="T27" s="31">
        <f t="shared" si="48"/>
        <v>0.21225697076784411</v>
      </c>
      <c r="U27" s="31">
        <f t="shared" si="48"/>
        <v>0.10781911431189384</v>
      </c>
      <c r="V27" s="32">
        <f t="shared" si="49"/>
        <v>9.6583827883682805E-2</v>
      </c>
      <c r="W27" s="31"/>
      <c r="X27" s="31"/>
      <c r="Y27" s="31"/>
    </row>
    <row r="28" spans="1:25" s="11" customFormat="1" x14ac:dyDescent="0.15">
      <c r="A28" s="5" t="s">
        <v>44</v>
      </c>
      <c r="B28" s="31"/>
      <c r="C28" s="31"/>
      <c r="D28" s="31"/>
      <c r="E28" s="31"/>
      <c r="F28" s="32">
        <f t="shared" si="48"/>
        <v>2.3599076395958152E-2</v>
      </c>
      <c r="G28" s="31">
        <f t="shared" si="48"/>
        <v>5.9296265582546415E-2</v>
      </c>
      <c r="H28" s="31">
        <f t="shared" si="48"/>
        <v>0.18521056877485309</v>
      </c>
      <c r="I28" s="31">
        <f t="shared" si="48"/>
        <v>9.218138812629828E-2</v>
      </c>
      <c r="J28" s="32">
        <f t="shared" si="48"/>
        <v>3.0477230004244626E-2</v>
      </c>
      <c r="K28" s="31">
        <f t="shared" si="48"/>
        <v>0.12176198780534375</v>
      </c>
      <c r="L28" s="31">
        <f t="shared" si="48"/>
        <v>4.9031418658440629E-3</v>
      </c>
      <c r="M28" s="31">
        <f t="shared" si="48"/>
        <v>0.12934633935641782</v>
      </c>
      <c r="N28" s="32">
        <f t="shared" si="48"/>
        <v>0.10386263063741663</v>
      </c>
      <c r="O28" s="31">
        <f t="shared" si="48"/>
        <v>0.10746160261902205</v>
      </c>
      <c r="P28" s="31">
        <f t="shared" si="48"/>
        <v>0.24640052748306651</v>
      </c>
      <c r="Q28" s="31">
        <f t="shared" si="48"/>
        <v>0.30296462738973595</v>
      </c>
      <c r="R28" s="32">
        <f t="shared" si="48"/>
        <v>0.40029106649749968</v>
      </c>
      <c r="S28" s="31">
        <f t="shared" si="48"/>
        <v>0.34413312225586501</v>
      </c>
      <c r="T28" s="31">
        <f t="shared" si="48"/>
        <v>0.26100693960189858</v>
      </c>
      <c r="U28" s="31">
        <f t="shared" si="48"/>
        <v>9.5190531907520581E-2</v>
      </c>
      <c r="V28" s="32">
        <f t="shared" si="49"/>
        <v>0.19158656134005891</v>
      </c>
      <c r="W28" s="31"/>
      <c r="X28" s="31"/>
      <c r="Y28" s="31"/>
    </row>
    <row r="29" spans="1:25" x14ac:dyDescent="0.15">
      <c r="A29" s="5" t="s">
        <v>81</v>
      </c>
      <c r="J29" s="34">
        <f t="shared" ref="J29:P29" si="50">J11/F11-1</f>
        <v>0.11209172125586497</v>
      </c>
      <c r="K29" s="33">
        <f t="shared" si="50"/>
        <v>0.20689683490323096</v>
      </c>
      <c r="L29" s="33">
        <f t="shared" si="50"/>
        <v>0.15756311235832832</v>
      </c>
      <c r="M29" s="33">
        <f t="shared" si="50"/>
        <v>0.18138656325747649</v>
      </c>
      <c r="N29" s="34">
        <f t="shared" si="50"/>
        <v>0.14559678461207204</v>
      </c>
      <c r="O29" s="33">
        <f t="shared" si="50"/>
        <v>0.18156438700245348</v>
      </c>
      <c r="P29" s="33">
        <f t="shared" si="50"/>
        <v>0.23680891989950403</v>
      </c>
      <c r="Q29" s="33">
        <f>Q11/M11-1</f>
        <v>0.27470514542293079</v>
      </c>
      <c r="R29" s="34">
        <f>R11/N11-1</f>
        <v>0.35041062836521952</v>
      </c>
      <c r="S29" s="33">
        <f t="shared" si="48"/>
        <v>0.30580272670731801</v>
      </c>
      <c r="T29" s="33">
        <f t="shared" si="48"/>
        <v>0.22504146508397183</v>
      </c>
      <c r="U29" s="33">
        <f t="shared" si="48"/>
        <v>0.13374465092163734</v>
      </c>
      <c r="V29" s="34">
        <f>V11/R11-1</f>
        <v>0.12802635154391151</v>
      </c>
      <c r="W29" s="33"/>
      <c r="X29" s="33"/>
      <c r="Y29" s="33"/>
    </row>
    <row r="30" spans="1:25" x14ac:dyDescent="0.15">
      <c r="J30" s="47"/>
      <c r="K30" s="46"/>
      <c r="L30" s="46"/>
      <c r="M30" s="46"/>
      <c r="N30" s="47"/>
      <c r="O30" s="46"/>
      <c r="P30" s="46"/>
      <c r="Q30" s="46"/>
      <c r="S30" s="46"/>
    </row>
    <row r="31" spans="1:25" s="11" customFormat="1" x14ac:dyDescent="0.15">
      <c r="A31" s="11" t="s">
        <v>26</v>
      </c>
      <c r="B31" s="20"/>
      <c r="C31" s="20"/>
      <c r="D31" s="20"/>
      <c r="E31" s="22">
        <f>E32-E33</f>
        <v>2080.8530000000001</v>
      </c>
      <c r="F31" s="18"/>
      <c r="G31" s="17"/>
      <c r="H31" s="17"/>
      <c r="I31" s="22">
        <f t="shared" ref="I31" si="51">I32-I33</f>
        <v>2859.232</v>
      </c>
      <c r="J31" s="19"/>
      <c r="K31" s="20"/>
      <c r="L31" s="20"/>
      <c r="M31" s="22">
        <f t="shared" ref="M31:P31" si="52">M32-M33</f>
        <v>3938.3530000000001</v>
      </c>
      <c r="N31" s="23">
        <f t="shared" si="52"/>
        <v>4273.1760000000004</v>
      </c>
      <c r="O31" s="22">
        <f t="shared" si="52"/>
        <v>4460.0070000000005</v>
      </c>
      <c r="P31" s="22">
        <f t="shared" si="52"/>
        <v>3069.8160000000003</v>
      </c>
      <c r="Q31" s="22">
        <f t="shared" ref="Q31:S31" si="53">Q32-Q33</f>
        <v>-895.83800000000019</v>
      </c>
      <c r="R31" s="23">
        <f t="shared" si="53"/>
        <v>-903.33000000000038</v>
      </c>
      <c r="S31" s="22">
        <f t="shared" si="53"/>
        <v>-654.62699999999995</v>
      </c>
      <c r="T31" s="22">
        <f t="shared" ref="T31" si="54">T32-T33</f>
        <v>-486.22799999999961</v>
      </c>
      <c r="U31" s="22">
        <f t="shared" ref="U31" si="55">U32-U33</f>
        <v>38.709000000000742</v>
      </c>
      <c r="V31" s="23">
        <f t="shared" ref="V31" si="56">V32-V33</f>
        <v>58</v>
      </c>
      <c r="W31" s="48"/>
      <c r="X31" s="48"/>
      <c r="Y31" s="48"/>
    </row>
    <row r="32" spans="1:25" x14ac:dyDescent="0.15">
      <c r="A32" s="5" t="s">
        <v>27</v>
      </c>
      <c r="B32" s="20"/>
      <c r="C32" s="20"/>
      <c r="D32" s="20"/>
      <c r="E32" s="20">
        <f>876.56+3111.524</f>
        <v>3988.0839999999998</v>
      </c>
      <c r="I32" s="20">
        <f>1011.315+3749.985</f>
        <v>4761.3</v>
      </c>
      <c r="J32" s="19"/>
      <c r="K32" s="20"/>
      <c r="L32" s="20"/>
      <c r="M32" s="20">
        <f>2306.072+3513.702</f>
        <v>5819.7740000000003</v>
      </c>
      <c r="N32" s="19">
        <f>2666.981+3480.989</f>
        <v>6147.97</v>
      </c>
      <c r="O32" s="20">
        <f>2987.986+3346.078</f>
        <v>6334.0640000000003</v>
      </c>
      <c r="P32" s="20">
        <f>1747.144+3197.326</f>
        <v>4944.47</v>
      </c>
      <c r="Q32" s="20">
        <f>1642.775+1586.187</f>
        <v>3228.962</v>
      </c>
      <c r="R32" s="19">
        <f>1738.846+1487.411</f>
        <v>3226.2570000000001</v>
      </c>
      <c r="S32" s="20">
        <f>2082.91+1396.069</f>
        <v>3478.9789999999998</v>
      </c>
      <c r="T32" s="20">
        <f>2209.047+1441.741</f>
        <v>3650.788</v>
      </c>
      <c r="U32" s="20">
        <f>2650.221+1526.755</f>
        <v>4176.9760000000006</v>
      </c>
      <c r="V32" s="19">
        <f>2688+1483</f>
        <v>4171</v>
      </c>
    </row>
    <row r="33" spans="1:25" x14ac:dyDescent="0.15">
      <c r="A33" s="5" t="s">
        <v>28</v>
      </c>
      <c r="B33" s="20"/>
      <c r="C33" s="20"/>
      <c r="D33" s="20"/>
      <c r="E33" s="20">
        <v>1907.231</v>
      </c>
      <c r="I33" s="20">
        <v>1902.068</v>
      </c>
      <c r="J33" s="19"/>
      <c r="K33" s="20"/>
      <c r="L33" s="20"/>
      <c r="M33" s="20">
        <v>1881.421</v>
      </c>
      <c r="N33" s="19">
        <v>1874.7940000000001</v>
      </c>
      <c r="O33" s="20">
        <v>1874.057</v>
      </c>
      <c r="P33" s="20">
        <v>1874.654</v>
      </c>
      <c r="Q33" s="20">
        <v>4124.8</v>
      </c>
      <c r="R33" s="19">
        <f>892.754+3236.833</f>
        <v>4129.5870000000004</v>
      </c>
      <c r="S33" s="20">
        <f>3145.668+987.938</f>
        <v>4133.6059999999998</v>
      </c>
      <c r="T33" s="20">
        <f>3148.587+988.429</f>
        <v>4137.0159999999996</v>
      </c>
      <c r="U33" s="20">
        <f>3149.343+988.924</f>
        <v>4138.2669999999998</v>
      </c>
      <c r="V33" s="19">
        <v>4113</v>
      </c>
    </row>
    <row r="34" spans="1:25" x14ac:dyDescent="0.15">
      <c r="J34" s="19"/>
      <c r="K34" s="20"/>
      <c r="L34" s="20"/>
    </row>
    <row r="35" spans="1:25" x14ac:dyDescent="0.15">
      <c r="A35" s="15" t="s">
        <v>56</v>
      </c>
      <c r="B35" s="20"/>
      <c r="C35" s="20"/>
      <c r="D35" s="20"/>
      <c r="E35" s="37">
        <f>5366.881+510.007</f>
        <v>5876.8879999999999</v>
      </c>
      <c r="I35" s="37">
        <f>5406.474+414.405</f>
        <v>5820.8789999999999</v>
      </c>
      <c r="J35" s="19"/>
      <c r="K35" s="20"/>
      <c r="L35" s="20"/>
      <c r="M35" s="37">
        <f>5821.561+385.658</f>
        <v>6207.2190000000001</v>
      </c>
      <c r="N35" s="19">
        <f>5843.899+353.74</f>
        <v>6197.6390000000001</v>
      </c>
      <c r="O35" s="20">
        <f>5823.792+320.478</f>
        <v>6144.27</v>
      </c>
      <c r="P35" s="20">
        <f>7136.853+669.476</f>
        <v>7806.3289999999997</v>
      </c>
      <c r="Q35" s="20">
        <f>10581.048+2069.001</f>
        <v>12650.049000000001</v>
      </c>
      <c r="R35" s="19">
        <f>10707.715+2017.103</f>
        <v>12724.817999999999</v>
      </c>
      <c r="S35" s="20">
        <f>10697.874+1917.149</f>
        <v>12615.022999999999</v>
      </c>
      <c r="T35" s="20">
        <f>10688.068+1815.625</f>
        <v>12503.692999999999</v>
      </c>
      <c r="U35" s="20">
        <f>10691.199+1720.565</f>
        <v>12411.764000000001</v>
      </c>
      <c r="V35" s="19">
        <f>10691+1626</f>
        <v>12317</v>
      </c>
    </row>
    <row r="36" spans="1:25" x14ac:dyDescent="0.15">
      <c r="A36" s="15" t="s">
        <v>57</v>
      </c>
      <c r="B36" s="20"/>
      <c r="C36" s="20"/>
      <c r="D36" s="20"/>
      <c r="E36" s="37">
        <v>11726.472</v>
      </c>
      <c r="I36" s="37">
        <v>12707.114</v>
      </c>
      <c r="J36" s="19"/>
      <c r="K36" s="20"/>
      <c r="L36" s="20"/>
      <c r="M36" s="37">
        <v>14535.556</v>
      </c>
      <c r="N36" s="19">
        <v>14973.485000000001</v>
      </c>
      <c r="O36" s="20">
        <v>15163.404</v>
      </c>
      <c r="P36" s="20">
        <v>15395.62</v>
      </c>
      <c r="Q36" s="20">
        <v>18768.682000000001</v>
      </c>
      <c r="R36" s="19">
        <v>19505.536</v>
      </c>
      <c r="S36" s="20">
        <v>19665.909</v>
      </c>
      <c r="T36" s="20">
        <v>20054.88</v>
      </c>
      <c r="U36" s="20">
        <v>20762.400000000001</v>
      </c>
      <c r="V36" s="19">
        <v>21214</v>
      </c>
    </row>
    <row r="37" spans="1:25" x14ac:dyDescent="0.15">
      <c r="A37" s="15" t="s">
        <v>58</v>
      </c>
      <c r="B37" s="20"/>
      <c r="C37" s="20"/>
      <c r="D37" s="20"/>
      <c r="E37" s="37">
        <v>4724.8919999999998</v>
      </c>
      <c r="I37" s="37">
        <v>5282.2790000000005</v>
      </c>
      <c r="J37" s="19"/>
      <c r="K37" s="20"/>
      <c r="L37" s="20"/>
      <c r="M37" s="37">
        <v>6075.6869999999999</v>
      </c>
      <c r="N37" s="19">
        <v>6339.4570000000003</v>
      </c>
      <c r="O37" s="20">
        <v>6457.8209999999999</v>
      </c>
      <c r="P37" s="20">
        <v>6533.6949999999997</v>
      </c>
      <c r="Q37" s="20">
        <v>9406.5679999999993</v>
      </c>
      <c r="R37" s="19">
        <v>9634.0509999999995</v>
      </c>
      <c r="S37" s="20">
        <v>9734.2160000000003</v>
      </c>
      <c r="T37" s="20">
        <v>9812.107</v>
      </c>
      <c r="U37" s="20">
        <v>10232.245000000001</v>
      </c>
      <c r="V37" s="19">
        <v>10749</v>
      </c>
    </row>
    <row r="38" spans="1:25" x14ac:dyDescent="0.15">
      <c r="E38" s="38"/>
      <c r="I38" s="38"/>
      <c r="J38" s="19"/>
      <c r="K38" s="20"/>
      <c r="L38" s="20"/>
      <c r="M38" s="38"/>
    </row>
    <row r="39" spans="1:25" x14ac:dyDescent="0.15">
      <c r="A39" s="15" t="s">
        <v>59</v>
      </c>
      <c r="E39" s="25">
        <f>E36-E32-E35</f>
        <v>1861.5</v>
      </c>
      <c r="I39" s="25">
        <f t="shared" ref="I39:O39" si="57">I36-I32-I35</f>
        <v>2124.9349999999995</v>
      </c>
      <c r="J39" s="19"/>
      <c r="K39" s="20"/>
      <c r="L39" s="20"/>
      <c r="M39" s="25">
        <f t="shared" si="57"/>
        <v>2508.5629999999992</v>
      </c>
      <c r="N39" s="26">
        <f t="shared" si="57"/>
        <v>2627.8759999999993</v>
      </c>
      <c r="O39" s="25">
        <f t="shared" si="57"/>
        <v>2685.0699999999997</v>
      </c>
      <c r="P39" s="25">
        <f t="shared" ref="P39:V39" si="58">P36-P32-P35</f>
        <v>2644.8210000000017</v>
      </c>
      <c r="Q39" s="25">
        <f t="shared" si="58"/>
        <v>2889.6710000000003</v>
      </c>
      <c r="R39" s="26">
        <f t="shared" si="58"/>
        <v>3554.4610000000011</v>
      </c>
      <c r="S39" s="25">
        <f t="shared" si="58"/>
        <v>3571.9070000000011</v>
      </c>
      <c r="T39" s="25">
        <f t="shared" si="58"/>
        <v>3900.3990000000013</v>
      </c>
      <c r="U39" s="25">
        <f t="shared" si="58"/>
        <v>4173.659999999998</v>
      </c>
      <c r="V39" s="26">
        <f t="shared" si="58"/>
        <v>4726</v>
      </c>
    </row>
    <row r="40" spans="1:25" x14ac:dyDescent="0.15">
      <c r="A40" s="15" t="s">
        <v>60</v>
      </c>
      <c r="E40" s="25">
        <f>E36-E37</f>
        <v>7001.58</v>
      </c>
      <c r="I40" s="25">
        <f>I36-I37</f>
        <v>7424.8349999999991</v>
      </c>
      <c r="J40" s="19"/>
      <c r="K40" s="20"/>
      <c r="L40" s="20"/>
      <c r="M40" s="25">
        <f t="shared" ref="M40:P40" si="59">M36-M37</f>
        <v>8459.8690000000006</v>
      </c>
      <c r="N40" s="26">
        <f t="shared" si="59"/>
        <v>8634.0280000000002</v>
      </c>
      <c r="O40" s="25">
        <f t="shared" si="59"/>
        <v>8705.5830000000005</v>
      </c>
      <c r="P40" s="25">
        <f t="shared" si="59"/>
        <v>8861.9250000000011</v>
      </c>
      <c r="Q40" s="25">
        <f t="shared" ref="Q40:S40" si="60">Q36-Q37</f>
        <v>9362.1140000000014</v>
      </c>
      <c r="R40" s="26">
        <f t="shared" si="60"/>
        <v>9871.4850000000006</v>
      </c>
      <c r="S40" s="25">
        <f t="shared" si="60"/>
        <v>9931.6929999999993</v>
      </c>
      <c r="T40" s="25">
        <f>T36-T37</f>
        <v>10242.773000000001</v>
      </c>
      <c r="U40" s="25">
        <f>U36-U37</f>
        <v>10530.155000000001</v>
      </c>
      <c r="V40" s="26">
        <f t="shared" ref="V40" si="61">V36-V37</f>
        <v>10465</v>
      </c>
    </row>
    <row r="41" spans="1:25" x14ac:dyDescent="0.15">
      <c r="E41" s="38"/>
      <c r="I41" s="38"/>
      <c r="J41" s="19"/>
      <c r="K41" s="20"/>
      <c r="L41" s="20"/>
      <c r="M41" s="38"/>
    </row>
    <row r="42" spans="1:25" s="11" customFormat="1" x14ac:dyDescent="0.15">
      <c r="A42" s="21" t="s">
        <v>61</v>
      </c>
      <c r="B42" s="24"/>
      <c r="C42" s="24"/>
      <c r="D42" s="24"/>
      <c r="E42" s="22">
        <f>SUM(B17:E17)</f>
        <v>-4165.96</v>
      </c>
      <c r="F42" s="18"/>
      <c r="G42" s="17"/>
      <c r="H42" s="17"/>
      <c r="I42" s="22">
        <f>SUM(F17:I17)</f>
        <v>-4685.6480000000001</v>
      </c>
      <c r="J42" s="19"/>
      <c r="K42" s="20"/>
      <c r="L42" s="20"/>
      <c r="M42" s="22">
        <f t="shared" ref="M42:U42" si="62">SUM(J17:M17)</f>
        <v>-5607.5510000000004</v>
      </c>
      <c r="N42" s="23">
        <f t="shared" si="62"/>
        <v>-5820.2220000000007</v>
      </c>
      <c r="O42" s="22">
        <f t="shared" si="62"/>
        <v>-5954.6149999999998</v>
      </c>
      <c r="P42" s="22">
        <f t="shared" si="62"/>
        <v>-6157.8950000000004</v>
      </c>
      <c r="Q42" s="22">
        <f t="shared" si="62"/>
        <v>-6439.2340000000004</v>
      </c>
      <c r="R42" s="23">
        <f t="shared" si="62"/>
        <v>-6506.6680000000006</v>
      </c>
      <c r="S42" s="22">
        <f t="shared" si="62"/>
        <v>-7086.1620000000003</v>
      </c>
      <c r="T42" s="22">
        <f t="shared" si="62"/>
        <v>-7502.7400000000007</v>
      </c>
      <c r="U42" s="22">
        <f t="shared" si="62"/>
        <v>-7856.4380000000001</v>
      </c>
      <c r="V42" s="23">
        <f t="shared" ref="V42" si="63">SUM(S17:V17)</f>
        <v>-8001.8329999999996</v>
      </c>
      <c r="W42" s="24"/>
      <c r="X42" s="24"/>
      <c r="Y42" s="24"/>
    </row>
    <row r="43" spans="1:25" x14ac:dyDescent="0.15">
      <c r="A43" s="15" t="s">
        <v>62</v>
      </c>
      <c r="E43" s="33">
        <f>E17/E40</f>
        <v>-0.15477920697899614</v>
      </c>
      <c r="I43" s="33">
        <f t="shared" ref="I43:O43" si="64">I42/I40</f>
        <v>-0.63107772765320724</v>
      </c>
      <c r="J43" s="19"/>
      <c r="K43" s="20"/>
      <c r="L43" s="20"/>
      <c r="M43" s="33">
        <f t="shared" si="64"/>
        <v>-0.66284135132588928</v>
      </c>
      <c r="N43" s="34">
        <f t="shared" si="64"/>
        <v>-0.67410274787156133</v>
      </c>
      <c r="O43" s="33">
        <f t="shared" si="64"/>
        <v>-0.68399956671483109</v>
      </c>
      <c r="P43" s="33">
        <f t="shared" ref="P43:V43" si="65">P42/P40</f>
        <v>-0.69487103535631367</v>
      </c>
      <c r="Q43" s="33">
        <f t="shared" si="65"/>
        <v>-0.68779700823980561</v>
      </c>
      <c r="R43" s="34">
        <f t="shared" si="65"/>
        <v>-0.65913770825767348</v>
      </c>
      <c r="S43" s="33">
        <f t="shared" si="65"/>
        <v>-0.71348983501604413</v>
      </c>
      <c r="T43" s="33">
        <f t="shared" si="65"/>
        <v>-0.73249109396449574</v>
      </c>
      <c r="U43" s="33">
        <f t="shared" si="65"/>
        <v>-0.74608949250984435</v>
      </c>
      <c r="V43" s="34">
        <f t="shared" si="65"/>
        <v>-0.7646280936454849</v>
      </c>
    </row>
    <row r="44" spans="1:25" x14ac:dyDescent="0.15">
      <c r="A44" s="15" t="s">
        <v>63</v>
      </c>
      <c r="E44" s="33">
        <f>E17/E36</f>
        <v>-9.2414751853754473E-2</v>
      </c>
      <c r="I44" s="33">
        <f t="shared" ref="I44:O44" si="66">I42/I36</f>
        <v>-0.36874210776734989</v>
      </c>
      <c r="J44" s="19"/>
      <c r="K44" s="20"/>
      <c r="L44" s="20"/>
      <c r="M44" s="33">
        <f t="shared" si="66"/>
        <v>-0.3857816653177904</v>
      </c>
      <c r="N44" s="34">
        <f t="shared" si="66"/>
        <v>-0.38870189538374</v>
      </c>
      <c r="O44" s="33">
        <f t="shared" si="66"/>
        <v>-0.39269645522865443</v>
      </c>
      <c r="P44" s="33">
        <f t="shared" ref="P44:V44" si="67">P42/P36</f>
        <v>-0.399977071400827</v>
      </c>
      <c r="Q44" s="33">
        <f t="shared" si="67"/>
        <v>-0.34308397361093335</v>
      </c>
      <c r="R44" s="34">
        <f t="shared" si="67"/>
        <v>-0.33358057938013086</v>
      </c>
      <c r="S44" s="33">
        <f t="shared" si="67"/>
        <v>-0.36032720379210542</v>
      </c>
      <c r="T44" s="33">
        <f t="shared" si="67"/>
        <v>-0.37411044095003315</v>
      </c>
      <c r="U44" s="33">
        <f t="shared" si="67"/>
        <v>-0.37839739143836931</v>
      </c>
      <c r="V44" s="34">
        <f t="shared" si="67"/>
        <v>-0.37719586122372017</v>
      </c>
    </row>
    <row r="45" spans="1:25" x14ac:dyDescent="0.15">
      <c r="A45" s="15" t="s">
        <v>64</v>
      </c>
      <c r="E45" s="33">
        <f>E17/(E40-E35)</f>
        <v>-0.96355179907032307</v>
      </c>
      <c r="I45" s="33">
        <f t="shared" ref="I45:O45" si="68">I42/(I40-I35)</f>
        <v>-2.9213070682736948</v>
      </c>
      <c r="J45" s="19"/>
      <c r="K45" s="20"/>
      <c r="L45" s="20"/>
      <c r="M45" s="33">
        <f t="shared" si="68"/>
        <v>-2.4893130313186687</v>
      </c>
      <c r="N45" s="34">
        <f t="shared" si="68"/>
        <v>-2.388872220322781</v>
      </c>
      <c r="O45" s="33">
        <f t="shared" si="68"/>
        <v>-2.3248291013242035</v>
      </c>
      <c r="P45" s="33">
        <f t="shared" ref="P45:V45" si="69">P42/(P40-P35)</f>
        <v>-5.8335717452510165</v>
      </c>
      <c r="Q45" s="33">
        <f t="shared" si="69"/>
        <v>1.9584432173993711</v>
      </c>
      <c r="R45" s="34">
        <f t="shared" si="69"/>
        <v>2.2803745654643195</v>
      </c>
      <c r="S45" s="33">
        <f t="shared" si="69"/>
        <v>2.6408089947937827</v>
      </c>
      <c r="T45" s="33">
        <f t="shared" si="69"/>
        <v>3.3184455885214899</v>
      </c>
      <c r="U45" s="33">
        <f t="shared" si="69"/>
        <v>4.1753828771014589</v>
      </c>
      <c r="V45" s="34">
        <f t="shared" si="69"/>
        <v>4.3206441684665222</v>
      </c>
    </row>
    <row r="46" spans="1:25" x14ac:dyDescent="0.15">
      <c r="A46" s="15" t="s">
        <v>65</v>
      </c>
      <c r="E46" s="33">
        <f>E17/E39</f>
        <v>-0.58216438356164379</v>
      </c>
      <c r="I46" s="33">
        <f t="shared" ref="I46:O46" si="70">I42/I39</f>
        <v>-2.2050782729824685</v>
      </c>
      <c r="J46" s="19"/>
      <c r="K46" s="20"/>
      <c r="L46" s="20"/>
      <c r="M46" s="33">
        <f t="shared" si="70"/>
        <v>-2.235363831803308</v>
      </c>
      <c r="N46" s="34">
        <f t="shared" si="70"/>
        <v>-2.2148008505728591</v>
      </c>
      <c r="O46" s="33">
        <f t="shared" si="70"/>
        <v>-2.2176758892691812</v>
      </c>
      <c r="P46" s="33">
        <f t="shared" ref="P46:V46" si="71">P42/P39</f>
        <v>-2.3282842203687872</v>
      </c>
      <c r="Q46" s="33">
        <f t="shared" si="71"/>
        <v>-2.2283623291371231</v>
      </c>
      <c r="R46" s="34">
        <f t="shared" si="71"/>
        <v>-1.830563902656408</v>
      </c>
      <c r="S46" s="33">
        <f t="shared" si="71"/>
        <v>-1.9838596021676931</v>
      </c>
      <c r="T46" s="33">
        <f t="shared" si="71"/>
        <v>-1.9235826898735227</v>
      </c>
      <c r="U46" s="33">
        <f t="shared" si="71"/>
        <v>-1.882385723801173</v>
      </c>
      <c r="V46" s="34">
        <f t="shared" si="71"/>
        <v>-1.69315129073212</v>
      </c>
    </row>
    <row r="48" spans="1:25" x14ac:dyDescent="0.15">
      <c r="A48" s="5" t="s">
        <v>131</v>
      </c>
      <c r="F48" s="34" t="e">
        <f>F3/B3-1</f>
        <v>#DIV/0!</v>
      </c>
      <c r="G48" s="33" t="e">
        <f>G3/C3-1</f>
        <v>#DIV/0!</v>
      </c>
      <c r="H48" s="33" t="e">
        <f>H3/D3-1</f>
        <v>#DIV/0!</v>
      </c>
      <c r="I48" s="33" t="e">
        <f>I3/E3-1</f>
        <v>#DIV/0!</v>
      </c>
      <c r="J48" s="34" t="e">
        <f>J3/F3-1</f>
        <v>#DIV/0!</v>
      </c>
      <c r="K48" s="33" t="e">
        <f>K3/G3-1</f>
        <v>#DIV/0!</v>
      </c>
      <c r="L48" s="33" t="e">
        <f>L3/H3-1</f>
        <v>#DIV/0!</v>
      </c>
      <c r="M48" s="33" t="e">
        <f>M3/I3-1</f>
        <v>#DIV/0!</v>
      </c>
      <c r="N48" s="34" t="e">
        <f>N3/J3-1</f>
        <v>#DIV/0!</v>
      </c>
      <c r="O48" s="33" t="e">
        <f>O3/K3-1</f>
        <v>#DIV/0!</v>
      </c>
      <c r="P48" s="33" t="e">
        <f>P3/L3-1</f>
        <v>#DIV/0!</v>
      </c>
      <c r="Q48" s="33" t="e">
        <f>Q3/M3-1</f>
        <v>#DIV/0!</v>
      </c>
      <c r="R48" s="34" t="e">
        <f>R3/N3-1</f>
        <v>#DIV/0!</v>
      </c>
      <c r="S48" s="33" t="e">
        <f>S3/O3-1</f>
        <v>#DIV/0!</v>
      </c>
      <c r="T48" s="33" t="e">
        <f>T3/P3-1</f>
        <v>#DIV/0!</v>
      </c>
      <c r="U48" s="33" t="e">
        <f>U3/Q3-1</f>
        <v>#DIV/0!</v>
      </c>
      <c r="V48" s="34">
        <f>V3/R3-1</f>
        <v>0.17583929554210243</v>
      </c>
      <c r="W48" s="33"/>
      <c r="X48" s="33"/>
      <c r="Y48" s="33"/>
    </row>
    <row r="50" spans="1:25" s="7" customFormat="1" x14ac:dyDescent="0.15">
      <c r="A50" s="7" t="s">
        <v>118</v>
      </c>
      <c r="B50" s="20"/>
      <c r="C50" s="20"/>
      <c r="D50" s="20"/>
      <c r="E50" s="20"/>
      <c r="F50" s="19"/>
      <c r="G50" s="20"/>
      <c r="H50" s="20"/>
      <c r="I50" s="20"/>
      <c r="J50" s="19"/>
      <c r="K50" s="20"/>
      <c r="L50" s="20"/>
      <c r="M50" s="20"/>
      <c r="N50" s="19"/>
      <c r="O50" s="20"/>
      <c r="P50" s="20"/>
      <c r="Q50" s="20"/>
      <c r="R50" s="19">
        <f>0.31*R$3</f>
        <v>112.654</v>
      </c>
      <c r="S50" s="20"/>
      <c r="T50" s="20"/>
      <c r="U50" s="20"/>
      <c r="V50" s="19">
        <f>0.34*V$3</f>
        <v>145.28200000000001</v>
      </c>
      <c r="W50" s="20"/>
      <c r="X50" s="20"/>
      <c r="Y50" s="20"/>
    </row>
    <row r="51" spans="1:25" s="7" customFormat="1" x14ac:dyDescent="0.15">
      <c r="A51" s="7" t="s">
        <v>119</v>
      </c>
      <c r="B51" s="20"/>
      <c r="C51" s="20"/>
      <c r="D51" s="20"/>
      <c r="E51" s="20"/>
      <c r="F51" s="19"/>
      <c r="G51" s="20"/>
      <c r="H51" s="20"/>
      <c r="I51" s="20"/>
      <c r="J51" s="19"/>
      <c r="K51" s="20"/>
      <c r="L51" s="20"/>
      <c r="M51" s="20"/>
      <c r="N51" s="19"/>
      <c r="O51" s="20"/>
      <c r="P51" s="20"/>
      <c r="Q51" s="20"/>
      <c r="R51" s="19">
        <f>0.18*R$3</f>
        <v>65.411999999999992</v>
      </c>
      <c r="S51" s="20"/>
      <c r="T51" s="20"/>
      <c r="U51" s="20"/>
      <c r="V51" s="19">
        <f>0.19*V$3</f>
        <v>81.186999999999998</v>
      </c>
      <c r="W51" s="20"/>
      <c r="X51" s="20"/>
      <c r="Y51" s="20"/>
    </row>
    <row r="52" spans="1:25" s="7" customFormat="1" x14ac:dyDescent="0.15">
      <c r="A52" s="7" t="s">
        <v>120</v>
      </c>
      <c r="B52" s="20"/>
      <c r="C52" s="20"/>
      <c r="D52" s="20"/>
      <c r="E52" s="20"/>
      <c r="F52" s="19"/>
      <c r="G52" s="20"/>
      <c r="H52" s="20"/>
      <c r="I52" s="20"/>
      <c r="J52" s="19"/>
      <c r="K52" s="20"/>
      <c r="L52" s="20"/>
      <c r="M52" s="20"/>
      <c r="N52" s="19"/>
      <c r="O52" s="20"/>
      <c r="P52" s="20"/>
      <c r="Q52" s="20"/>
      <c r="R52" s="19">
        <f>0.34*R$3</f>
        <v>123.556</v>
      </c>
      <c r="S52" s="20"/>
      <c r="T52" s="20"/>
      <c r="U52" s="20"/>
      <c r="V52" s="19">
        <f>0.2*V$3</f>
        <v>85.460000000000008</v>
      </c>
      <c r="W52" s="20"/>
      <c r="X52" s="20"/>
      <c r="Y52" s="20"/>
    </row>
    <row r="53" spans="1:25" s="7" customFormat="1" x14ac:dyDescent="0.15">
      <c r="A53" s="7" t="s">
        <v>121</v>
      </c>
      <c r="B53" s="20"/>
      <c r="C53" s="20"/>
      <c r="D53" s="20"/>
      <c r="E53" s="20"/>
      <c r="F53" s="19"/>
      <c r="G53" s="20"/>
      <c r="H53" s="20"/>
      <c r="I53" s="20"/>
      <c r="J53" s="19"/>
      <c r="K53" s="20"/>
      <c r="L53" s="20"/>
      <c r="M53" s="20"/>
      <c r="N53" s="19"/>
      <c r="O53" s="20"/>
      <c r="P53" s="20"/>
      <c r="Q53" s="20"/>
      <c r="R53" s="19">
        <f>0.05*R$3</f>
        <v>18.169999999999998</v>
      </c>
      <c r="S53" s="20"/>
      <c r="T53" s="20"/>
      <c r="U53" s="20"/>
      <c r="V53" s="19">
        <f>0.11*V$3</f>
        <v>47.003</v>
      </c>
      <c r="W53" s="20"/>
      <c r="X53" s="20"/>
      <c r="Y53" s="20"/>
    </row>
    <row r="54" spans="1:25" s="7" customFormat="1" x14ac:dyDescent="0.15">
      <c r="A54" s="7" t="s">
        <v>122</v>
      </c>
      <c r="B54" s="20"/>
      <c r="C54" s="20"/>
      <c r="D54" s="20"/>
      <c r="E54" s="20"/>
      <c r="F54" s="19"/>
      <c r="G54" s="20"/>
      <c r="H54" s="20"/>
      <c r="I54" s="20"/>
      <c r="J54" s="19"/>
      <c r="K54" s="20"/>
      <c r="L54" s="20"/>
      <c r="M54" s="20"/>
      <c r="N54" s="19"/>
      <c r="O54" s="20"/>
      <c r="P54" s="20"/>
      <c r="Q54" s="20"/>
      <c r="R54" s="19">
        <f>0.07*R$3</f>
        <v>25.438000000000002</v>
      </c>
      <c r="S54" s="20"/>
      <c r="T54" s="20"/>
      <c r="U54" s="20"/>
      <c r="V54" s="19">
        <f>0.12*V$3</f>
        <v>51.275999999999996</v>
      </c>
      <c r="W54" s="20"/>
      <c r="X54" s="20"/>
      <c r="Y54" s="20"/>
    </row>
    <row r="55" spans="1:25" s="7" customFormat="1" x14ac:dyDescent="0.15">
      <c r="A55" s="7" t="s">
        <v>123</v>
      </c>
      <c r="B55" s="20"/>
      <c r="C55" s="20"/>
      <c r="D55" s="20"/>
      <c r="E55" s="20"/>
      <c r="F55" s="19"/>
      <c r="G55" s="20"/>
      <c r="H55" s="20"/>
      <c r="I55" s="20"/>
      <c r="J55" s="19"/>
      <c r="K55" s="20"/>
      <c r="L55" s="20"/>
      <c r="M55" s="20"/>
      <c r="N55" s="19"/>
      <c r="O55" s="20"/>
      <c r="P55" s="20"/>
      <c r="Q55" s="20"/>
      <c r="R55" s="19">
        <f>0.05*R$3</f>
        <v>18.169999999999998</v>
      </c>
      <c r="S55" s="20"/>
      <c r="T55" s="20"/>
      <c r="U55" s="20"/>
      <c r="V55" s="19">
        <f>0.04*V$3</f>
        <v>17.092000000000002</v>
      </c>
      <c r="W55" s="20"/>
      <c r="X55" s="20"/>
      <c r="Y55" s="20"/>
    </row>
    <row r="56" spans="1:25" s="11" customFormat="1" x14ac:dyDescent="0.15">
      <c r="A56" s="11" t="s">
        <v>130</v>
      </c>
      <c r="B56" s="24"/>
      <c r="C56" s="24"/>
      <c r="D56" s="24"/>
      <c r="E56" s="24"/>
      <c r="F56" s="66"/>
      <c r="G56" s="24"/>
      <c r="H56" s="24"/>
      <c r="I56" s="24"/>
      <c r="J56" s="66"/>
      <c r="K56" s="24"/>
      <c r="L56" s="24"/>
      <c r="M56" s="24"/>
      <c r="N56" s="66"/>
      <c r="O56" s="24"/>
      <c r="P56" s="24"/>
      <c r="Q56" s="24"/>
      <c r="R56" s="67">
        <f>SUM(R50:R55)</f>
        <v>363.4</v>
      </c>
      <c r="S56" s="24"/>
      <c r="T56" s="24"/>
      <c r="U56" s="24"/>
      <c r="V56" s="67">
        <f>SUM(V50:V55)</f>
        <v>427.29999999999995</v>
      </c>
      <c r="W56" s="24"/>
      <c r="X56" s="24"/>
      <c r="Y56" s="24"/>
    </row>
    <row r="57" spans="1:25" x14ac:dyDescent="0.15">
      <c r="R57" s="19"/>
      <c r="V57" s="19"/>
    </row>
    <row r="58" spans="1:25" x14ac:dyDescent="0.15">
      <c r="A58" s="7" t="s">
        <v>124</v>
      </c>
      <c r="V58" s="34">
        <f>V50/R50-1</f>
        <v>0.28963019511069299</v>
      </c>
    </row>
    <row r="59" spans="1:25" x14ac:dyDescent="0.15">
      <c r="A59" s="7" t="s">
        <v>125</v>
      </c>
      <c r="V59" s="34">
        <f t="shared" ref="V59:V63" si="72">V51/R51-1</f>
        <v>0.24116370084999716</v>
      </c>
    </row>
    <row r="60" spans="1:25" x14ac:dyDescent="0.15">
      <c r="A60" s="7" t="s">
        <v>126</v>
      </c>
      <c r="V60" s="34">
        <f t="shared" si="72"/>
        <v>-0.30832982615170446</v>
      </c>
    </row>
    <row r="61" spans="1:25" x14ac:dyDescent="0.15">
      <c r="A61" s="7" t="s">
        <v>127</v>
      </c>
      <c r="V61" s="34">
        <f t="shared" si="72"/>
        <v>1.5868464501926254</v>
      </c>
    </row>
    <row r="62" spans="1:25" x14ac:dyDescent="0.15">
      <c r="A62" s="7" t="s">
        <v>128</v>
      </c>
      <c r="V62" s="34">
        <f t="shared" si="72"/>
        <v>1.0157245066436036</v>
      </c>
    </row>
    <row r="63" spans="1:25" x14ac:dyDescent="0.15">
      <c r="A63" s="7" t="s">
        <v>129</v>
      </c>
      <c r="V63" s="34">
        <f t="shared" si="72"/>
        <v>-5.9328563566317882E-2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B9"/>
  <sheetViews>
    <sheetView workbookViewId="0">
      <selection activeCell="B10" sqref="B10"/>
    </sheetView>
  </sheetViews>
  <sheetFormatPr baseColWidth="10" defaultRowHeight="13" x14ac:dyDescent="0.15"/>
  <cols>
    <col min="1" max="1" width="10.83203125" style="3"/>
    <col min="2" max="2" width="26.83203125" style="3" bestFit="1" customWidth="1"/>
    <col min="3" max="16384" width="10.83203125" style="3"/>
  </cols>
  <sheetData>
    <row r="4" spans="2:2" x14ac:dyDescent="0.15">
      <c r="B4" s="65" t="s">
        <v>112</v>
      </c>
    </row>
    <row r="6" spans="2:2" x14ac:dyDescent="0.15">
      <c r="B6" s="3" t="s">
        <v>113</v>
      </c>
    </row>
    <row r="7" spans="2:2" x14ac:dyDescent="0.15">
      <c r="B7" s="3" t="s">
        <v>114</v>
      </c>
    </row>
    <row r="8" spans="2:2" x14ac:dyDescent="0.15">
      <c r="B8" s="3" t="s">
        <v>115</v>
      </c>
    </row>
    <row r="9" spans="2:2" x14ac:dyDescent="0.15">
      <c r="B9" s="3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 EUR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2020-07-23T14:16:09Z</dcterms:modified>
</cp:coreProperties>
</file>