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michaelsjoberg/Dropbox/- PROJECTS/- Investing/stocks/"/>
    </mc:Choice>
  </mc:AlternateContent>
  <bookViews>
    <workbookView xWindow="0" yWindow="460" windowWidth="16680" windowHeight="16540" tabRatio="500"/>
  </bookViews>
  <sheets>
    <sheet name="Main" sheetId="2" r:id="rId1"/>
    <sheet name="Reports" sheetId="1" r:id="rId2"/>
    <sheet name="Products"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2" l="1"/>
  <c r="F6" i="2"/>
  <c r="F7" i="2"/>
  <c r="G11" i="2"/>
  <c r="H11" i="2"/>
  <c r="I11" i="2"/>
  <c r="J11" i="2"/>
  <c r="F11" i="2"/>
  <c r="G21" i="2"/>
  <c r="H21" i="2"/>
  <c r="I21" i="2"/>
  <c r="J21" i="2"/>
  <c r="F21" i="2"/>
  <c r="F23" i="2"/>
  <c r="F17" i="2"/>
  <c r="F19" i="2"/>
  <c r="F24" i="2"/>
  <c r="F26" i="2"/>
  <c r="F27" i="2"/>
  <c r="F28" i="2"/>
  <c r="F41" i="2"/>
  <c r="G23" i="2"/>
  <c r="G17" i="2"/>
  <c r="F37" i="2"/>
  <c r="G19" i="2"/>
  <c r="G24" i="2"/>
  <c r="G25" i="2"/>
  <c r="G26" i="2"/>
  <c r="G27" i="2"/>
  <c r="G28" i="2"/>
  <c r="G41" i="2"/>
  <c r="F30" i="2"/>
  <c r="H25" i="2"/>
  <c r="H23" i="2"/>
  <c r="H17" i="2"/>
  <c r="G37" i="2"/>
  <c r="H19" i="2"/>
  <c r="H24" i="2"/>
  <c r="H26" i="2"/>
  <c r="H27" i="2"/>
  <c r="H28" i="2"/>
  <c r="H41" i="2"/>
  <c r="I25" i="2"/>
  <c r="I23" i="2"/>
  <c r="I17" i="2"/>
  <c r="H37" i="2"/>
  <c r="I19" i="2"/>
  <c r="I24" i="2"/>
  <c r="I26" i="2"/>
  <c r="I27" i="2"/>
  <c r="I28" i="2"/>
  <c r="I41" i="2"/>
  <c r="J25" i="2"/>
  <c r="J23" i="2"/>
  <c r="J17" i="2"/>
  <c r="I37" i="2"/>
  <c r="J19" i="2"/>
  <c r="J24" i="2"/>
  <c r="J26" i="2"/>
  <c r="J27" i="2"/>
  <c r="J28" i="2"/>
  <c r="J41" i="2"/>
  <c r="K25" i="2"/>
  <c r="K21" i="2"/>
  <c r="K23" i="2"/>
  <c r="K17" i="2"/>
  <c r="J37" i="2"/>
  <c r="K19" i="2"/>
  <c r="K24" i="2"/>
  <c r="K26" i="2"/>
  <c r="K27" i="2"/>
  <c r="K28" i="2"/>
  <c r="K41" i="2"/>
  <c r="L25" i="2"/>
  <c r="L21" i="2"/>
  <c r="L23" i="2"/>
  <c r="L17" i="2"/>
  <c r="K37" i="2"/>
  <c r="L19" i="2"/>
  <c r="L24" i="2"/>
  <c r="L26" i="2"/>
  <c r="L27" i="2"/>
  <c r="L28" i="2"/>
  <c r="L41" i="2"/>
  <c r="M25" i="2"/>
  <c r="M21" i="2"/>
  <c r="M23" i="2"/>
  <c r="M17" i="2"/>
  <c r="L37" i="2"/>
  <c r="M19" i="2"/>
  <c r="M24" i="2"/>
  <c r="M26" i="2"/>
  <c r="M27" i="2"/>
  <c r="M28" i="2"/>
  <c r="M41" i="2"/>
  <c r="N25" i="2"/>
  <c r="N21" i="2"/>
  <c r="N23" i="2"/>
  <c r="N17" i="2"/>
  <c r="M37" i="2"/>
  <c r="N19" i="2"/>
  <c r="N24" i="2"/>
  <c r="N26" i="2"/>
  <c r="N27" i="2"/>
  <c r="N28" i="2"/>
  <c r="N41" i="2"/>
  <c r="O25" i="2"/>
  <c r="O21" i="2"/>
  <c r="O23" i="2"/>
  <c r="O17" i="2"/>
  <c r="N37" i="2"/>
  <c r="O19" i="2"/>
  <c r="O24" i="2"/>
  <c r="O26" i="2"/>
  <c r="O27" i="2"/>
  <c r="O28" i="2"/>
  <c r="O41" i="2"/>
  <c r="P25" i="2"/>
  <c r="P21" i="2"/>
  <c r="P23" i="2"/>
  <c r="P17" i="2"/>
  <c r="O37" i="2"/>
  <c r="P19" i="2"/>
  <c r="P24" i="2"/>
  <c r="P26" i="2"/>
  <c r="P27" i="2"/>
  <c r="F25" i="2"/>
  <c r="L22" i="2"/>
  <c r="M22" i="2"/>
  <c r="N22" i="2"/>
  <c r="O22" i="2"/>
  <c r="P22" i="2"/>
  <c r="K22" i="2"/>
  <c r="G22" i="2"/>
  <c r="H22" i="2"/>
  <c r="I22" i="2"/>
  <c r="J22" i="2"/>
  <c r="G20" i="2"/>
  <c r="H20" i="2"/>
  <c r="I20" i="2"/>
  <c r="J20" i="2"/>
  <c r="F20" i="2"/>
  <c r="F18" i="2"/>
  <c r="K20" i="2"/>
  <c r="L20" i="2"/>
  <c r="M20" i="2"/>
  <c r="N20" i="2"/>
  <c r="O20" i="2"/>
  <c r="P20"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J28" i="2"/>
  <c r="CK28" i="2"/>
  <c r="CL28" i="2"/>
  <c r="CM28" i="2"/>
  <c r="CN28" i="2"/>
  <c r="CO28" i="2"/>
  <c r="CP28" i="2"/>
  <c r="CQ28" i="2"/>
  <c r="CR28" i="2"/>
  <c r="CS28" i="2"/>
  <c r="CT28" i="2"/>
  <c r="CU28" i="2"/>
  <c r="CV28" i="2"/>
  <c r="CW28" i="2"/>
  <c r="CX28" i="2"/>
  <c r="CY28" i="2"/>
  <c r="CZ28" i="2"/>
  <c r="DA28" i="2"/>
  <c r="DB28" i="2"/>
  <c r="DC28" i="2"/>
  <c r="DD28" i="2"/>
  <c r="DE28" i="2"/>
  <c r="DF28" i="2"/>
  <c r="DG28" i="2"/>
  <c r="DH28" i="2"/>
  <c r="DI28" i="2"/>
  <c r="DJ28" i="2"/>
  <c r="DK28" i="2"/>
  <c r="DL28" i="2"/>
  <c r="DM28" i="2"/>
  <c r="DN28" i="2"/>
  <c r="DO28" i="2"/>
  <c r="DP28" i="2"/>
  <c r="DQ28" i="2"/>
  <c r="DR28" i="2"/>
  <c r="G12" i="2"/>
  <c r="H12" i="2"/>
  <c r="I12" i="2"/>
  <c r="J12" i="2"/>
  <c r="F12" i="2"/>
  <c r="J58" i="2"/>
  <c r="I58" i="2"/>
  <c r="H58" i="2"/>
  <c r="G58" i="2"/>
  <c r="F58" i="2"/>
  <c r="J57" i="2"/>
  <c r="I57" i="2"/>
  <c r="H57" i="2"/>
  <c r="G57" i="2"/>
  <c r="F57" i="2"/>
  <c r="I6" i="2"/>
  <c r="I5" i="2"/>
  <c r="I4" i="2"/>
  <c r="I3" i="2"/>
  <c r="I2" i="2"/>
  <c r="P37" i="2"/>
  <c r="C5" i="2"/>
  <c r="C3" i="2"/>
  <c r="E41" i="2"/>
  <c r="E49" i="2"/>
  <c r="E58" i="2"/>
  <c r="E57" i="2"/>
  <c r="E55" i="2"/>
  <c r="E50" i="2"/>
  <c r="E54" i="2"/>
  <c r="E53" i="2"/>
  <c r="E52" i="2"/>
  <c r="E47" i="2"/>
  <c r="E46" i="2"/>
  <c r="E45" i="2"/>
  <c r="E43" i="2"/>
  <c r="E42" i="2"/>
  <c r="E29" i="2"/>
  <c r="E26" i="2"/>
  <c r="E23" i="2"/>
  <c r="E24" i="2"/>
  <c r="E19" i="2"/>
  <c r="E17" i="2"/>
  <c r="D30" i="2"/>
  <c r="C30" i="2"/>
  <c r="B30" i="2"/>
  <c r="E30" i="2"/>
  <c r="E27" i="2"/>
  <c r="E25" i="2"/>
  <c r="E22" i="2"/>
  <c r="E21" i="2"/>
  <c r="E20" i="2"/>
  <c r="E18" i="2"/>
  <c r="E12" i="2"/>
  <c r="E11" i="2"/>
  <c r="D58" i="2"/>
  <c r="D57" i="2"/>
  <c r="D55" i="2"/>
  <c r="D54" i="2"/>
  <c r="D53" i="2"/>
  <c r="D52" i="2"/>
  <c r="D50" i="2"/>
  <c r="D49" i="2"/>
  <c r="D41" i="2"/>
  <c r="C41" i="2"/>
  <c r="B41" i="2"/>
  <c r="D47" i="2"/>
  <c r="D46" i="2"/>
  <c r="D45" i="2"/>
  <c r="D43" i="2"/>
  <c r="D42" i="2"/>
  <c r="C43" i="2"/>
  <c r="C42" i="2"/>
  <c r="B43" i="2"/>
  <c r="B42" i="2"/>
  <c r="C17" i="2"/>
  <c r="D17" i="2"/>
  <c r="D20" i="2"/>
  <c r="D18" i="2"/>
  <c r="D12" i="2"/>
  <c r="D11" i="2"/>
  <c r="D19" i="2"/>
  <c r="D37" i="2"/>
  <c r="E37" i="2"/>
  <c r="F22" i="2"/>
  <c r="G7" i="2"/>
  <c r="C4" i="2"/>
  <c r="C6" i="2"/>
  <c r="C7" i="2"/>
  <c r="E33" i="2"/>
  <c r="E32" i="2"/>
  <c r="E28" i="2"/>
  <c r="M34" i="1"/>
  <c r="N34" i="1"/>
  <c r="E34" i="1"/>
  <c r="M19" i="1"/>
  <c r="M17" i="1"/>
  <c r="M14" i="1"/>
  <c r="M10" i="1"/>
  <c r="Q45" i="1"/>
  <c r="M9" i="1"/>
  <c r="M11" i="1"/>
  <c r="M15" i="1"/>
  <c r="M16" i="1"/>
  <c r="M18" i="1"/>
  <c r="M21" i="1"/>
  <c r="N45" i="1"/>
  <c r="N38" i="1"/>
  <c r="N36" i="1"/>
  <c r="N35" i="1"/>
  <c r="J14" i="1"/>
  <c r="N17" i="1"/>
  <c r="N14" i="1"/>
  <c r="N10" i="1"/>
  <c r="N52" i="1"/>
  <c r="N51" i="1"/>
  <c r="N9" i="1"/>
  <c r="N11" i="1"/>
  <c r="N15" i="1"/>
  <c r="N16" i="1"/>
  <c r="N18" i="1"/>
  <c r="N21" i="1"/>
  <c r="N42" i="1"/>
  <c r="N49" i="1"/>
  <c r="N43" i="1"/>
  <c r="N48" i="1"/>
  <c r="N47" i="1"/>
  <c r="N46" i="1"/>
  <c r="N32" i="1"/>
  <c r="N31" i="1"/>
  <c r="N30" i="1"/>
  <c r="N28" i="1"/>
  <c r="N27" i="1"/>
  <c r="N26" i="1"/>
  <c r="J9" i="1"/>
  <c r="N25" i="1"/>
  <c r="N22" i="1"/>
  <c r="O38" i="1"/>
  <c r="O36" i="1"/>
  <c r="O35" i="1"/>
  <c r="O17" i="1"/>
  <c r="O14" i="1"/>
  <c r="O11" i="1"/>
  <c r="O10" i="1"/>
  <c r="O9" i="1"/>
  <c r="O52" i="1"/>
  <c r="O51" i="1"/>
  <c r="O15" i="1"/>
  <c r="O16" i="1"/>
  <c r="O18" i="1"/>
  <c r="O21" i="1"/>
  <c r="O45" i="1"/>
  <c r="O42" i="1"/>
  <c r="O49" i="1"/>
  <c r="O43" i="1"/>
  <c r="O48" i="1"/>
  <c r="O47" i="1"/>
  <c r="O46" i="1"/>
  <c r="O34" i="1"/>
  <c r="O32" i="1"/>
  <c r="O31" i="1"/>
  <c r="O30" i="1"/>
  <c r="O28" i="1"/>
  <c r="O27" i="1"/>
  <c r="O26" i="1"/>
  <c r="K9" i="1"/>
  <c r="O25" i="1"/>
  <c r="O22" i="1"/>
  <c r="P38" i="1"/>
  <c r="P36" i="1"/>
  <c r="P35" i="1"/>
  <c r="P17" i="1"/>
  <c r="P14" i="1"/>
  <c r="P10" i="1"/>
  <c r="P9" i="1"/>
  <c r="P52" i="1"/>
  <c r="P51" i="1"/>
  <c r="P11" i="1"/>
  <c r="P15" i="1"/>
  <c r="P16" i="1"/>
  <c r="P18" i="1"/>
  <c r="P21" i="1"/>
  <c r="P45" i="1"/>
  <c r="P42" i="1"/>
  <c r="P49" i="1"/>
  <c r="P43" i="1"/>
  <c r="P48" i="1"/>
  <c r="P47" i="1"/>
  <c r="P46" i="1"/>
  <c r="P34" i="1"/>
  <c r="P32" i="1"/>
  <c r="P31" i="1"/>
  <c r="P30" i="1"/>
  <c r="P28" i="1"/>
  <c r="P27" i="1"/>
  <c r="P26" i="1"/>
  <c r="L9" i="1"/>
  <c r="P25" i="1"/>
  <c r="P22" i="1"/>
  <c r="L34" i="1"/>
  <c r="L11" i="1"/>
  <c r="L15" i="1"/>
  <c r="L16" i="1"/>
  <c r="L18" i="1"/>
  <c r="L21" i="1"/>
  <c r="K11" i="1"/>
  <c r="K15" i="1"/>
  <c r="K16" i="1"/>
  <c r="K18" i="1"/>
  <c r="K21" i="1"/>
  <c r="J11" i="1"/>
  <c r="J15" i="1"/>
  <c r="J16" i="1"/>
  <c r="J18" i="1"/>
  <c r="J21" i="1"/>
  <c r="M45" i="1"/>
  <c r="M43" i="1"/>
  <c r="M42" i="1"/>
  <c r="M52" i="1"/>
  <c r="M51" i="1"/>
  <c r="M49" i="1"/>
  <c r="M48" i="1"/>
  <c r="M47" i="1"/>
  <c r="M46" i="1"/>
  <c r="M38" i="1"/>
  <c r="M36" i="1"/>
  <c r="M35" i="1"/>
  <c r="Q52" i="1"/>
  <c r="Q51" i="1"/>
  <c r="Q49" i="1"/>
  <c r="Q48" i="1"/>
  <c r="Q47" i="1"/>
  <c r="Q46" i="1"/>
  <c r="Q43" i="1"/>
  <c r="Q42" i="1"/>
  <c r="Q38" i="1"/>
  <c r="Q34" i="1"/>
  <c r="Q36" i="1"/>
  <c r="Q35" i="1"/>
  <c r="M22" i="1"/>
  <c r="Q26" i="1"/>
  <c r="Q25" i="1"/>
  <c r="Q22" i="1"/>
  <c r="Q17" i="1"/>
  <c r="Q10" i="1"/>
  <c r="Q9" i="1"/>
  <c r="Q11" i="1"/>
  <c r="Q15" i="1"/>
  <c r="Q16" i="1"/>
  <c r="Q18" i="1"/>
  <c r="Q32" i="1"/>
  <c r="Q31" i="1"/>
  <c r="Q30" i="1"/>
  <c r="Q28" i="1"/>
  <c r="Q27" i="1"/>
  <c r="Q21" i="1"/>
  <c r="B9" i="1"/>
  <c r="J10" i="1"/>
  <c r="K10" i="1"/>
  <c r="L10" i="1"/>
  <c r="L35" i="1"/>
  <c r="L14" i="1"/>
  <c r="L17" i="1"/>
  <c r="L32" i="1"/>
  <c r="G30" i="2"/>
  <c r="H30" i="2"/>
  <c r="I30" i="2"/>
  <c r="J30" i="2"/>
  <c r="K30" i="2"/>
  <c r="L30" i="2"/>
  <c r="M30" i="2"/>
  <c r="N30" i="2"/>
  <c r="O30" i="2"/>
  <c r="P30" i="2"/>
  <c r="D21" i="2"/>
  <c r="K14" i="1"/>
  <c r="D22" i="2"/>
  <c r="J17" i="1"/>
  <c r="K17" i="1"/>
  <c r="D25" i="2"/>
  <c r="P29" i="2"/>
  <c r="O29" i="2"/>
  <c r="N29" i="2"/>
  <c r="M29" i="2"/>
  <c r="L29" i="2"/>
  <c r="K29" i="2"/>
  <c r="J29" i="2"/>
  <c r="I29" i="2"/>
  <c r="H29" i="2"/>
  <c r="P18" i="2"/>
  <c r="O18" i="2"/>
  <c r="N18" i="2"/>
  <c r="M18" i="2"/>
  <c r="L18" i="2"/>
  <c r="K18" i="2"/>
  <c r="J18" i="2"/>
  <c r="I18" i="2"/>
  <c r="H18" i="2"/>
  <c r="G29" i="2"/>
  <c r="F29" i="2"/>
  <c r="G18" i="2"/>
  <c r="I9" i="1"/>
  <c r="M25" i="1"/>
  <c r="F35" i="1"/>
  <c r="B17" i="1"/>
  <c r="B14" i="1"/>
  <c r="B10" i="1"/>
  <c r="G35" i="1"/>
  <c r="C17" i="1"/>
  <c r="C14" i="1"/>
  <c r="C4" i="1"/>
  <c r="C9" i="1"/>
  <c r="C10" i="1"/>
  <c r="C11" i="1"/>
  <c r="H35" i="1"/>
  <c r="D17" i="1"/>
  <c r="D10" i="1"/>
  <c r="E35" i="1"/>
  <c r="E17" i="1"/>
  <c r="E14" i="1"/>
  <c r="E10" i="1"/>
  <c r="I17" i="1"/>
  <c r="I10" i="1"/>
  <c r="J35" i="1"/>
  <c r="F17" i="1"/>
  <c r="F14" i="1"/>
  <c r="F10" i="1"/>
  <c r="K35" i="1"/>
  <c r="G17" i="1"/>
  <c r="G14" i="1"/>
  <c r="G10" i="1"/>
  <c r="I35" i="1"/>
  <c r="H17" i="1"/>
  <c r="H10" i="1"/>
  <c r="E9" i="1"/>
  <c r="E11" i="1"/>
  <c r="E15" i="1"/>
  <c r="E16" i="1"/>
  <c r="E18" i="1"/>
  <c r="E21" i="1"/>
  <c r="I11" i="1"/>
  <c r="I15" i="1"/>
  <c r="I16" i="1"/>
  <c r="I18" i="1"/>
  <c r="I21" i="1"/>
  <c r="B11" i="1"/>
  <c r="B15" i="1"/>
  <c r="B16" i="1"/>
  <c r="B18" i="1"/>
  <c r="B21" i="1"/>
  <c r="F9" i="1"/>
  <c r="F11" i="1"/>
  <c r="F15" i="1"/>
  <c r="F16" i="1"/>
  <c r="F18" i="1"/>
  <c r="F21" i="1"/>
  <c r="C15" i="1"/>
  <c r="C16" i="1"/>
  <c r="C18" i="1"/>
  <c r="C21" i="1"/>
  <c r="D9" i="1"/>
  <c r="D11" i="1"/>
  <c r="D15" i="1"/>
  <c r="D16" i="1"/>
  <c r="D18" i="1"/>
  <c r="D21" i="1"/>
  <c r="H9" i="1"/>
  <c r="H11" i="1"/>
  <c r="H15" i="1"/>
  <c r="H16" i="1"/>
  <c r="H18" i="1"/>
  <c r="H21" i="1"/>
  <c r="G9" i="1"/>
  <c r="G11" i="1"/>
  <c r="G15" i="1"/>
  <c r="G16" i="1"/>
  <c r="G18" i="1"/>
  <c r="G21" i="1"/>
  <c r="F33" i="2"/>
  <c r="G33" i="2"/>
  <c r="H33" i="2"/>
  <c r="I33" i="2"/>
  <c r="J33" i="2"/>
  <c r="K33" i="2"/>
  <c r="L33" i="2"/>
  <c r="M33" i="2"/>
  <c r="N33" i="2"/>
  <c r="O33" i="2"/>
  <c r="P33" i="2"/>
  <c r="E34" i="2"/>
  <c r="F34" i="2"/>
  <c r="G34" i="2"/>
  <c r="H34" i="2"/>
  <c r="I34" i="2"/>
  <c r="J34" i="2"/>
  <c r="K34" i="2"/>
  <c r="L34" i="2"/>
  <c r="M34" i="2"/>
  <c r="N34" i="2"/>
  <c r="O34" i="2"/>
  <c r="P34" i="2"/>
  <c r="E35" i="2"/>
  <c r="F35" i="2"/>
  <c r="G35" i="2"/>
  <c r="H35" i="2"/>
  <c r="I35" i="2"/>
  <c r="J35" i="2"/>
  <c r="K35" i="2"/>
  <c r="L35" i="2"/>
  <c r="M35" i="2"/>
  <c r="N35" i="2"/>
  <c r="O35" i="2"/>
  <c r="P35" i="2"/>
  <c r="C20" i="2"/>
  <c r="D33" i="2"/>
  <c r="C21" i="2"/>
  <c r="D34" i="2"/>
  <c r="C22" i="2"/>
  <c r="D35" i="2"/>
  <c r="B21" i="2"/>
  <c r="C34" i="2"/>
  <c r="B22" i="2"/>
  <c r="C35" i="2"/>
  <c r="B20" i="2"/>
  <c r="C33" i="2"/>
  <c r="J28" i="1"/>
  <c r="I26" i="1"/>
  <c r="J26" i="1"/>
  <c r="G28" i="1"/>
  <c r="H28" i="1"/>
  <c r="I28" i="1"/>
  <c r="K28" i="1"/>
  <c r="L28" i="1"/>
  <c r="M28" i="1"/>
  <c r="G27" i="1"/>
  <c r="H27" i="1"/>
  <c r="I27" i="1"/>
  <c r="J27" i="1"/>
  <c r="K27" i="1"/>
  <c r="L27" i="1"/>
  <c r="M27" i="1"/>
  <c r="F28" i="1"/>
  <c r="F27" i="1"/>
  <c r="K26" i="1"/>
  <c r="L26" i="1"/>
  <c r="M26" i="1"/>
  <c r="G26" i="1"/>
  <c r="H26" i="1"/>
  <c r="F26" i="1"/>
  <c r="F25" i="1"/>
  <c r="I34" i="1"/>
  <c r="C11" i="2"/>
  <c r="C12" i="2"/>
  <c r="D32" i="2"/>
  <c r="D27" i="2"/>
  <c r="D23" i="2"/>
  <c r="D24" i="2"/>
  <c r="D26" i="2"/>
  <c r="D28" i="2"/>
  <c r="D29" i="2"/>
  <c r="M32" i="1"/>
  <c r="M31" i="1"/>
  <c r="M30" i="1"/>
  <c r="G32" i="1"/>
  <c r="G25" i="1"/>
  <c r="C18" i="2"/>
  <c r="C19" i="2"/>
  <c r="C37" i="2"/>
  <c r="C25" i="2"/>
  <c r="B11" i="2"/>
  <c r="F32" i="1"/>
  <c r="F31" i="1"/>
  <c r="F30" i="1"/>
  <c r="B32" i="1"/>
  <c r="B31" i="1"/>
  <c r="B30" i="1"/>
  <c r="C23" i="2"/>
  <c r="C24" i="2"/>
  <c r="C26" i="2"/>
  <c r="C27" i="2"/>
  <c r="C39" i="2"/>
  <c r="D39" i="2"/>
  <c r="E39" i="2"/>
  <c r="F39" i="2"/>
  <c r="G39" i="2"/>
  <c r="H39" i="2"/>
  <c r="I39" i="2"/>
  <c r="J39" i="2"/>
  <c r="K39" i="2"/>
  <c r="L39" i="2"/>
  <c r="M39" i="2"/>
  <c r="N39" i="2"/>
  <c r="O39" i="2"/>
  <c r="P39" i="2"/>
  <c r="B12" i="2"/>
  <c r="B17" i="2"/>
  <c r="E38" i="2"/>
  <c r="P41" i="2"/>
  <c r="P38" i="2"/>
  <c r="O38" i="2"/>
  <c r="N38" i="2"/>
  <c r="M38" i="2"/>
  <c r="L38" i="2"/>
  <c r="K38" i="2"/>
  <c r="J38" i="2"/>
  <c r="I38" i="2"/>
  <c r="H38" i="2"/>
  <c r="G38" i="2"/>
  <c r="F38" i="2"/>
  <c r="P32" i="2"/>
  <c r="O32" i="2"/>
  <c r="N32" i="2"/>
  <c r="M32" i="2"/>
  <c r="L32" i="2"/>
  <c r="K32" i="2"/>
  <c r="J32" i="2"/>
  <c r="I32" i="2"/>
  <c r="H32" i="2"/>
  <c r="G32" i="2"/>
  <c r="F32" i="2"/>
  <c r="D38" i="2"/>
  <c r="B18" i="2"/>
  <c r="B19" i="2"/>
  <c r="B37" i="2"/>
  <c r="B27" i="2"/>
  <c r="B26" i="2"/>
  <c r="B39" i="2"/>
  <c r="B23" i="2"/>
  <c r="B24" i="2"/>
  <c r="B38" i="2"/>
  <c r="C32" i="2"/>
  <c r="B25" i="2"/>
  <c r="B28" i="2"/>
  <c r="B29" i="2"/>
  <c r="C38" i="2"/>
  <c r="C28" i="2"/>
  <c r="C29" i="2"/>
  <c r="H25" i="1"/>
  <c r="I25" i="1"/>
  <c r="B22" i="1"/>
  <c r="C32" i="1"/>
  <c r="C31" i="1"/>
  <c r="C30" i="1"/>
  <c r="C22" i="1"/>
  <c r="D32" i="1"/>
  <c r="D31" i="1"/>
  <c r="D30" i="1"/>
  <c r="D22" i="1"/>
  <c r="E32" i="1"/>
  <c r="E31" i="1"/>
  <c r="E30" i="1"/>
  <c r="E22" i="1"/>
  <c r="E10" i="2"/>
  <c r="F10" i="2"/>
  <c r="G10" i="2"/>
  <c r="H10" i="2"/>
  <c r="I10" i="2"/>
  <c r="J10" i="2"/>
  <c r="K10" i="2"/>
  <c r="L10" i="2"/>
  <c r="M10" i="2"/>
  <c r="N10" i="2"/>
  <c r="O10" i="2"/>
  <c r="P10" i="2"/>
  <c r="F34" i="1"/>
  <c r="H32" i="1"/>
  <c r="L25" i="1"/>
  <c r="F22" i="1"/>
  <c r="G34" i="1"/>
  <c r="H34" i="1"/>
  <c r="J34" i="1"/>
  <c r="K34" i="1"/>
  <c r="K25" i="1"/>
  <c r="J25" i="1"/>
  <c r="I32" i="1"/>
  <c r="I31" i="1"/>
  <c r="I30" i="1"/>
  <c r="I22" i="1"/>
  <c r="J32" i="1"/>
  <c r="J31" i="1"/>
  <c r="J30" i="1"/>
  <c r="J22" i="1"/>
  <c r="K32" i="1"/>
  <c r="K31" i="1"/>
  <c r="K30" i="1"/>
  <c r="K22" i="1"/>
  <c r="G31" i="1"/>
  <c r="G30" i="1"/>
  <c r="G22" i="1"/>
  <c r="H30" i="1"/>
  <c r="H31" i="1"/>
  <c r="H22" i="1"/>
  <c r="L31" i="1"/>
  <c r="L30" i="1"/>
  <c r="L22" i="1"/>
</calcChain>
</file>

<file path=xl/sharedStrings.xml><?xml version="1.0" encoding="utf-8"?>
<sst xmlns="http://schemas.openxmlformats.org/spreadsheetml/2006/main" count="172" uniqueCount="125">
  <si>
    <t>Revenue</t>
  </si>
  <si>
    <t>COGS</t>
  </si>
  <si>
    <t>Gross Profit</t>
  </si>
  <si>
    <t>R&amp;D</t>
  </si>
  <si>
    <t>S&amp;M</t>
  </si>
  <si>
    <t>G&amp;A</t>
  </si>
  <si>
    <t>Operating Expenses</t>
  </si>
  <si>
    <t>Operating Income</t>
  </si>
  <si>
    <t>Interest Income</t>
  </si>
  <si>
    <t>Pretax Income</t>
  </si>
  <si>
    <t>Taxes</t>
  </si>
  <si>
    <t>Net Income</t>
  </si>
  <si>
    <t>EPS</t>
  </si>
  <si>
    <t>Shares</t>
  </si>
  <si>
    <t>Revenue y/y</t>
  </si>
  <si>
    <t>Gross Margin</t>
  </si>
  <si>
    <t>Operating Margin</t>
  </si>
  <si>
    <t>Tax Rate</t>
  </si>
  <si>
    <t>Q116</t>
  </si>
  <si>
    <t>Q216</t>
  </si>
  <si>
    <t>Q316</t>
  </si>
  <si>
    <t>Q416</t>
  </si>
  <si>
    <t>Net Cash</t>
  </si>
  <si>
    <t>Cash</t>
  </si>
  <si>
    <t>Debt</t>
  </si>
  <si>
    <t>Maturity</t>
  </si>
  <si>
    <t>ROIC</t>
  </si>
  <si>
    <t>Discount</t>
  </si>
  <si>
    <t>NPV</t>
  </si>
  <si>
    <t>Value</t>
  </si>
  <si>
    <t>Q118</t>
  </si>
  <si>
    <t>Q218</t>
  </si>
  <si>
    <t>Q318</t>
  </si>
  <si>
    <t>Q418</t>
  </si>
  <si>
    <t>Q115</t>
  </si>
  <si>
    <t>Q215</t>
  </si>
  <si>
    <t>Q315</t>
  </si>
  <si>
    <t>Q415</t>
  </si>
  <si>
    <t>R&amp;D y/y</t>
  </si>
  <si>
    <t>S&amp;M y/y</t>
  </si>
  <si>
    <t>G&amp;A y/y</t>
  </si>
  <si>
    <t>3/11/2017</t>
  </si>
  <si>
    <t>30/9/2016</t>
  </si>
  <si>
    <t>License</t>
  </si>
  <si>
    <t>4/8/2017</t>
  </si>
  <si>
    <t>30/6/2016</t>
  </si>
  <si>
    <t>5/5/2017</t>
  </si>
  <si>
    <t>31/3/2016</t>
  </si>
  <si>
    <t>31/12/2016</t>
  </si>
  <si>
    <t>31/12/2015</t>
  </si>
  <si>
    <t>30/9/2015</t>
  </si>
  <si>
    <t>30/6/2015</t>
  </si>
  <si>
    <t>31/3/2015</t>
  </si>
  <si>
    <t>DAU</t>
  </si>
  <si>
    <t>ARPU</t>
  </si>
  <si>
    <t>Intangibles</t>
  </si>
  <si>
    <t>Total assets</t>
  </si>
  <si>
    <t>Total liabilities</t>
  </si>
  <si>
    <t>TWC</t>
  </si>
  <si>
    <t>Equity</t>
  </si>
  <si>
    <t>ROE</t>
  </si>
  <si>
    <t>ROA</t>
  </si>
  <si>
    <t>ROTB</t>
  </si>
  <si>
    <t>ROTWC</t>
  </si>
  <si>
    <t>DAU y/y</t>
  </si>
  <si>
    <t>ARPU y/y</t>
  </si>
  <si>
    <t>License y/y</t>
  </si>
  <si>
    <t>Services</t>
  </si>
  <si>
    <t>Services y/y</t>
  </si>
  <si>
    <t>Vmware Inc (VMW)</t>
  </si>
  <si>
    <t>EDGAR</t>
  </si>
  <si>
    <t>NI 12M</t>
  </si>
  <si>
    <t>2/2/2018</t>
  </si>
  <si>
    <t>1/2/2019</t>
  </si>
  <si>
    <t>Q119</t>
  </si>
  <si>
    <t>Q219</t>
  </si>
  <si>
    <t>Q319</t>
  </si>
  <si>
    <t>Q419</t>
  </si>
  <si>
    <t>Tax anomaly</t>
  </si>
  <si>
    <t>2/11/2018</t>
  </si>
  <si>
    <t>3/8/2018</t>
  </si>
  <si>
    <t>4/5/2018</t>
  </si>
  <si>
    <t>Software-Defined Data Center</t>
  </si>
  <si>
    <t>We were the first company to articulate a vision for SDDC, whereby increasingly infrastructure is virtualized and delivered as a service, enabling data center management to be entirely automated by software, from one unified platform. Traditional data centers are collections of technology silos where each application type has its own vertical stack consisting of a CPU and operating system, storage pool, networking and security, and management systems. Over time, costs to maintain the data center infrastructure have been increasing because the data center environment has become more heterogeneous, leading to higher complexity. The increasing complexity of the data center demands constantly increasing resources to manage and maintain the IT infrastructure. SDDC is designed to transform and modernize the data center into an on-demand service that addresses application requirements by abstracting, pooling and automating the services that are required from the underlying hardware. SDDC dramatically simplifies data center operations and lower costs.</t>
  </si>
  <si>
    <t>Compute</t>
  </si>
  <si>
    <t>vSphere, our flagship data center platform, provides the fundamental compute layer for VMware environments. A “hypervisor” is a layer of software that resides between the operating system and system hardware to enable compute virtualization. Users deploy the vSphere hypervisor when they purchase vSphere, Cloud Foundation or suite versions that include vSphere, such as VMware vCloud Suite and vSphere with Operations Management (“vSOM”).</t>
  </si>
  <si>
    <t>Storage and Availability</t>
  </si>
  <si>
    <t>We provide many storage and availability products to offer cost-effective, holistic data storage and protection options to all applications running on the vSphere platform. These products serve as hyper-converged infrastructure solutions designed to enable customers to deploy a broad range of hardware solutions.</t>
  </si>
  <si>
    <t>Network and Security</t>
  </si>
  <si>
    <t>Our network virtualization solution, VMware NSX (“NSX”), abstracts physical networks and greatly simplifies the provisioning and consumption of networking resources. In addition, our security services are built-in, do not require purpose-built hardware and can scale with the network. AppDefense and Network Insight further broaden our network and security portfolio. AppDefense is a data center endpoint security product that protects applications running in virtualized environments. Network Insight delivers intelligent operations for software defined networking and security across virtual, physical and multi-cloud environments.</t>
  </si>
  <si>
    <t>Cloud Management and Automation</t>
  </si>
  <si>
    <t xml:space="preserve">Our cloud management and automation products move beyond core compute infrastructure to manage and automate overarching IT processes involved in provisioning IT services and resources to users from initial infrastructure deployment to retirement. These IT processes manage virtualized and non-virtualized infrastructure resources and private and public cloud infrastructures, including hybrid cloud services. </t>
  </si>
  <si>
    <t>Software-Defined Data Center Suites</t>
  </si>
  <si>
    <t xml:space="preserve">Our SDDC products are available separately or our compute and management and automation products may be acquired as part of a broader offering. </t>
  </si>
  <si>
    <t>Software-Defined Data Center Platform—On Premise</t>
  </si>
  <si>
    <t>During fiscal 2016, we introduced VMware Cloud Foundation, a unified platform that brings together our compute, storage and networking technologies into a natively integrated stack that delivers enterprise-ready cloud infrastructure for private and public clouds. The combined offering includes lifecycle management capabilities to span the full stack. SDDC products can also be delivered through our VMware vCloud NFV, which is a fully integrated, modular, multi-tenant network functions virtualization (“NFV”) platform. It provides the compute, storage, networking and operations management and service assurance capabilities to enable operators to provide virtualized network services and drive NFV deployments with an architecture that will support 5G and Internet of Things (“IoT”) services in the future.</t>
  </si>
  <si>
    <t>Hybrid Cloud Computing</t>
  </si>
  <si>
    <t>Our cross-cloud architecture enables consistent deployment models, security policies, visibility and governance for all applications, running on-premises and off-premises, regardless of the underlying cloud, hardware platform or hypervisor. It builds on our private and hybrid cloud capabilities by offering customers the freedom to innovate in multiple clouds, and is delivered through Cloud Foundation, the VMware vRealize cloud management platform and a new set of VMware Cloud Services that we are developing. Our overarching cloud strategy contains three key components: (i) continue to expand beyond compute virtualization in the private cloud, (ii) extend the private cloud into the public cloud and (iii) connect and secure endpoints across a range of public clouds. Our cloud strategy is designed to provide organizations with solutions that work across all clouds and all devices.</t>
  </si>
  <si>
    <t>VMware Cloud Provider Program Services</t>
  </si>
  <si>
    <t>We currently enable our customers to utilize off-premises, vSphere-based hybrid cloud computing capacity through our VMware Cloud Provider Program (“VCPP”) offering (previously referred to as VMware vCloud Air Network). Our VCPP offering, a key component of our strategic priority to integrate with public clouds, is a global ecosystem of over 4,000 cloud providers in more than 100 countries providing VMware-based cloud services. Our VCPP offering is directed at hosting and cloud computing vendors, enabling organizations to choose between running applications in virtual machines on their own private clouds inside their data center or on public clouds hosted by a service provider.</t>
  </si>
  <si>
    <t>Hybrid VMware Cloud Foundation</t>
  </si>
  <si>
    <t>VMware Cloud Foundation can be used for on-premises private clouds and also can be extended to hybrid cloud environments using VMware Cloud on AWS or VCPP. VMware Cloud on AWS, which became available in fiscal 2018, is an on-demand service that enables customers to run applications across vSphere-based cloud environments and provides access to a broad range of AWS services. This hybrid offering, a strategic alliance with AWS, integrates vSphere, vSAN and NSX along with VMware vCenter management and is optimized to run on dedicated, elastic, bare-metal AWS infrastructure. VMware Cloud on AWS is currently available in certain geographies, and we expect to continue expanding into additional regions in fiscal 2019.</t>
  </si>
  <si>
    <t>VMware Cloud Services</t>
  </si>
  <si>
    <t>VMware Cloud Services are new SaaS offerings that enable visibility into cloud usage and costs, enhance consistent networking and security policies and automate the deployment, management and migration of applications and data across vSphere and non-vSphere private and public clouds. VMware Cloud Services include discovery and analytics, compliance and security, networking and deployment and migration. VMware Cloud Services enable our customers to run, manage, connect and secure their applications across private and public clouds, including AWS, Azure, Google Cloud Platform and IBM Cloud, as well as all devices in a common operating environment, regardless whether the underlying infrastructure is VMware-based.</t>
  </si>
  <si>
    <t>End-User Computing</t>
  </si>
  <si>
    <t>Our EUC portfolio offers a digital workspace to enable our customers to securely deliver access to applications and data for their end users from any device of the user’s choice and from any location. Our EUC solutions are designed to optimize simplicity and choice for end users, while providing security and control to corporate IT organizations. IT organizations are able to enhance their enterprise security for corporate applications, data and endpoints utilizing our EUC solutions.</t>
  </si>
  <si>
    <t>Investor Relations</t>
  </si>
  <si>
    <t>CEO</t>
  </si>
  <si>
    <t>Founder</t>
  </si>
  <si>
    <t>Price</t>
  </si>
  <si>
    <t>Expected return on invested capital (innovation grade)</t>
  </si>
  <si>
    <t>Earnings</t>
  </si>
  <si>
    <t>Market Cap</t>
  </si>
  <si>
    <t>Inflation + risk premium (opportunity cost)</t>
  </si>
  <si>
    <t>Growth</t>
  </si>
  <si>
    <t>Future net income (terminal value)</t>
  </si>
  <si>
    <t>GM</t>
  </si>
  <si>
    <t>EV</t>
  </si>
  <si>
    <t>OM</t>
  </si>
  <si>
    <t>per share</t>
  </si>
  <si>
    <t>Diane Greene</t>
  </si>
  <si>
    <t>Mendel Rosenblum</t>
  </si>
  <si>
    <t>Pat Gelsinger</t>
  </si>
  <si>
    <t>10 030 (guidance)</t>
  </si>
  <si>
    <t>23/3/2019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</si>
</sst>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Red]\-#,##0\ "/>
  </numFmts>
  <fonts count="9"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Arial"/>
    </font>
    <font>
      <b/>
      <sz val="10"/>
      <color theme="1"/>
      <name val="Arial"/>
    </font>
    <font>
      <u/>
      <sz val="10"/>
      <color theme="10"/>
      <name val="Arial"/>
    </font>
    <font>
      <i/>
      <sz val="10"/>
      <color theme="1"/>
      <name val="Arial"/>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top/>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56">
    <xf numFmtId="0" fontId="0" fillId="0" borderId="0" xfId="0"/>
    <xf numFmtId="0" fontId="5" fillId="0" borderId="0" xfId="0" applyFont="1"/>
    <xf numFmtId="0" fontId="6" fillId="0" borderId="0" xfId="0" applyFont="1"/>
    <xf numFmtId="0" fontId="5" fillId="0" borderId="0" xfId="0" applyFont="1" applyBorder="1"/>
    <xf numFmtId="10" fontId="5" fillId="0" borderId="0" xfId="0" applyNumberFormat="1" applyFont="1"/>
    <xf numFmtId="0" fontId="7" fillId="0" borderId="0" xfId="4" applyFont="1"/>
    <xf numFmtId="164" fontId="5" fillId="2" borderId="0" xfId="0" applyNumberFormat="1" applyFont="1" applyFill="1"/>
    <xf numFmtId="3" fontId="5" fillId="0" borderId="0" xfId="0" applyNumberFormat="1" applyFont="1"/>
    <xf numFmtId="0" fontId="6" fillId="0" borderId="0" xfId="0" applyFont="1" applyBorder="1"/>
    <xf numFmtId="3" fontId="5" fillId="0" borderId="0" xfId="0" applyNumberFormat="1" applyFont="1" applyBorder="1"/>
    <xf numFmtId="3" fontId="5" fillId="0" borderId="0" xfId="0" applyNumberFormat="1" applyFont="1" applyFill="1" applyBorder="1"/>
    <xf numFmtId="3" fontId="5" fillId="2" borderId="0" xfId="0" applyNumberFormat="1" applyFont="1" applyFill="1" applyBorder="1"/>
    <xf numFmtId="9" fontId="5" fillId="0" borderId="0" xfId="0" applyNumberFormat="1" applyFont="1" applyBorder="1"/>
    <xf numFmtId="0" fontId="5" fillId="0" borderId="0" xfId="0" applyFont="1" applyFill="1" applyBorder="1"/>
    <xf numFmtId="9" fontId="5" fillId="0" borderId="0" xfId="0" applyNumberFormat="1" applyFont="1"/>
    <xf numFmtId="0" fontId="5" fillId="0" borderId="0" xfId="0" applyFont="1" applyAlignment="1">
      <alignment horizontal="right"/>
    </xf>
    <xf numFmtId="3" fontId="5" fillId="0" borderId="0" xfId="0" applyNumberFormat="1" applyFont="1" applyAlignment="1">
      <alignment horizontal="right"/>
    </xf>
    <xf numFmtId="3" fontId="5" fillId="0" borderId="1" xfId="0" applyNumberFormat="1" applyFont="1" applyBorder="1" applyAlignment="1">
      <alignment horizontal="right"/>
    </xf>
    <xf numFmtId="3" fontId="5" fillId="0" borderId="0" xfId="0" applyNumberFormat="1" applyFont="1" applyBorder="1" applyAlignment="1">
      <alignment horizontal="right"/>
    </xf>
    <xf numFmtId="0" fontId="5" fillId="0" borderId="1" xfId="0" applyFont="1" applyBorder="1" applyAlignment="1">
      <alignment horizontal="right"/>
    </xf>
    <xf numFmtId="0" fontId="5" fillId="0" borderId="0" xfId="0" applyFont="1" applyBorder="1" applyAlignment="1">
      <alignment horizontal="right"/>
    </xf>
    <xf numFmtId="3" fontId="6" fillId="0" borderId="0" xfId="0" applyNumberFormat="1" applyFont="1" applyBorder="1" applyAlignment="1">
      <alignment horizontal="right"/>
    </xf>
    <xf numFmtId="3" fontId="6" fillId="0" borderId="1" xfId="0" applyNumberFormat="1" applyFont="1" applyBorder="1" applyAlignment="1">
      <alignment horizontal="right"/>
    </xf>
    <xf numFmtId="3" fontId="6" fillId="0" borderId="0" xfId="0" applyNumberFormat="1" applyFont="1" applyAlignment="1">
      <alignment horizontal="right"/>
    </xf>
    <xf numFmtId="0" fontId="6" fillId="0" borderId="0" xfId="0" applyFont="1" applyAlignment="1">
      <alignment horizontal="right"/>
    </xf>
    <xf numFmtId="2" fontId="5" fillId="0" borderId="0" xfId="0" applyNumberFormat="1" applyFont="1" applyBorder="1" applyAlignment="1">
      <alignment horizontal="right"/>
    </xf>
    <xf numFmtId="9" fontId="6" fillId="0" borderId="0" xfId="1" applyNumberFormat="1" applyFont="1" applyBorder="1" applyAlignment="1">
      <alignment horizontal="right"/>
    </xf>
    <xf numFmtId="9" fontId="6" fillId="0" borderId="1" xfId="1" applyNumberFormat="1" applyFont="1" applyBorder="1" applyAlignment="1">
      <alignment horizontal="right"/>
    </xf>
    <xf numFmtId="9" fontId="5" fillId="0" borderId="0" xfId="1" applyNumberFormat="1" applyFont="1" applyBorder="1" applyAlignment="1">
      <alignment horizontal="right"/>
    </xf>
    <xf numFmtId="9" fontId="5" fillId="0" borderId="1" xfId="1" applyNumberFormat="1" applyFont="1" applyBorder="1" applyAlignment="1">
      <alignment horizontal="right"/>
    </xf>
    <xf numFmtId="9" fontId="5" fillId="0" borderId="0" xfId="0" applyNumberFormat="1" applyFont="1" applyBorder="1" applyAlignment="1">
      <alignment horizontal="right"/>
    </xf>
    <xf numFmtId="9" fontId="5" fillId="0" borderId="1" xfId="0" applyNumberFormat="1" applyFont="1" applyBorder="1" applyAlignment="1">
      <alignment horizontal="right"/>
    </xf>
    <xf numFmtId="9" fontId="5" fillId="0" borderId="0" xfId="0" applyNumberFormat="1" applyFont="1" applyAlignment="1">
      <alignment horizontal="right"/>
    </xf>
    <xf numFmtId="9" fontId="5" fillId="0" borderId="0" xfId="1" applyFont="1" applyBorder="1" applyAlignment="1">
      <alignment horizontal="right"/>
    </xf>
    <xf numFmtId="9" fontId="5" fillId="0" borderId="1" xfId="1" applyFont="1" applyBorder="1" applyAlignment="1">
      <alignment horizontal="right"/>
    </xf>
    <xf numFmtId="9" fontId="5" fillId="0" borderId="0" xfId="1" applyFont="1" applyAlignment="1">
      <alignment horizontal="right"/>
    </xf>
    <xf numFmtId="3" fontId="6" fillId="2" borderId="0" xfId="0" applyNumberFormat="1" applyFont="1" applyFill="1" applyBorder="1" applyAlignment="1">
      <alignment horizontal="right"/>
    </xf>
    <xf numFmtId="3" fontId="6" fillId="2" borderId="1" xfId="0" applyNumberFormat="1" applyFont="1" applyFill="1" applyBorder="1" applyAlignment="1">
      <alignment horizontal="right"/>
    </xf>
    <xf numFmtId="3" fontId="6" fillId="2" borderId="0" xfId="0" applyNumberFormat="1" applyFont="1" applyFill="1" applyAlignment="1">
      <alignment horizontal="right"/>
    </xf>
    <xf numFmtId="3" fontId="5" fillId="2" borderId="0" xfId="0" applyNumberFormat="1" applyFont="1" applyFill="1" applyBorder="1" applyAlignment="1">
      <alignment horizontal="right"/>
    </xf>
    <xf numFmtId="3" fontId="5" fillId="2" borderId="1" xfId="0" applyNumberFormat="1" applyFont="1" applyFill="1" applyBorder="1" applyAlignment="1">
      <alignment horizontal="right"/>
    </xf>
    <xf numFmtId="3" fontId="5" fillId="2" borderId="0" xfId="0" applyNumberFormat="1" applyFont="1" applyFill="1" applyAlignment="1">
      <alignment horizontal="right"/>
    </xf>
    <xf numFmtId="2" fontId="5" fillId="2" borderId="0" xfId="0" applyNumberFormat="1" applyFont="1" applyFill="1" applyBorder="1" applyAlignment="1">
      <alignment horizontal="right"/>
    </xf>
    <xf numFmtId="2" fontId="5" fillId="2" borderId="1" xfId="0" applyNumberFormat="1" applyFont="1" applyFill="1" applyBorder="1" applyAlignment="1">
      <alignment horizontal="right"/>
    </xf>
    <xf numFmtId="2" fontId="5" fillId="2" borderId="0" xfId="0" applyNumberFormat="1" applyFont="1" applyFill="1" applyAlignment="1">
      <alignment horizontal="right"/>
    </xf>
    <xf numFmtId="0" fontId="8" fillId="0" borderId="0" xfId="0" applyFont="1"/>
    <xf numFmtId="3" fontId="6" fillId="0" borderId="0" xfId="0" applyNumberFormat="1" applyFont="1" applyFill="1" applyBorder="1"/>
    <xf numFmtId="0" fontId="6" fillId="0" borderId="1" xfId="0" applyFont="1" applyBorder="1" applyAlignment="1">
      <alignment horizontal="right"/>
    </xf>
    <xf numFmtId="4" fontId="5" fillId="0" borderId="0" xfId="0" applyNumberFormat="1" applyFont="1" applyBorder="1"/>
    <xf numFmtId="164" fontId="6" fillId="2" borderId="0" xfId="0" applyNumberFormat="1" applyFont="1" applyFill="1"/>
    <xf numFmtId="4" fontId="5" fillId="2" borderId="0" xfId="0" applyNumberFormat="1" applyFont="1" applyFill="1" applyBorder="1"/>
    <xf numFmtId="0" fontId="8" fillId="0" borderId="0" xfId="0" applyFont="1" applyBorder="1"/>
    <xf numFmtId="4" fontId="5" fillId="2" borderId="0" xfId="0" applyNumberFormat="1" applyFont="1" applyFill="1"/>
    <xf numFmtId="0" fontId="6" fillId="0" borderId="0" xfId="0" applyFont="1" applyBorder="1" applyAlignment="1">
      <alignment horizontal="right"/>
    </xf>
    <xf numFmtId="9" fontId="6" fillId="0" borderId="0" xfId="1" applyFont="1" applyBorder="1" applyAlignment="1">
      <alignment horizontal="right"/>
    </xf>
    <xf numFmtId="0" fontId="8" fillId="0" borderId="0" xfId="0" applyFont="1" applyAlignment="1">
      <alignment horizontal="right"/>
    </xf>
  </cellXfs>
  <cellStyles count="5">
    <cellStyle name="Followed Hyperlink" xfId="3" builtinId="9" hidden="1"/>
    <cellStyle name="Hyperlink" xfId="2" builtinId="8" hidden="1"/>
    <cellStyle name="Hyperlink" xfId="4" builtinId="8"/>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5</xdr:col>
      <xdr:colOff>127000</xdr:colOff>
      <xdr:row>9</xdr:row>
      <xdr:rowOff>12700</xdr:rowOff>
    </xdr:from>
    <xdr:to>
      <xdr:col>5</xdr:col>
      <xdr:colOff>127000</xdr:colOff>
      <xdr:row>62</xdr:row>
      <xdr:rowOff>0</xdr:rowOff>
    </xdr:to>
    <xdr:cxnSp macro="">
      <xdr:nvCxnSpPr>
        <xdr:cNvPr id="4" name="Straight Connector 3"/>
        <xdr:cNvCxnSpPr/>
      </xdr:nvCxnSpPr>
      <xdr:spPr>
        <a:xfrm>
          <a:off x="4737100" y="1536700"/>
          <a:ext cx="0" cy="8737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177800</xdr:colOff>
      <xdr:row>1</xdr:row>
      <xdr:rowOff>12700</xdr:rowOff>
    </xdr:from>
    <xdr:to>
      <xdr:col>17</xdr:col>
      <xdr:colOff>177800</xdr:colOff>
      <xdr:row>56</xdr:row>
      <xdr:rowOff>12700</xdr:rowOff>
    </xdr:to>
    <xdr:cxnSp macro="">
      <xdr:nvCxnSpPr>
        <xdr:cNvPr id="4" name="Straight Connector 3"/>
        <xdr:cNvCxnSpPr/>
      </xdr:nvCxnSpPr>
      <xdr:spPr>
        <a:xfrm>
          <a:off x="15100300" y="177800"/>
          <a:ext cx="0" cy="9080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Diane_Greene" TargetMode="External"/><Relationship Id="rId4" Type="http://schemas.openxmlformats.org/officeDocument/2006/relationships/hyperlink" Target="https://en.wikipedia.org/wiki/Mendel_Rosenblum" TargetMode="External"/><Relationship Id="rId5" Type="http://schemas.openxmlformats.org/officeDocument/2006/relationships/drawing" Target="../drawings/drawing1.xml"/><Relationship Id="rId1" Type="http://schemas.openxmlformats.org/officeDocument/2006/relationships/hyperlink" Target="https://en.wikipedia.org/wiki/Pat_Gelsinger" TargetMode="External"/><Relationship Id="rId2" Type="http://schemas.openxmlformats.org/officeDocument/2006/relationships/hyperlink" Target="https://ir.vmware.com/overview/default.asp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ec.gov/cgi-bin/browse-edgar?company=vmware&amp;owner=exclude&amp;action=getcompany"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61"/>
  <sheetViews>
    <sheetView tabSelected="1" workbookViewId="0">
      <pane xSplit="1" ySplit="10" topLeftCell="B11" activePane="bottomRight" state="frozen"/>
      <selection pane="topRight" activeCell="B1" sqref="B1"/>
      <selection pane="bottomLeft" activeCell="A11" sqref="A11"/>
      <selection pane="bottomRight" activeCell="B15" sqref="B15"/>
    </sheetView>
  </sheetViews>
  <sheetFormatPr baseColWidth="10" defaultRowHeight="13" x14ac:dyDescent="0.15"/>
  <cols>
    <col min="1" max="1" width="17.1640625" style="1" bestFit="1" customWidth="1"/>
    <col min="2" max="16384" width="10.83203125" style="1"/>
  </cols>
  <sheetData>
    <row r="1" spans="1:122" x14ac:dyDescent="0.15">
      <c r="A1" s="5" t="s">
        <v>106</v>
      </c>
      <c r="B1" s="2" t="s">
        <v>69</v>
      </c>
    </row>
    <row r="2" spans="1:122" x14ac:dyDescent="0.15">
      <c r="B2" s="1" t="s">
        <v>109</v>
      </c>
      <c r="C2" s="48">
        <v>180.34</v>
      </c>
      <c r="D2" s="1" t="s">
        <v>124</v>
      </c>
      <c r="E2" s="3" t="s">
        <v>25</v>
      </c>
      <c r="F2" s="4">
        <v>-0.02</v>
      </c>
      <c r="H2" s="1" t="s">
        <v>0</v>
      </c>
      <c r="I2" s="7">
        <f>E17</f>
        <v>8973</v>
      </c>
    </row>
    <row r="3" spans="1:122" x14ac:dyDescent="0.15">
      <c r="A3" s="2" t="s">
        <v>107</v>
      </c>
      <c r="B3" s="1" t="s">
        <v>13</v>
      </c>
      <c r="C3" s="9">
        <f>Reports!Q23</f>
        <v>416.45100000000002</v>
      </c>
      <c r="D3" s="1" t="s">
        <v>77</v>
      </c>
      <c r="E3" s="3" t="s">
        <v>26</v>
      </c>
      <c r="F3" s="4">
        <v>0.02</v>
      </c>
      <c r="G3" s="45" t="s">
        <v>110</v>
      </c>
      <c r="H3" s="1" t="s">
        <v>111</v>
      </c>
      <c r="I3" s="7">
        <f>E28</f>
        <v>2422</v>
      </c>
    </row>
    <row r="4" spans="1:122" x14ac:dyDescent="0.15">
      <c r="A4" s="5" t="s">
        <v>122</v>
      </c>
      <c r="B4" s="1" t="s">
        <v>112</v>
      </c>
      <c r="C4" s="11">
        <f>C2*C3</f>
        <v>75102.77334</v>
      </c>
      <c r="E4" s="3" t="s">
        <v>27</v>
      </c>
      <c r="F4" s="4">
        <v>0.06</v>
      </c>
      <c r="G4" s="45" t="s">
        <v>113</v>
      </c>
      <c r="H4" s="1" t="s">
        <v>114</v>
      </c>
      <c r="I4" s="14">
        <f>E32</f>
        <v>0.12953172205438057</v>
      </c>
    </row>
    <row r="5" spans="1:122" x14ac:dyDescent="0.15">
      <c r="B5" s="1" t="s">
        <v>22</v>
      </c>
      <c r="C5" s="9">
        <f>Reports!Q34</f>
        <v>-1393</v>
      </c>
      <c r="D5" s="1" t="s">
        <v>77</v>
      </c>
      <c r="E5" s="3" t="s">
        <v>28</v>
      </c>
      <c r="F5" s="6">
        <f>NPV(F4,F28:DR28)</f>
        <v>97012.392876214421</v>
      </c>
      <c r="G5" s="45" t="s">
        <v>115</v>
      </c>
      <c r="H5" s="1" t="s">
        <v>116</v>
      </c>
      <c r="I5" s="14">
        <f>E37</f>
        <v>0.85969018165607936</v>
      </c>
    </row>
    <row r="6" spans="1:122" x14ac:dyDescent="0.15">
      <c r="A6" s="2" t="s">
        <v>108</v>
      </c>
      <c r="B6" s="1" t="s">
        <v>117</v>
      </c>
      <c r="C6" s="11">
        <f>C4-C5</f>
        <v>76495.77334</v>
      </c>
      <c r="E6" s="8" t="s">
        <v>29</v>
      </c>
      <c r="F6" s="49">
        <f>F5+C5</f>
        <v>95619.392876214421</v>
      </c>
      <c r="H6" s="1" t="s">
        <v>118</v>
      </c>
      <c r="I6" s="14">
        <f>E38</f>
        <v>0.22846316727961663</v>
      </c>
    </row>
    <row r="7" spans="1:122" x14ac:dyDescent="0.15">
      <c r="A7" s="5" t="s">
        <v>120</v>
      </c>
      <c r="B7" s="45" t="s">
        <v>119</v>
      </c>
      <c r="C7" s="50">
        <f>C6/C3</f>
        <v>183.68493133645975</v>
      </c>
      <c r="E7" s="51" t="s">
        <v>119</v>
      </c>
      <c r="F7" s="52">
        <f>F6/C3</f>
        <v>229.60538665104517</v>
      </c>
      <c r="G7" s="14">
        <f>F7/C2-1</f>
        <v>0.27318058473464091</v>
      </c>
    </row>
    <row r="8" spans="1:122" x14ac:dyDescent="0.15">
      <c r="A8" s="5" t="s">
        <v>121</v>
      </c>
    </row>
    <row r="10" spans="1:122" x14ac:dyDescent="0.15">
      <c r="B10" s="15">
        <v>2015</v>
      </c>
      <c r="C10" s="15">
        <v>2016</v>
      </c>
      <c r="D10" s="15">
        <v>2018</v>
      </c>
      <c r="E10" s="15">
        <f>D10+1</f>
        <v>2019</v>
      </c>
      <c r="F10" s="15">
        <f t="shared" ref="F10:V10" si="0">E10+1</f>
        <v>2020</v>
      </c>
      <c r="G10" s="15">
        <f t="shared" si="0"/>
        <v>2021</v>
      </c>
      <c r="H10" s="15">
        <f t="shared" si="0"/>
        <v>2022</v>
      </c>
      <c r="I10" s="15">
        <f t="shared" si="0"/>
        <v>2023</v>
      </c>
      <c r="J10" s="15">
        <f t="shared" si="0"/>
        <v>2024</v>
      </c>
      <c r="K10" s="15">
        <f t="shared" si="0"/>
        <v>2025</v>
      </c>
      <c r="L10" s="15">
        <f t="shared" si="0"/>
        <v>2026</v>
      </c>
      <c r="M10" s="15">
        <f t="shared" si="0"/>
        <v>2027</v>
      </c>
      <c r="N10" s="15">
        <f t="shared" si="0"/>
        <v>2028</v>
      </c>
      <c r="O10" s="15">
        <f t="shared" si="0"/>
        <v>2029</v>
      </c>
      <c r="P10" s="15">
        <f t="shared" si="0"/>
        <v>2030</v>
      </c>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row>
    <row r="11" spans="1:122" s="7" customFormat="1" x14ac:dyDescent="0.15">
      <c r="A11" s="7" t="s">
        <v>43</v>
      </c>
      <c r="B11" s="18">
        <f>SUM(Reports!B3:E3)</f>
        <v>2720</v>
      </c>
      <c r="C11" s="18">
        <f>SUM(Reports!F3:I3)</f>
        <v>2794</v>
      </c>
      <c r="D11" s="16">
        <f>SUM(Reports!J3:M3)</f>
        <v>3250</v>
      </c>
      <c r="E11" s="16">
        <f>SUM(Reports!N3:Q3)</f>
        <v>3789</v>
      </c>
      <c r="F11" s="16">
        <f>E11*1.2</f>
        <v>4546.8</v>
      </c>
      <c r="G11" s="16">
        <f t="shared" ref="G11:J11" si="1">F11*1.2</f>
        <v>5456.16</v>
      </c>
      <c r="H11" s="16">
        <f t="shared" si="1"/>
        <v>6547.3919999999998</v>
      </c>
      <c r="I11" s="16">
        <f t="shared" si="1"/>
        <v>7856.8703999999998</v>
      </c>
      <c r="J11" s="16">
        <f t="shared" si="1"/>
        <v>9428.2444799999994</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row>
    <row r="12" spans="1:122" s="7" customFormat="1" x14ac:dyDescent="0.15">
      <c r="A12" s="7" t="s">
        <v>67</v>
      </c>
      <c r="B12" s="18">
        <f>SUM(Reports!B4:E4)</f>
        <v>3852</v>
      </c>
      <c r="C12" s="18">
        <f>SUM(Reports!F4:I4)</f>
        <v>4298</v>
      </c>
      <c r="D12" s="16">
        <f>SUM(Reports!J4:M4)</f>
        <v>4694</v>
      </c>
      <c r="E12" s="16">
        <f>SUM(Reports!N4:Q4)</f>
        <v>5184</v>
      </c>
      <c r="F12" s="16">
        <f>E12*1.1</f>
        <v>5702.4000000000005</v>
      </c>
      <c r="G12" s="16">
        <f t="shared" ref="G12:J12" si="2">F12*1.1</f>
        <v>6272.6400000000012</v>
      </c>
      <c r="H12" s="16">
        <f t="shared" si="2"/>
        <v>6899.9040000000023</v>
      </c>
      <c r="I12" s="16">
        <f t="shared" si="2"/>
        <v>7589.8944000000029</v>
      </c>
      <c r="J12" s="16">
        <f t="shared" si="2"/>
        <v>8348.8838400000041</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row>
    <row r="13" spans="1:122" x14ac:dyDescent="0.15">
      <c r="B13" s="18"/>
      <c r="C13" s="18"/>
      <c r="D13" s="16"/>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row>
    <row r="14" spans="1:122" x14ac:dyDescent="0.15">
      <c r="A14" s="1" t="s">
        <v>53</v>
      </c>
      <c r="B14" s="18"/>
      <c r="C14" s="18"/>
      <c r="D14" s="16"/>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row>
    <row r="15" spans="1:122" x14ac:dyDescent="0.15">
      <c r="A15" s="1" t="s">
        <v>54</v>
      </c>
      <c r="B15" s="18"/>
      <c r="C15" s="18"/>
      <c r="D15" s="16"/>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row>
    <row r="16" spans="1:122" x14ac:dyDescent="0.15">
      <c r="B16" s="15"/>
      <c r="C16" s="15"/>
      <c r="D16" s="15"/>
      <c r="E16" s="15"/>
      <c r="F16" s="55" t="s">
        <v>123</v>
      </c>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row>
    <row r="17" spans="1:122" x14ac:dyDescent="0.15">
      <c r="A17" s="2" t="s">
        <v>0</v>
      </c>
      <c r="B17" s="36">
        <f>SUM(B11:B12)</f>
        <v>6572</v>
      </c>
      <c r="C17" s="36">
        <f>SUM(C11:C12)</f>
        <v>7092</v>
      </c>
      <c r="D17" s="36">
        <f>SUM(D11:D12)</f>
        <v>7944</v>
      </c>
      <c r="E17" s="36">
        <f>SUM(E11:E12)</f>
        <v>8973</v>
      </c>
      <c r="F17" s="21">
        <f>SUM(F11:F12)</f>
        <v>10249.200000000001</v>
      </c>
      <c r="G17" s="21">
        <f t="shared" ref="G17:J17" si="3">SUM(G11:G12)</f>
        <v>11728.800000000001</v>
      </c>
      <c r="H17" s="21">
        <f t="shared" si="3"/>
        <v>13447.296000000002</v>
      </c>
      <c r="I17" s="21">
        <f t="shared" si="3"/>
        <v>15446.764800000003</v>
      </c>
      <c r="J17" s="21">
        <f>SUM(J11:J12)</f>
        <v>17777.128320000003</v>
      </c>
      <c r="K17" s="21">
        <f>J17*1.05</f>
        <v>18665.984736000006</v>
      </c>
      <c r="L17" s="21">
        <f t="shared" ref="L17:V17" si="4">K17*1.05</f>
        <v>19599.283972800007</v>
      </c>
      <c r="M17" s="21">
        <f t="shared" si="4"/>
        <v>20579.248171440009</v>
      </c>
      <c r="N17" s="21">
        <f t="shared" si="4"/>
        <v>21608.210580012012</v>
      </c>
      <c r="O17" s="21">
        <f t="shared" si="4"/>
        <v>22688.621109012613</v>
      </c>
      <c r="P17" s="21">
        <f t="shared" si="4"/>
        <v>23823.052164463243</v>
      </c>
      <c r="Q17" s="21"/>
      <c r="R17" s="21"/>
      <c r="S17" s="21"/>
      <c r="T17" s="21"/>
      <c r="U17" s="21"/>
      <c r="V17" s="21"/>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row>
    <row r="18" spans="1:122" x14ac:dyDescent="0.15">
      <c r="A18" s="1" t="s">
        <v>1</v>
      </c>
      <c r="B18" s="18">
        <f>SUM(Reports!B10:E10)</f>
        <v>1017</v>
      </c>
      <c r="C18" s="18">
        <f>SUM(Reports!F10:I10)</f>
        <v>1053</v>
      </c>
      <c r="D18" s="16">
        <f>SUM(Reports!J10:M10)</f>
        <v>1141</v>
      </c>
      <c r="E18" s="16">
        <f>SUM(Reports!N10:Q10)</f>
        <v>1259</v>
      </c>
      <c r="F18" s="18">
        <f>F17-F19</f>
        <v>1438.0633901705114</v>
      </c>
      <c r="G18" s="18">
        <f t="shared" ref="F18:G18" si="5">G17-G19</f>
        <v>1645.6657973921774</v>
      </c>
      <c r="H18" s="18">
        <f t="shared" ref="H18:V18" si="6">H17-H19</f>
        <v>1886.787658976933</v>
      </c>
      <c r="I18" s="18">
        <f t="shared" si="6"/>
        <v>2167.3327630892691</v>
      </c>
      <c r="J18" s="18">
        <f t="shared" si="6"/>
        <v>2494.3056452557703</v>
      </c>
      <c r="K18" s="18">
        <f t="shared" si="6"/>
        <v>2619.0209275185589</v>
      </c>
      <c r="L18" s="18">
        <f t="shared" si="6"/>
        <v>2749.9719738944877</v>
      </c>
      <c r="M18" s="18">
        <f t="shared" si="6"/>
        <v>2887.4705725892127</v>
      </c>
      <c r="N18" s="18">
        <f t="shared" si="6"/>
        <v>3031.844101218674</v>
      </c>
      <c r="O18" s="18">
        <f t="shared" si="6"/>
        <v>3183.4363062796074</v>
      </c>
      <c r="P18" s="18">
        <f t="shared" si="6"/>
        <v>3342.6081215935883</v>
      </c>
      <c r="Q18" s="18"/>
      <c r="R18" s="18"/>
      <c r="S18" s="18"/>
      <c r="T18" s="18"/>
      <c r="U18" s="18"/>
      <c r="V18" s="18"/>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row>
    <row r="19" spans="1:122" x14ac:dyDescent="0.15">
      <c r="A19" s="1" t="s">
        <v>2</v>
      </c>
      <c r="B19" s="39">
        <f>B17-B18</f>
        <v>5555</v>
      </c>
      <c r="C19" s="39">
        <f>C17-C18</f>
        <v>6039</v>
      </c>
      <c r="D19" s="39">
        <f>D17-D18</f>
        <v>6803</v>
      </c>
      <c r="E19" s="39">
        <f>E17-E18</f>
        <v>7714</v>
      </c>
      <c r="F19" s="18">
        <f>F17*E37</f>
        <v>8811.1366098294893</v>
      </c>
      <c r="G19" s="18">
        <f t="shared" ref="F19:G19" si="7">G17*F37</f>
        <v>10083.134202607824</v>
      </c>
      <c r="H19" s="18">
        <f t="shared" ref="H19:V19" si="8">H17*G37</f>
        <v>11560.508341023069</v>
      </c>
      <c r="I19" s="18">
        <f t="shared" si="8"/>
        <v>13279.432036910734</v>
      </c>
      <c r="J19" s="18">
        <f t="shared" si="8"/>
        <v>15282.822674744233</v>
      </c>
      <c r="K19" s="18">
        <f t="shared" si="8"/>
        <v>16046.963808481447</v>
      </c>
      <c r="L19" s="18">
        <f t="shared" si="8"/>
        <v>16849.311998905519</v>
      </c>
      <c r="M19" s="18">
        <f t="shared" si="8"/>
        <v>17691.777598850796</v>
      </c>
      <c r="N19" s="18">
        <f t="shared" si="8"/>
        <v>18576.366478793338</v>
      </c>
      <c r="O19" s="18">
        <f t="shared" si="8"/>
        <v>19505.184802733005</v>
      </c>
      <c r="P19" s="18">
        <f t="shared" si="8"/>
        <v>20480.444042869654</v>
      </c>
      <c r="Q19" s="18"/>
      <c r="R19" s="18"/>
      <c r="S19" s="18"/>
      <c r="T19" s="18"/>
      <c r="U19" s="18"/>
      <c r="V19" s="18"/>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row>
    <row r="20" spans="1:122" x14ac:dyDescent="0.15">
      <c r="A20" s="1" t="s">
        <v>3</v>
      </c>
      <c r="B20" s="18">
        <f>SUM(Reports!B12:E12)</f>
        <v>1300</v>
      </c>
      <c r="C20" s="18">
        <f>SUM(Reports!F12:I12)</f>
        <v>1503</v>
      </c>
      <c r="D20" s="16">
        <f>SUM(Reports!J12:M12)</f>
        <v>1755</v>
      </c>
      <c r="E20" s="16">
        <f>SUM(Reports!N12:Q12)</f>
        <v>1975</v>
      </c>
      <c r="F20" s="18">
        <f>E20*1.15</f>
        <v>2271.25</v>
      </c>
      <c r="G20" s="18">
        <f t="shared" ref="G20:J20" si="9">F20*1.15</f>
        <v>2611.9375</v>
      </c>
      <c r="H20" s="18">
        <f t="shared" si="9"/>
        <v>3003.7281249999996</v>
      </c>
      <c r="I20" s="18">
        <f t="shared" si="9"/>
        <v>3454.2873437499993</v>
      </c>
      <c r="J20" s="18">
        <f t="shared" si="9"/>
        <v>3972.4304453124987</v>
      </c>
      <c r="K20" s="18">
        <f t="shared" ref="H20:V20" si="10">J20*1.05</f>
        <v>4171.0519675781234</v>
      </c>
      <c r="L20" s="18">
        <f t="shared" si="10"/>
        <v>4379.60456595703</v>
      </c>
      <c r="M20" s="18">
        <f t="shared" si="10"/>
        <v>4598.5847942548817</v>
      </c>
      <c r="N20" s="18">
        <f t="shared" si="10"/>
        <v>4828.5140339676263</v>
      </c>
      <c r="O20" s="18">
        <f t="shared" si="10"/>
        <v>5069.9397356660074</v>
      </c>
      <c r="P20" s="18">
        <f t="shared" si="10"/>
        <v>5323.436722449308</v>
      </c>
      <c r="Q20" s="18"/>
      <c r="R20" s="18"/>
      <c r="S20" s="18"/>
      <c r="T20" s="18"/>
      <c r="U20" s="18"/>
      <c r="V20" s="18"/>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row>
    <row r="21" spans="1:122" x14ac:dyDescent="0.15">
      <c r="A21" s="1" t="s">
        <v>4</v>
      </c>
      <c r="B21" s="18">
        <f>SUM(Reports!B13:E13)</f>
        <v>2269</v>
      </c>
      <c r="C21" s="18">
        <f>SUM(Reports!F13:I13)</f>
        <v>2355</v>
      </c>
      <c r="D21" s="16">
        <f>SUM(Reports!J13:M13)</f>
        <v>2545</v>
      </c>
      <c r="E21" s="16">
        <f>SUM(Reports!N13:Q13)</f>
        <v>2916</v>
      </c>
      <c r="F21" s="18">
        <f>E21*1.1</f>
        <v>3207.6000000000004</v>
      </c>
      <c r="G21" s="18">
        <f t="shared" ref="G21:J21" si="11">F21*1.1</f>
        <v>3528.3600000000006</v>
      </c>
      <c r="H21" s="18">
        <f t="shared" si="11"/>
        <v>3881.1960000000008</v>
      </c>
      <c r="I21" s="18">
        <f t="shared" si="11"/>
        <v>4269.3156000000008</v>
      </c>
      <c r="J21" s="18">
        <f t="shared" si="11"/>
        <v>4696.2471600000017</v>
      </c>
      <c r="K21" s="18">
        <f>J21*0.98</f>
        <v>4602.322216800002</v>
      </c>
      <c r="L21" s="18">
        <f t="shared" ref="L21:P21" si="12">K21*0.98</f>
        <v>4510.2757724640023</v>
      </c>
      <c r="M21" s="18">
        <f t="shared" si="12"/>
        <v>4420.0702570147223</v>
      </c>
      <c r="N21" s="18">
        <f t="shared" si="12"/>
        <v>4331.6688518744277</v>
      </c>
      <c r="O21" s="18">
        <f t="shared" si="12"/>
        <v>4245.0354748369391</v>
      </c>
      <c r="P21" s="18">
        <f t="shared" si="12"/>
        <v>4160.1347653401999</v>
      </c>
      <c r="Q21" s="18"/>
      <c r="R21" s="18"/>
      <c r="S21" s="18"/>
      <c r="T21" s="18"/>
      <c r="U21" s="18"/>
      <c r="V21" s="18"/>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row>
    <row r="22" spans="1:122" x14ac:dyDescent="0.15">
      <c r="A22" s="1" t="s">
        <v>5</v>
      </c>
      <c r="B22" s="18">
        <f>SUM(Reports!B14:E14)</f>
        <v>789</v>
      </c>
      <c r="C22" s="18">
        <f>SUM(Reports!F14:I14)</f>
        <v>742</v>
      </c>
      <c r="D22" s="16">
        <f>SUM(Reports!J14:M14)</f>
        <v>759</v>
      </c>
      <c r="E22" s="16">
        <f>SUM(Reports!N14:Q14)</f>
        <v>773</v>
      </c>
      <c r="F22" s="18">
        <f t="shared" ref="F22" si="13">E22*1.02</f>
        <v>788.46</v>
      </c>
      <c r="G22" s="18">
        <f t="shared" ref="G22" si="14">F22*1.02</f>
        <v>804.22920000000011</v>
      </c>
      <c r="H22" s="18">
        <f t="shared" ref="H22" si="15">G22*1.02</f>
        <v>820.31378400000017</v>
      </c>
      <c r="I22" s="18">
        <f t="shared" ref="I22" si="16">H22*1.02</f>
        <v>836.72005968000019</v>
      </c>
      <c r="J22" s="18">
        <f t="shared" ref="J22" si="17">I22*1.02</f>
        <v>853.45446087360017</v>
      </c>
      <c r="K22" s="18">
        <f>J22*0.98</f>
        <v>836.3853716561282</v>
      </c>
      <c r="L22" s="18">
        <f t="shared" ref="L22:P22" si="18">K22*0.98</f>
        <v>819.65766422300567</v>
      </c>
      <c r="M22" s="18">
        <f t="shared" si="18"/>
        <v>803.26451093854553</v>
      </c>
      <c r="N22" s="18">
        <f t="shared" si="18"/>
        <v>787.19922071977464</v>
      </c>
      <c r="O22" s="18">
        <f t="shared" si="18"/>
        <v>771.45523630537912</v>
      </c>
      <c r="P22" s="18">
        <f t="shared" si="18"/>
        <v>756.02613157927146</v>
      </c>
      <c r="Q22" s="18"/>
      <c r="R22" s="18"/>
      <c r="S22" s="18"/>
      <c r="T22" s="18"/>
      <c r="U22" s="18"/>
      <c r="V22" s="18"/>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row>
    <row r="23" spans="1:122" x14ac:dyDescent="0.15">
      <c r="A23" s="1" t="s">
        <v>6</v>
      </c>
      <c r="B23" s="39">
        <f>SUM(B20:B22)</f>
        <v>4358</v>
      </c>
      <c r="C23" s="39">
        <f>SUM(C20:C22)</f>
        <v>4600</v>
      </c>
      <c r="D23" s="39">
        <f>SUM(D20:D22)</f>
        <v>5059</v>
      </c>
      <c r="E23" s="39">
        <f>SUM(E20:E22)</f>
        <v>5664</v>
      </c>
      <c r="F23" s="18">
        <f t="shared" ref="F23:G23" si="19">SUM(F20:F22)</f>
        <v>6267.31</v>
      </c>
      <c r="G23" s="18">
        <f t="shared" si="19"/>
        <v>6944.5267000000003</v>
      </c>
      <c r="H23" s="18">
        <f t="shared" ref="H23:V23" si="20">SUM(H20:H22)</f>
        <v>7705.2379090000004</v>
      </c>
      <c r="I23" s="18">
        <f t="shared" si="20"/>
        <v>8560.3230034299995</v>
      </c>
      <c r="J23" s="18">
        <f t="shared" si="20"/>
        <v>9522.1320661860991</v>
      </c>
      <c r="K23" s="18">
        <f t="shared" si="20"/>
        <v>9609.7595560342525</v>
      </c>
      <c r="L23" s="18">
        <f t="shared" si="20"/>
        <v>9709.5380026440398</v>
      </c>
      <c r="M23" s="18">
        <f t="shared" si="20"/>
        <v>9821.9195622081497</v>
      </c>
      <c r="N23" s="18">
        <f t="shared" si="20"/>
        <v>9947.3821065618286</v>
      </c>
      <c r="O23" s="18">
        <f t="shared" si="20"/>
        <v>10086.430446808326</v>
      </c>
      <c r="P23" s="18">
        <f t="shared" si="20"/>
        <v>10239.59761936878</v>
      </c>
      <c r="Q23" s="18"/>
      <c r="R23" s="18"/>
      <c r="S23" s="18"/>
      <c r="T23" s="18"/>
      <c r="U23" s="18"/>
      <c r="V23" s="18"/>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row>
    <row r="24" spans="1:122" x14ac:dyDescent="0.15">
      <c r="A24" s="1" t="s">
        <v>7</v>
      </c>
      <c r="B24" s="39">
        <f>B19-B23</f>
        <v>1197</v>
      </c>
      <c r="C24" s="39">
        <f>C19-C23</f>
        <v>1439</v>
      </c>
      <c r="D24" s="39">
        <f>D19-D23</f>
        <v>1744</v>
      </c>
      <c r="E24" s="39">
        <f>E19-E23</f>
        <v>2050</v>
      </c>
      <c r="F24" s="18">
        <f t="shared" ref="F24:G24" si="21">F19-F23</f>
        <v>2543.8266098294889</v>
      </c>
      <c r="G24" s="18">
        <f t="shared" si="21"/>
        <v>3138.6075026078233</v>
      </c>
      <c r="H24" s="18">
        <f t="shared" ref="H24:V24" si="22">H19-H23</f>
        <v>3855.2704320230687</v>
      </c>
      <c r="I24" s="18">
        <f t="shared" si="22"/>
        <v>4719.1090334807341</v>
      </c>
      <c r="J24" s="18">
        <f t="shared" si="22"/>
        <v>5760.690608558134</v>
      </c>
      <c r="K24" s="18">
        <f t="shared" si="22"/>
        <v>6437.2042524471944</v>
      </c>
      <c r="L24" s="18">
        <f t="shared" si="22"/>
        <v>7139.7739962614796</v>
      </c>
      <c r="M24" s="18">
        <f t="shared" si="22"/>
        <v>7869.8580366426468</v>
      </c>
      <c r="N24" s="18">
        <f t="shared" si="22"/>
        <v>8628.984372231509</v>
      </c>
      <c r="O24" s="18">
        <f t="shared" si="22"/>
        <v>9418.7543559246787</v>
      </c>
      <c r="P24" s="18">
        <f t="shared" si="22"/>
        <v>10240.846423500874</v>
      </c>
      <c r="Q24" s="18"/>
      <c r="R24" s="18"/>
      <c r="S24" s="18"/>
      <c r="T24" s="18"/>
      <c r="U24" s="18"/>
      <c r="V24" s="18"/>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row>
    <row r="25" spans="1:122" x14ac:dyDescent="0.15">
      <c r="A25" s="1" t="s">
        <v>8</v>
      </c>
      <c r="B25" s="18">
        <f>SUM(Reports!B17:E17)</f>
        <v>16</v>
      </c>
      <c r="C25" s="18">
        <f>SUM(Reports!F17:I17)</f>
        <v>34</v>
      </c>
      <c r="D25" s="16">
        <f>SUM(Reports!J17:M17)</f>
        <v>112</v>
      </c>
      <c r="E25" s="16">
        <f>SUM(Reports!N17:Q17)</f>
        <v>833</v>
      </c>
      <c r="F25" s="18">
        <f>E41*($F$3)</f>
        <v>-27.86</v>
      </c>
      <c r="G25" s="18">
        <f t="shared" ref="G25:P25" si="23">F41*($F$3)</f>
        <v>12.395465757271822</v>
      </c>
      <c r="H25" s="18">
        <f t="shared" si="23"/>
        <v>62.811513251113347</v>
      </c>
      <c r="I25" s="18">
        <f t="shared" si="23"/>
        <v>125.50082437550027</v>
      </c>
      <c r="J25" s="18">
        <f t="shared" si="23"/>
        <v>203.01458210120001</v>
      </c>
      <c r="K25" s="18">
        <f t="shared" si="23"/>
        <v>298.43386515174933</v>
      </c>
      <c r="L25" s="18">
        <f t="shared" si="23"/>
        <v>406.20407503333251</v>
      </c>
      <c r="M25" s="18">
        <f t="shared" si="23"/>
        <v>526.9397241740495</v>
      </c>
      <c r="N25" s="18">
        <f t="shared" si="23"/>
        <v>661.28848834711664</v>
      </c>
      <c r="O25" s="18">
        <f t="shared" si="23"/>
        <v>809.93285411637464</v>
      </c>
      <c r="P25" s="18">
        <f t="shared" si="23"/>
        <v>973.59184947703147</v>
      </c>
      <c r="Q25" s="18"/>
      <c r="R25" s="18"/>
      <c r="S25" s="18"/>
      <c r="T25" s="18"/>
      <c r="U25" s="18"/>
      <c r="V25" s="18"/>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row>
    <row r="26" spans="1:122" x14ac:dyDescent="0.15">
      <c r="A26" s="1" t="s">
        <v>9</v>
      </c>
      <c r="B26" s="39">
        <f>SUM(Reports!B18:E18)</f>
        <v>1213</v>
      </c>
      <c r="C26" s="39">
        <f>C24+C25</f>
        <v>1473</v>
      </c>
      <c r="D26" s="39">
        <f>D24+D25</f>
        <v>1856</v>
      </c>
      <c r="E26" s="39">
        <f>E24+E25</f>
        <v>2883</v>
      </c>
      <c r="F26" s="18">
        <f t="shared" ref="F26:G26" si="24">F24+F25</f>
        <v>2515.9666098294888</v>
      </c>
      <c r="G26" s="18">
        <f t="shared" si="24"/>
        <v>3151.0029683650951</v>
      </c>
      <c r="H26" s="18">
        <f t="shared" ref="H26:V26" si="25">H24+H25</f>
        <v>3918.0819452741821</v>
      </c>
      <c r="I26" s="18">
        <f t="shared" si="25"/>
        <v>4844.6098578562342</v>
      </c>
      <c r="J26" s="18">
        <f t="shared" si="25"/>
        <v>5963.7051906593342</v>
      </c>
      <c r="K26" s="18">
        <f t="shared" si="25"/>
        <v>6735.6381175989436</v>
      </c>
      <c r="L26" s="18">
        <f t="shared" si="25"/>
        <v>7545.9780712948123</v>
      </c>
      <c r="M26" s="18">
        <f t="shared" si="25"/>
        <v>8396.7977608166966</v>
      </c>
      <c r="N26" s="18">
        <f t="shared" si="25"/>
        <v>9290.2728605786251</v>
      </c>
      <c r="O26" s="18">
        <f t="shared" si="25"/>
        <v>10228.687210041053</v>
      </c>
      <c r="P26" s="18">
        <f t="shared" si="25"/>
        <v>11214.438272977906</v>
      </c>
      <c r="Q26" s="18"/>
      <c r="R26" s="18"/>
      <c r="S26" s="18"/>
      <c r="T26" s="18"/>
      <c r="U26" s="18"/>
      <c r="V26" s="18"/>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row>
    <row r="27" spans="1:122" x14ac:dyDescent="0.15">
      <c r="A27" s="1" t="s">
        <v>10</v>
      </c>
      <c r="B27" s="18">
        <f>SUM(Reports!B19:E19)</f>
        <v>215.5</v>
      </c>
      <c r="C27" s="18">
        <f>SUM(Reports!F19:I19)</f>
        <v>287</v>
      </c>
      <c r="D27" s="16">
        <f>SUM(Reports!J19:M19)</f>
        <v>273.40983606557376</v>
      </c>
      <c r="E27" s="16">
        <f>SUM(Reports!N19:Q19)</f>
        <v>461</v>
      </c>
      <c r="F27" s="18">
        <f>F26*0.2</f>
        <v>503.19332196589778</v>
      </c>
      <c r="G27" s="18">
        <f t="shared" ref="G27:P27" si="26">G26*0.2</f>
        <v>630.20059367301906</v>
      </c>
      <c r="H27" s="18">
        <f t="shared" si="26"/>
        <v>783.61638905483642</v>
      </c>
      <c r="I27" s="18">
        <f t="shared" si="26"/>
        <v>968.9219715712469</v>
      </c>
      <c r="J27" s="18">
        <f t="shared" si="26"/>
        <v>1192.7410381318668</v>
      </c>
      <c r="K27" s="18">
        <f t="shared" si="26"/>
        <v>1347.1276235197888</v>
      </c>
      <c r="L27" s="18">
        <f t="shared" si="26"/>
        <v>1509.1956142589625</v>
      </c>
      <c r="M27" s="18">
        <f t="shared" si="26"/>
        <v>1679.3595521633395</v>
      </c>
      <c r="N27" s="18">
        <f t="shared" si="26"/>
        <v>1858.054572115725</v>
      </c>
      <c r="O27" s="18">
        <f t="shared" si="26"/>
        <v>2045.7374420082106</v>
      </c>
      <c r="P27" s="18">
        <f t="shared" si="26"/>
        <v>2242.8876545955814</v>
      </c>
      <c r="Q27" s="18"/>
      <c r="R27" s="18"/>
      <c r="S27" s="18"/>
      <c r="T27" s="18"/>
      <c r="U27" s="18"/>
      <c r="V27" s="18"/>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row>
    <row r="28" spans="1:122" s="2" customFormat="1" x14ac:dyDescent="0.15">
      <c r="A28" s="2" t="s">
        <v>11</v>
      </c>
      <c r="B28" s="36">
        <f>B26-B27</f>
        <v>997.5</v>
      </c>
      <c r="C28" s="36">
        <f>C26-C27</f>
        <v>1186</v>
      </c>
      <c r="D28" s="36">
        <f>D26-D27</f>
        <v>1582.5901639344263</v>
      </c>
      <c r="E28" s="36">
        <f t="shared" ref="E28" si="27">E26-E27</f>
        <v>2422</v>
      </c>
      <c r="F28" s="36">
        <f t="shared" ref="F28:G28" si="28">F26-F27</f>
        <v>2012.7732878635911</v>
      </c>
      <c r="G28" s="36">
        <f t="shared" si="28"/>
        <v>2520.8023746920762</v>
      </c>
      <c r="H28" s="36">
        <f t="shared" ref="H28:V28" si="29">H26-H27</f>
        <v>3134.4655562193457</v>
      </c>
      <c r="I28" s="36">
        <f t="shared" si="29"/>
        <v>3875.6878862849871</v>
      </c>
      <c r="J28" s="36">
        <f t="shared" si="29"/>
        <v>4770.9641525274674</v>
      </c>
      <c r="K28" s="36">
        <f t="shared" si="29"/>
        <v>5388.5104940791553</v>
      </c>
      <c r="L28" s="36">
        <f t="shared" si="29"/>
        <v>6036.7824570358498</v>
      </c>
      <c r="M28" s="36">
        <f t="shared" si="29"/>
        <v>6717.4382086533569</v>
      </c>
      <c r="N28" s="36">
        <f t="shared" si="29"/>
        <v>7432.2182884629001</v>
      </c>
      <c r="O28" s="36">
        <f t="shared" si="29"/>
        <v>8182.9497680328423</v>
      </c>
      <c r="P28" s="36">
        <f t="shared" si="29"/>
        <v>8971.5506183823254</v>
      </c>
      <c r="Q28" s="36">
        <f>P28*($F$2+1)</f>
        <v>8792.1196060146794</v>
      </c>
      <c r="R28" s="36">
        <f t="shared" ref="R28:CC28" si="30">Q28*($F$2+1)</f>
        <v>8616.2772138943856</v>
      </c>
      <c r="S28" s="36">
        <f t="shared" si="30"/>
        <v>8443.9516696164974</v>
      </c>
      <c r="T28" s="36">
        <f t="shared" si="30"/>
        <v>8275.0726362241676</v>
      </c>
      <c r="U28" s="36">
        <f t="shared" si="30"/>
        <v>8109.5711834996837</v>
      </c>
      <c r="V28" s="36">
        <f t="shared" si="30"/>
        <v>7947.3797598296896</v>
      </c>
      <c r="W28" s="36">
        <f t="shared" si="30"/>
        <v>7788.4321646330955</v>
      </c>
      <c r="X28" s="36">
        <f t="shared" si="30"/>
        <v>7632.6635213404334</v>
      </c>
      <c r="Y28" s="36">
        <f t="shared" si="30"/>
        <v>7480.010250913625</v>
      </c>
      <c r="Z28" s="36">
        <f t="shared" si="30"/>
        <v>7330.4100458953526</v>
      </c>
      <c r="AA28" s="36">
        <f t="shared" si="30"/>
        <v>7183.8018449774454</v>
      </c>
      <c r="AB28" s="36">
        <f t="shared" si="30"/>
        <v>7040.1258080778962</v>
      </c>
      <c r="AC28" s="36">
        <f t="shared" si="30"/>
        <v>6899.3232919163383</v>
      </c>
      <c r="AD28" s="36">
        <f t="shared" si="30"/>
        <v>6761.3368260780117</v>
      </c>
      <c r="AE28" s="36">
        <f t="shared" si="30"/>
        <v>6626.1100895564514</v>
      </c>
      <c r="AF28" s="36">
        <f t="shared" si="30"/>
        <v>6493.5878877653222</v>
      </c>
      <c r="AG28" s="36">
        <f t="shared" si="30"/>
        <v>6363.7161300100161</v>
      </c>
      <c r="AH28" s="36">
        <f t="shared" si="30"/>
        <v>6236.4418074098157</v>
      </c>
      <c r="AI28" s="36">
        <f t="shared" si="30"/>
        <v>6111.7129712616197</v>
      </c>
      <c r="AJ28" s="36">
        <f t="shared" si="30"/>
        <v>5989.4787118363874</v>
      </c>
      <c r="AK28" s="36">
        <f t="shared" si="30"/>
        <v>5869.6891375996593</v>
      </c>
      <c r="AL28" s="36">
        <f t="shared" si="30"/>
        <v>5752.2953548476662</v>
      </c>
      <c r="AM28" s="36">
        <f t="shared" si="30"/>
        <v>5637.2494477507125</v>
      </c>
      <c r="AN28" s="36">
        <f t="shared" si="30"/>
        <v>5524.5044587956982</v>
      </c>
      <c r="AO28" s="36">
        <f t="shared" si="30"/>
        <v>5414.0143696197838</v>
      </c>
      <c r="AP28" s="36">
        <f t="shared" si="30"/>
        <v>5305.7340822273882</v>
      </c>
      <c r="AQ28" s="36">
        <f t="shared" si="30"/>
        <v>5199.6194005828402</v>
      </c>
      <c r="AR28" s="36">
        <f t="shared" si="30"/>
        <v>5095.6270125711835</v>
      </c>
      <c r="AS28" s="36">
        <f t="shared" si="30"/>
        <v>4993.7144723197598</v>
      </c>
      <c r="AT28" s="36">
        <f t="shared" si="30"/>
        <v>4893.8401828733649</v>
      </c>
      <c r="AU28" s="36">
        <f t="shared" si="30"/>
        <v>4795.9633792158975</v>
      </c>
      <c r="AV28" s="36">
        <f t="shared" si="30"/>
        <v>4700.0441116315797</v>
      </c>
      <c r="AW28" s="36">
        <f t="shared" si="30"/>
        <v>4606.0432293989479</v>
      </c>
      <c r="AX28" s="36">
        <f t="shared" si="30"/>
        <v>4513.9223648109692</v>
      </c>
      <c r="AY28" s="36">
        <f t="shared" si="30"/>
        <v>4423.6439175147498</v>
      </c>
      <c r="AZ28" s="36">
        <f t="shared" si="30"/>
        <v>4335.1710391644547</v>
      </c>
      <c r="BA28" s="36">
        <f t="shared" si="30"/>
        <v>4248.4676183811653</v>
      </c>
      <c r="BB28" s="36">
        <f t="shared" si="30"/>
        <v>4163.498266013542</v>
      </c>
      <c r="BC28" s="36">
        <f t="shared" si="30"/>
        <v>4080.2283006932712</v>
      </c>
      <c r="BD28" s="36">
        <f t="shared" si="30"/>
        <v>3998.6237346794055</v>
      </c>
      <c r="BE28" s="36">
        <f t="shared" si="30"/>
        <v>3918.6512599858174</v>
      </c>
      <c r="BF28" s="36">
        <f t="shared" si="30"/>
        <v>3840.2782347861012</v>
      </c>
      <c r="BG28" s="36">
        <f t="shared" si="30"/>
        <v>3763.4726700903789</v>
      </c>
      <c r="BH28" s="36">
        <f t="shared" si="30"/>
        <v>3688.203216688571</v>
      </c>
      <c r="BI28" s="36">
        <f t="shared" si="30"/>
        <v>3614.4391523547997</v>
      </c>
      <c r="BJ28" s="36">
        <f t="shared" si="30"/>
        <v>3542.1503693077038</v>
      </c>
      <c r="BK28" s="36">
        <f t="shared" si="30"/>
        <v>3471.3073619215497</v>
      </c>
      <c r="BL28" s="36">
        <f t="shared" si="30"/>
        <v>3401.8812146831187</v>
      </c>
      <c r="BM28" s="36">
        <f t="shared" si="30"/>
        <v>3333.8435903894565</v>
      </c>
      <c r="BN28" s="36">
        <f t="shared" si="30"/>
        <v>3267.1667185816673</v>
      </c>
      <c r="BO28" s="36">
        <f t="shared" si="30"/>
        <v>3201.823384210034</v>
      </c>
      <c r="BP28" s="36">
        <f t="shared" si="30"/>
        <v>3137.786916525833</v>
      </c>
      <c r="BQ28" s="36">
        <f t="shared" si="30"/>
        <v>3075.0311781953164</v>
      </c>
      <c r="BR28" s="36">
        <f t="shared" si="30"/>
        <v>3013.5305546314103</v>
      </c>
      <c r="BS28" s="36">
        <f t="shared" si="30"/>
        <v>2953.259943538782</v>
      </c>
      <c r="BT28" s="36">
        <f t="shared" si="30"/>
        <v>2894.1947446680065</v>
      </c>
      <c r="BU28" s="36">
        <f t="shared" si="30"/>
        <v>2836.3108497746462</v>
      </c>
      <c r="BV28" s="36">
        <f t="shared" si="30"/>
        <v>2779.5846327791533</v>
      </c>
      <c r="BW28" s="36">
        <f t="shared" si="30"/>
        <v>2723.99294012357</v>
      </c>
      <c r="BX28" s="36">
        <f t="shared" si="30"/>
        <v>2669.5130813210985</v>
      </c>
      <c r="BY28" s="36">
        <f t="shared" si="30"/>
        <v>2616.1228196946763</v>
      </c>
      <c r="BZ28" s="36">
        <f t="shared" si="30"/>
        <v>2563.8003633007829</v>
      </c>
      <c r="CA28" s="36">
        <f t="shared" si="30"/>
        <v>2512.5243560347672</v>
      </c>
      <c r="CB28" s="36">
        <f t="shared" si="30"/>
        <v>2462.273868914072</v>
      </c>
      <c r="CC28" s="36">
        <f t="shared" si="30"/>
        <v>2413.0283915357904</v>
      </c>
      <c r="CD28" s="36">
        <f t="shared" ref="CD28:DR28" si="31">CC28*($F$2+1)</f>
        <v>2364.7678237050745</v>
      </c>
      <c r="CE28" s="36">
        <f t="shared" si="31"/>
        <v>2317.4724672309731</v>
      </c>
      <c r="CF28" s="36">
        <f t="shared" si="31"/>
        <v>2271.1230178863534</v>
      </c>
      <c r="CG28" s="36">
        <f t="shared" si="31"/>
        <v>2225.7005575286262</v>
      </c>
      <c r="CH28" s="36">
        <f t="shared" si="31"/>
        <v>2181.1865463780537</v>
      </c>
      <c r="CI28" s="36">
        <f t="shared" si="31"/>
        <v>2137.5628154504925</v>
      </c>
      <c r="CJ28" s="36">
        <f t="shared" si="31"/>
        <v>2094.8115591414826</v>
      </c>
      <c r="CK28" s="36">
        <f t="shared" si="31"/>
        <v>2052.9153279586531</v>
      </c>
      <c r="CL28" s="36">
        <f t="shared" si="31"/>
        <v>2011.8570213994799</v>
      </c>
      <c r="CM28" s="36">
        <f t="shared" si="31"/>
        <v>1971.6198809714901</v>
      </c>
      <c r="CN28" s="36">
        <f t="shared" si="31"/>
        <v>1932.1874833520603</v>
      </c>
      <c r="CO28" s="36">
        <f t="shared" si="31"/>
        <v>1893.5437336850191</v>
      </c>
      <c r="CP28" s="36">
        <f t="shared" si="31"/>
        <v>1855.6728590113187</v>
      </c>
      <c r="CQ28" s="36">
        <f t="shared" si="31"/>
        <v>1818.5594018310924</v>
      </c>
      <c r="CR28" s="36">
        <f t="shared" si="31"/>
        <v>1782.1882137944706</v>
      </c>
      <c r="CS28" s="36">
        <f t="shared" si="31"/>
        <v>1746.5444495185811</v>
      </c>
      <c r="CT28" s="36">
        <f t="shared" si="31"/>
        <v>1711.6135605282095</v>
      </c>
      <c r="CU28" s="36">
        <f t="shared" si="31"/>
        <v>1677.3812893176453</v>
      </c>
      <c r="CV28" s="36">
        <f t="shared" si="31"/>
        <v>1643.8336635312924</v>
      </c>
      <c r="CW28" s="36">
        <f t="shared" si="31"/>
        <v>1610.9569902606665</v>
      </c>
      <c r="CX28" s="36">
        <f t="shared" si="31"/>
        <v>1578.7378504554531</v>
      </c>
      <c r="CY28" s="36">
        <f t="shared" si="31"/>
        <v>1547.163093446344</v>
      </c>
      <c r="CZ28" s="36">
        <f t="shared" si="31"/>
        <v>1516.2198315774172</v>
      </c>
      <c r="DA28" s="36">
        <f t="shared" si="31"/>
        <v>1485.8954349458688</v>
      </c>
      <c r="DB28" s="36">
        <f t="shared" si="31"/>
        <v>1456.1775262469514</v>
      </c>
      <c r="DC28" s="36">
        <f t="shared" si="31"/>
        <v>1427.0539757220124</v>
      </c>
      <c r="DD28" s="36">
        <f t="shared" si="31"/>
        <v>1398.5128962075721</v>
      </c>
      <c r="DE28" s="36">
        <f t="shared" si="31"/>
        <v>1370.5426382834207</v>
      </c>
      <c r="DF28" s="36">
        <f t="shared" si="31"/>
        <v>1343.1317855177522</v>
      </c>
      <c r="DG28" s="36">
        <f t="shared" si="31"/>
        <v>1316.2691498073971</v>
      </c>
      <c r="DH28" s="36">
        <f t="shared" si="31"/>
        <v>1289.9437668112491</v>
      </c>
      <c r="DI28" s="36">
        <f t="shared" si="31"/>
        <v>1264.1448914750242</v>
      </c>
      <c r="DJ28" s="36">
        <f t="shared" si="31"/>
        <v>1238.8619936455236</v>
      </c>
      <c r="DK28" s="36">
        <f t="shared" si="31"/>
        <v>1214.0847537726131</v>
      </c>
      <c r="DL28" s="36">
        <f t="shared" si="31"/>
        <v>1189.8030586971608</v>
      </c>
      <c r="DM28" s="36">
        <f t="shared" si="31"/>
        <v>1166.0069975232177</v>
      </c>
      <c r="DN28" s="36">
        <f t="shared" si="31"/>
        <v>1142.6868575727533</v>
      </c>
      <c r="DO28" s="36">
        <f t="shared" si="31"/>
        <v>1119.8331204212982</v>
      </c>
      <c r="DP28" s="36">
        <f t="shared" si="31"/>
        <v>1097.4364580128722</v>
      </c>
      <c r="DQ28" s="36">
        <f t="shared" si="31"/>
        <v>1075.4877288526147</v>
      </c>
      <c r="DR28" s="36">
        <f t="shared" si="31"/>
        <v>1053.9779742755625</v>
      </c>
    </row>
    <row r="29" spans="1:122" x14ac:dyDescent="0.15">
      <c r="A29" s="1" t="s">
        <v>12</v>
      </c>
      <c r="B29" s="42">
        <f>B28/B30</f>
        <v>2.3589479210515112</v>
      </c>
      <c r="C29" s="42">
        <f>C28/C30</f>
        <v>2.8474569760295023</v>
      </c>
      <c r="D29" s="42">
        <f>D28/D30</f>
        <v>3.9232941495661104</v>
      </c>
      <c r="E29" s="42">
        <f>E28/E30</f>
        <v>5.8158102633923319</v>
      </c>
      <c r="F29" s="25">
        <f t="shared" ref="F29:G29" si="32">F28/F30</f>
        <v>4.8331575332118089</v>
      </c>
      <c r="G29" s="25">
        <f t="shared" si="32"/>
        <v>6.0530587624764403</v>
      </c>
      <c r="H29" s="25">
        <f t="shared" ref="H29:V29" si="33">H28/H30</f>
        <v>7.5266131098720992</v>
      </c>
      <c r="I29" s="25">
        <f t="shared" si="33"/>
        <v>9.306467954897423</v>
      </c>
      <c r="J29" s="25">
        <f t="shared" si="33"/>
        <v>11.456243717814262</v>
      </c>
      <c r="K29" s="25">
        <f t="shared" si="33"/>
        <v>12.939122475583334</v>
      </c>
      <c r="L29" s="25">
        <f t="shared" si="33"/>
        <v>14.495780913086653</v>
      </c>
      <c r="M29" s="25">
        <f t="shared" si="33"/>
        <v>16.130200692646568</v>
      </c>
      <c r="N29" s="25">
        <f t="shared" si="33"/>
        <v>17.846561272425568</v>
      </c>
      <c r="O29" s="25">
        <f t="shared" si="33"/>
        <v>19.649249895024486</v>
      </c>
      <c r="P29" s="25">
        <f t="shared" si="33"/>
        <v>21.542872074703446</v>
      </c>
      <c r="Q29" s="25"/>
      <c r="R29" s="25"/>
      <c r="S29" s="25"/>
      <c r="T29" s="25"/>
      <c r="U29" s="25"/>
      <c r="V29" s="2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row>
    <row r="30" spans="1:122" x14ac:dyDescent="0.15">
      <c r="A30" s="1" t="s">
        <v>13</v>
      </c>
      <c r="B30" s="18">
        <f>Reports!E23</f>
        <v>422.858</v>
      </c>
      <c r="C30" s="18">
        <f>Reports!I23</f>
        <v>416.512</v>
      </c>
      <c r="D30" s="18">
        <f>Reports!M23</f>
        <v>403.38299999999998</v>
      </c>
      <c r="E30" s="18">
        <f>Reports!Q23</f>
        <v>416.45100000000002</v>
      </c>
      <c r="F30" s="18">
        <f>E30</f>
        <v>416.45100000000002</v>
      </c>
      <c r="G30" s="18">
        <f t="shared" ref="G30" si="34">F30</f>
        <v>416.45100000000002</v>
      </c>
      <c r="H30" s="18">
        <f t="shared" ref="H30" si="35">G30</f>
        <v>416.45100000000002</v>
      </c>
      <c r="I30" s="18">
        <f t="shared" ref="I30" si="36">H30</f>
        <v>416.45100000000002</v>
      </c>
      <c r="J30" s="18">
        <f t="shared" ref="J30" si="37">I30</f>
        <v>416.45100000000002</v>
      </c>
      <c r="K30" s="18">
        <f t="shared" ref="K30" si="38">J30</f>
        <v>416.45100000000002</v>
      </c>
      <c r="L30" s="18">
        <f t="shared" ref="L30" si="39">K30</f>
        <v>416.45100000000002</v>
      </c>
      <c r="M30" s="18">
        <f t="shared" ref="M30" si="40">L30</f>
        <v>416.45100000000002</v>
      </c>
      <c r="N30" s="18">
        <f t="shared" ref="N30" si="41">M30</f>
        <v>416.45100000000002</v>
      </c>
      <c r="O30" s="18">
        <f t="shared" ref="O30" si="42">N30</f>
        <v>416.45100000000002</v>
      </c>
      <c r="P30" s="18">
        <f t="shared" ref="P30" si="43">O30</f>
        <v>416.45100000000002</v>
      </c>
      <c r="Q30" s="18"/>
      <c r="R30" s="18"/>
      <c r="S30" s="18"/>
      <c r="T30" s="18"/>
      <c r="U30" s="18"/>
      <c r="V30" s="18"/>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row>
    <row r="31" spans="1:122" x14ac:dyDescent="0.15">
      <c r="B31" s="20"/>
      <c r="C31" s="20"/>
      <c r="D31" s="20"/>
      <c r="E31" s="20"/>
      <c r="F31" s="20"/>
      <c r="G31" s="20"/>
      <c r="H31" s="20"/>
      <c r="I31" s="20"/>
      <c r="J31" s="20"/>
      <c r="K31" s="20"/>
      <c r="L31" s="20"/>
      <c r="M31" s="20"/>
      <c r="N31" s="20"/>
      <c r="O31" s="20"/>
      <c r="P31" s="20"/>
      <c r="Q31" s="20"/>
      <c r="R31" s="20"/>
      <c r="S31" s="20"/>
      <c r="T31" s="20"/>
      <c r="U31" s="20"/>
      <c r="V31" s="20"/>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row>
    <row r="32" spans="1:122" x14ac:dyDescent="0.15">
      <c r="A32" s="2" t="s">
        <v>14</v>
      </c>
      <c r="B32" s="53"/>
      <c r="C32" s="54">
        <f>C17/B17-1</f>
        <v>7.9123554473524038E-2</v>
      </c>
      <c r="D32" s="54">
        <f>D17/C17-1</f>
        <v>0.12013536379018608</v>
      </c>
      <c r="E32" s="54">
        <f t="shared" ref="E32:V32" si="44">E17/D17-1</f>
        <v>0.12953172205438057</v>
      </c>
      <c r="F32" s="54">
        <f t="shared" si="44"/>
        <v>0.1422266800401204</v>
      </c>
      <c r="G32" s="54">
        <f t="shared" si="44"/>
        <v>0.14436248682824027</v>
      </c>
      <c r="H32" s="54">
        <f t="shared" si="44"/>
        <v>0.14651933701657471</v>
      </c>
      <c r="I32" s="54">
        <f t="shared" si="44"/>
        <v>0.14868928296067851</v>
      </c>
      <c r="J32" s="54">
        <f t="shared" si="44"/>
        <v>0.15086418095781462</v>
      </c>
      <c r="K32" s="54">
        <f t="shared" si="44"/>
        <v>5.0000000000000044E-2</v>
      </c>
      <c r="L32" s="54">
        <f t="shared" si="44"/>
        <v>5.0000000000000044E-2</v>
      </c>
      <c r="M32" s="54">
        <f t="shared" si="44"/>
        <v>5.0000000000000044E-2</v>
      </c>
      <c r="N32" s="54">
        <f t="shared" si="44"/>
        <v>5.0000000000000044E-2</v>
      </c>
      <c r="O32" s="54">
        <f t="shared" si="44"/>
        <v>5.0000000000000044E-2</v>
      </c>
      <c r="P32" s="54">
        <f t="shared" si="44"/>
        <v>5.0000000000000044E-2</v>
      </c>
      <c r="Q32" s="54"/>
      <c r="R32" s="54"/>
      <c r="S32" s="54"/>
      <c r="T32" s="54"/>
      <c r="U32" s="54"/>
      <c r="V32" s="54"/>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row>
    <row r="33" spans="1:122" x14ac:dyDescent="0.15">
      <c r="A33" s="1" t="s">
        <v>38</v>
      </c>
      <c r="B33" s="53"/>
      <c r="C33" s="33">
        <f>C20/B20-1</f>
        <v>0.15615384615384609</v>
      </c>
      <c r="D33" s="33">
        <f>D20/C20-1</f>
        <v>0.16766467065868262</v>
      </c>
      <c r="E33" s="33">
        <f t="shared" ref="E33:V33" si="45">E20/D20-1</f>
        <v>0.12535612535612528</v>
      </c>
      <c r="F33" s="33">
        <f t="shared" si="45"/>
        <v>0.14999999999999991</v>
      </c>
      <c r="G33" s="33">
        <f t="shared" si="45"/>
        <v>0.14999999999999991</v>
      </c>
      <c r="H33" s="33">
        <f t="shared" si="45"/>
        <v>0.14999999999999991</v>
      </c>
      <c r="I33" s="33">
        <f t="shared" si="45"/>
        <v>0.14999999999999991</v>
      </c>
      <c r="J33" s="33">
        <f t="shared" si="45"/>
        <v>0.14999999999999991</v>
      </c>
      <c r="K33" s="33">
        <f t="shared" si="45"/>
        <v>4.9999999999999822E-2</v>
      </c>
      <c r="L33" s="33">
        <f t="shared" si="45"/>
        <v>5.0000000000000044E-2</v>
      </c>
      <c r="M33" s="33">
        <f t="shared" si="45"/>
        <v>5.0000000000000044E-2</v>
      </c>
      <c r="N33" s="33">
        <f t="shared" si="45"/>
        <v>5.0000000000000044E-2</v>
      </c>
      <c r="O33" s="33">
        <f t="shared" si="45"/>
        <v>5.0000000000000044E-2</v>
      </c>
      <c r="P33" s="33">
        <f t="shared" si="45"/>
        <v>5.0000000000000044E-2</v>
      </c>
      <c r="Q33" s="33"/>
      <c r="R33" s="33"/>
      <c r="S33" s="33"/>
      <c r="T33" s="33"/>
      <c r="U33" s="33"/>
      <c r="V33" s="33"/>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row>
    <row r="34" spans="1:122" x14ac:dyDescent="0.15">
      <c r="A34" s="1" t="s">
        <v>39</v>
      </c>
      <c r="B34" s="53"/>
      <c r="C34" s="33">
        <f t="shared" ref="C34:D35" si="46">C21/B21-1</f>
        <v>3.7902159541648217E-2</v>
      </c>
      <c r="D34" s="33">
        <f t="shared" si="46"/>
        <v>8.0679405520169833E-2</v>
      </c>
      <c r="E34" s="33">
        <f t="shared" ref="E34:V34" si="47">E21/D21-1</f>
        <v>0.14577603143418472</v>
      </c>
      <c r="F34" s="33">
        <f t="shared" si="47"/>
        <v>0.10000000000000009</v>
      </c>
      <c r="G34" s="33">
        <f t="shared" si="47"/>
        <v>0.10000000000000009</v>
      </c>
      <c r="H34" s="33">
        <f t="shared" si="47"/>
        <v>0.10000000000000009</v>
      </c>
      <c r="I34" s="33">
        <f t="shared" si="47"/>
        <v>9.9999999999999867E-2</v>
      </c>
      <c r="J34" s="33">
        <f t="shared" si="47"/>
        <v>0.10000000000000009</v>
      </c>
      <c r="K34" s="33">
        <f t="shared" si="47"/>
        <v>-1.9999999999999907E-2</v>
      </c>
      <c r="L34" s="33">
        <f t="shared" si="47"/>
        <v>-1.9999999999999907E-2</v>
      </c>
      <c r="M34" s="33">
        <f t="shared" si="47"/>
        <v>-2.0000000000000018E-2</v>
      </c>
      <c r="N34" s="33">
        <f t="shared" si="47"/>
        <v>-2.0000000000000018E-2</v>
      </c>
      <c r="O34" s="33">
        <f t="shared" si="47"/>
        <v>-2.0000000000000018E-2</v>
      </c>
      <c r="P34" s="33">
        <f t="shared" si="47"/>
        <v>-2.0000000000000129E-2</v>
      </c>
      <c r="Q34" s="33"/>
      <c r="R34" s="33"/>
      <c r="S34" s="33"/>
      <c r="T34" s="33"/>
      <c r="U34" s="33"/>
      <c r="V34" s="33"/>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row>
    <row r="35" spans="1:122" x14ac:dyDescent="0.15">
      <c r="A35" s="1" t="s">
        <v>40</v>
      </c>
      <c r="B35" s="53"/>
      <c r="C35" s="33">
        <f t="shared" si="46"/>
        <v>-5.9569074778200282E-2</v>
      </c>
      <c r="D35" s="33">
        <f t="shared" si="46"/>
        <v>2.2911051212938016E-2</v>
      </c>
      <c r="E35" s="33">
        <f t="shared" ref="E35:V35" si="48">E22/D22-1</f>
        <v>1.8445322793148922E-2</v>
      </c>
      <c r="F35" s="33">
        <f t="shared" si="48"/>
        <v>2.0000000000000018E-2</v>
      </c>
      <c r="G35" s="33">
        <f t="shared" si="48"/>
        <v>2.0000000000000018E-2</v>
      </c>
      <c r="H35" s="33">
        <f t="shared" si="48"/>
        <v>2.0000000000000018E-2</v>
      </c>
      <c r="I35" s="33">
        <f t="shared" si="48"/>
        <v>2.0000000000000018E-2</v>
      </c>
      <c r="J35" s="33">
        <f t="shared" si="48"/>
        <v>2.0000000000000018E-2</v>
      </c>
      <c r="K35" s="33">
        <f t="shared" si="48"/>
        <v>-1.9999999999999907E-2</v>
      </c>
      <c r="L35" s="33">
        <f t="shared" si="48"/>
        <v>-1.9999999999999907E-2</v>
      </c>
      <c r="M35" s="33">
        <f t="shared" si="48"/>
        <v>-2.0000000000000018E-2</v>
      </c>
      <c r="N35" s="33">
        <f t="shared" si="48"/>
        <v>-2.0000000000000018E-2</v>
      </c>
      <c r="O35" s="33">
        <f t="shared" si="48"/>
        <v>-2.0000000000000018E-2</v>
      </c>
      <c r="P35" s="33">
        <f t="shared" si="48"/>
        <v>-2.0000000000000129E-2</v>
      </c>
      <c r="Q35" s="33"/>
      <c r="R35" s="33"/>
      <c r="S35" s="33"/>
      <c r="T35" s="33"/>
      <c r="U35" s="33"/>
      <c r="V35" s="33"/>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row>
    <row r="36" spans="1:122" x14ac:dyDescent="0.15">
      <c r="B36" s="20"/>
      <c r="C36" s="20"/>
      <c r="D36" s="20"/>
      <c r="E36" s="20"/>
      <c r="F36" s="20"/>
      <c r="G36" s="20"/>
      <c r="H36" s="20"/>
      <c r="I36" s="20"/>
      <c r="J36" s="20"/>
      <c r="K36" s="20"/>
      <c r="L36" s="20"/>
      <c r="M36" s="20"/>
      <c r="N36" s="20"/>
      <c r="O36" s="20"/>
      <c r="P36" s="20"/>
      <c r="Q36" s="20"/>
      <c r="R36" s="20"/>
      <c r="S36" s="20"/>
      <c r="T36" s="20"/>
      <c r="U36" s="20"/>
      <c r="V36" s="20"/>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row>
    <row r="37" spans="1:122" x14ac:dyDescent="0.15">
      <c r="A37" s="1" t="s">
        <v>15</v>
      </c>
      <c r="B37" s="30">
        <f>IFERROR(B19/B17,0)</f>
        <v>0.84525258673158854</v>
      </c>
      <c r="C37" s="30">
        <f>IFERROR(C19/C17,0)</f>
        <v>0.85152284263959388</v>
      </c>
      <c r="D37" s="30">
        <f>IFERROR(D19/D17,0)</f>
        <v>0.8563695871097684</v>
      </c>
      <c r="E37" s="30">
        <f>IFERROR(E19/E17,0)</f>
        <v>0.85969018165607936</v>
      </c>
      <c r="F37" s="30">
        <f>IFERROR(F19/F17,0)</f>
        <v>0.85969018165607936</v>
      </c>
      <c r="G37" s="30">
        <f t="shared" ref="G37:V37" si="49">IFERROR(G19/G17,0)</f>
        <v>0.85969018165607924</v>
      </c>
      <c r="H37" s="30">
        <f t="shared" si="49"/>
        <v>0.85969018165607924</v>
      </c>
      <c r="I37" s="30">
        <f t="shared" si="49"/>
        <v>0.85969018165607924</v>
      </c>
      <c r="J37" s="30">
        <f t="shared" si="49"/>
        <v>0.85969018165607924</v>
      </c>
      <c r="K37" s="30">
        <f t="shared" si="49"/>
        <v>0.85969018165607924</v>
      </c>
      <c r="L37" s="30">
        <f t="shared" si="49"/>
        <v>0.85969018165607913</v>
      </c>
      <c r="M37" s="30">
        <f t="shared" si="49"/>
        <v>0.85969018165607913</v>
      </c>
      <c r="N37" s="30">
        <f t="shared" si="49"/>
        <v>0.85969018165607913</v>
      </c>
      <c r="O37" s="30">
        <f t="shared" si="49"/>
        <v>0.85969018165607913</v>
      </c>
      <c r="P37" s="30">
        <f t="shared" si="49"/>
        <v>0.85969018165607913</v>
      </c>
      <c r="Q37" s="30"/>
      <c r="R37" s="30"/>
      <c r="S37" s="30"/>
      <c r="T37" s="30"/>
      <c r="U37" s="30"/>
      <c r="V37" s="30"/>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row>
    <row r="38" spans="1:122" x14ac:dyDescent="0.15">
      <c r="A38" s="1" t="s">
        <v>16</v>
      </c>
      <c r="B38" s="33">
        <f>IFERROR(B24/B17,0)</f>
        <v>0.18213633597078516</v>
      </c>
      <c r="C38" s="33">
        <f>IFERROR(C24/C17,0)</f>
        <v>0.20290468133107728</v>
      </c>
      <c r="D38" s="33">
        <f>IFERROR(D24/D17,0)</f>
        <v>0.21953675730110775</v>
      </c>
      <c r="E38" s="33">
        <f>IFERROR(E24/E17,0)</f>
        <v>0.22846316727961663</v>
      </c>
      <c r="F38" s="33">
        <f t="shared" ref="F38:V38" si="50">IFERROR(F24/F17,0)</f>
        <v>0.24819757735525588</v>
      </c>
      <c r="G38" s="33">
        <f t="shared" si="50"/>
        <v>0.26759834787939285</v>
      </c>
      <c r="H38" s="33">
        <f t="shared" si="50"/>
        <v>0.28669484422913483</v>
      </c>
      <c r="I38" s="33">
        <f t="shared" si="50"/>
        <v>0.30550792315299147</v>
      </c>
      <c r="J38" s="33">
        <f t="shared" si="50"/>
        <v>0.32405068495101763</v>
      </c>
      <c r="K38" s="33">
        <f t="shared" si="50"/>
        <v>0.34486282633844284</v>
      </c>
      <c r="L38" s="33">
        <f t="shared" si="50"/>
        <v>0.36428749163337276</v>
      </c>
      <c r="M38" s="33">
        <f t="shared" si="50"/>
        <v>0.38241717924197433</v>
      </c>
      <c r="N38" s="33">
        <f t="shared" si="50"/>
        <v>0.39933822101000244</v>
      </c>
      <c r="O38" s="33">
        <f t="shared" si="50"/>
        <v>0.41513119332682857</v>
      </c>
      <c r="P38" s="33">
        <f t="shared" si="50"/>
        <v>0.429871300822533</v>
      </c>
      <c r="Q38" s="33"/>
      <c r="R38" s="33"/>
      <c r="S38" s="33"/>
      <c r="T38" s="33"/>
      <c r="U38" s="33"/>
      <c r="V38" s="33"/>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row>
    <row r="39" spans="1:122" x14ac:dyDescent="0.15">
      <c r="A39" s="1" t="s">
        <v>17</v>
      </c>
      <c r="B39" s="33">
        <f>IFERROR(B27/B26,0)</f>
        <v>0.17765869744435284</v>
      </c>
      <c r="C39" s="33">
        <f>IFERROR(C27/C26,0)</f>
        <v>0.19484046164290564</v>
      </c>
      <c r="D39" s="33">
        <f>IFERROR(D27/D26,0)</f>
        <v>0.14731133408705482</v>
      </c>
      <c r="E39" s="33">
        <f t="shared" ref="E39:V39" si="51">IFERROR(E27/E26,0)</f>
        <v>0.15990287894554284</v>
      </c>
      <c r="F39" s="33">
        <f t="shared" si="51"/>
        <v>0.2</v>
      </c>
      <c r="G39" s="33">
        <f t="shared" si="51"/>
        <v>0.2</v>
      </c>
      <c r="H39" s="33">
        <f t="shared" si="51"/>
        <v>0.2</v>
      </c>
      <c r="I39" s="33">
        <f t="shared" si="51"/>
        <v>0.2</v>
      </c>
      <c r="J39" s="33">
        <f t="shared" si="51"/>
        <v>0.2</v>
      </c>
      <c r="K39" s="33">
        <f t="shared" si="51"/>
        <v>0.2</v>
      </c>
      <c r="L39" s="33">
        <f t="shared" si="51"/>
        <v>0.2</v>
      </c>
      <c r="M39" s="33">
        <f t="shared" si="51"/>
        <v>0.2</v>
      </c>
      <c r="N39" s="33">
        <f t="shared" si="51"/>
        <v>0.2</v>
      </c>
      <c r="O39" s="33">
        <f t="shared" si="51"/>
        <v>0.2</v>
      </c>
      <c r="P39" s="33">
        <f t="shared" si="51"/>
        <v>0.2</v>
      </c>
      <c r="Q39" s="33"/>
      <c r="R39" s="33"/>
      <c r="S39" s="33"/>
      <c r="T39" s="33"/>
      <c r="U39" s="33"/>
      <c r="V39" s="33"/>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row>
    <row r="40" spans="1:122" x14ac:dyDescent="0.15">
      <c r="B40" s="20"/>
      <c r="C40" s="20"/>
      <c r="D40" s="20"/>
      <c r="E40" s="20"/>
      <c r="F40" s="20"/>
      <c r="G40" s="20"/>
      <c r="H40" s="20"/>
      <c r="I40" s="20"/>
      <c r="J40" s="20"/>
      <c r="K40" s="20"/>
      <c r="L40" s="20"/>
      <c r="M40" s="20"/>
      <c r="N40" s="20"/>
      <c r="O40" s="20"/>
      <c r="P40" s="20"/>
      <c r="Q40" s="20"/>
      <c r="R40" s="20"/>
      <c r="S40" s="20"/>
      <c r="T40" s="20"/>
      <c r="U40" s="20"/>
      <c r="V40" s="20"/>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row>
    <row r="41" spans="1:122" x14ac:dyDescent="0.15">
      <c r="A41" s="2" t="s">
        <v>22</v>
      </c>
      <c r="B41" s="36">
        <f>B42-B43</f>
        <v>7509</v>
      </c>
      <c r="C41" s="36">
        <f>C42-C43</f>
        <v>7985</v>
      </c>
      <c r="D41" s="36">
        <f>D42-D43</f>
        <v>7419</v>
      </c>
      <c r="E41" s="36">
        <f>E42-E43</f>
        <v>-1393</v>
      </c>
      <c r="F41" s="21">
        <f>E41+F28</f>
        <v>619.77328786359112</v>
      </c>
      <c r="G41" s="21">
        <f>F41+G28</f>
        <v>3140.5756625556673</v>
      </c>
      <c r="H41" s="21">
        <f t="shared" ref="E41:V41" si="52">G41+H28</f>
        <v>6275.0412187750135</v>
      </c>
      <c r="I41" s="21">
        <f t="shared" si="52"/>
        <v>10150.72910506</v>
      </c>
      <c r="J41" s="21">
        <f t="shared" si="52"/>
        <v>14921.693257587467</v>
      </c>
      <c r="K41" s="21">
        <f t="shared" si="52"/>
        <v>20310.203751666624</v>
      </c>
      <c r="L41" s="21">
        <f t="shared" si="52"/>
        <v>26346.986208702474</v>
      </c>
      <c r="M41" s="21">
        <f t="shared" si="52"/>
        <v>33064.424417355833</v>
      </c>
      <c r="N41" s="21">
        <f t="shared" si="52"/>
        <v>40496.642705818733</v>
      </c>
      <c r="O41" s="21">
        <f t="shared" si="52"/>
        <v>48679.592473851575</v>
      </c>
      <c r="P41" s="21">
        <f t="shared" si="52"/>
        <v>57651.143092233899</v>
      </c>
      <c r="Q41" s="21"/>
      <c r="R41" s="21"/>
      <c r="S41" s="21"/>
      <c r="T41" s="21"/>
      <c r="U41" s="21"/>
      <c r="V41" s="21"/>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row>
    <row r="42" spans="1:122" x14ac:dyDescent="0.15">
      <c r="A42" s="1" t="s">
        <v>23</v>
      </c>
      <c r="B42" s="16">
        <f>Reports!E35</f>
        <v>7509</v>
      </c>
      <c r="C42" s="16">
        <f>Reports!I35</f>
        <v>7985</v>
      </c>
      <c r="D42" s="16">
        <f>Reports!M35</f>
        <v>11653</v>
      </c>
      <c r="E42" s="16">
        <f>Reports!Q35</f>
        <v>2849</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row>
    <row r="43" spans="1:122" x14ac:dyDescent="0.15">
      <c r="A43" s="1" t="s">
        <v>24</v>
      </c>
      <c r="B43" s="16">
        <f>Reports!E36</f>
        <v>0</v>
      </c>
      <c r="C43" s="16">
        <f>Reports!I36</f>
        <v>0</v>
      </c>
      <c r="D43" s="16">
        <f>Reports!M36</f>
        <v>4234</v>
      </c>
      <c r="E43" s="16">
        <f>Reports!Q36</f>
        <v>4242</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row>
    <row r="44" spans="1:122" x14ac:dyDescent="0.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row>
    <row r="45" spans="1:122" x14ac:dyDescent="0.15">
      <c r="A45" s="1" t="s">
        <v>55</v>
      </c>
      <c r="B45" s="15"/>
      <c r="C45" s="15"/>
      <c r="D45" s="16">
        <f>Reports!M38</f>
        <v>5145</v>
      </c>
      <c r="E45" s="16">
        <f>Reports!Q38</f>
        <v>5922</v>
      </c>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row>
    <row r="46" spans="1:122" x14ac:dyDescent="0.15">
      <c r="A46" s="1" t="s">
        <v>56</v>
      </c>
      <c r="B46" s="15"/>
      <c r="C46" s="15"/>
      <c r="D46" s="16">
        <f>Reports!M39</f>
        <v>21206</v>
      </c>
      <c r="E46" s="16">
        <f>Reports!Q39</f>
        <v>14662</v>
      </c>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row>
    <row r="47" spans="1:122" x14ac:dyDescent="0.15">
      <c r="A47" s="1" t="s">
        <v>57</v>
      </c>
      <c r="B47" s="15"/>
      <c r="C47" s="15"/>
      <c r="D47" s="16">
        <f>Reports!M40</f>
        <v>12582</v>
      </c>
      <c r="E47" s="16">
        <f>Reports!Q40</f>
        <v>14111</v>
      </c>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row>
    <row r="48" spans="1:122" x14ac:dyDescent="0.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row>
    <row r="49" spans="1:122" x14ac:dyDescent="0.15">
      <c r="A49" s="1" t="s">
        <v>58</v>
      </c>
      <c r="B49" s="15"/>
      <c r="C49" s="15"/>
      <c r="D49" s="41">
        <f>D46-D45-D42</f>
        <v>4408</v>
      </c>
      <c r="E49" s="41">
        <f>E46-E45-E42</f>
        <v>5891</v>
      </c>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row>
    <row r="50" spans="1:122" x14ac:dyDescent="0.15">
      <c r="A50" s="1" t="s">
        <v>59</v>
      </c>
      <c r="B50" s="15"/>
      <c r="C50" s="15"/>
      <c r="D50" s="41">
        <f>D46-D47</f>
        <v>8624</v>
      </c>
      <c r="E50" s="41">
        <f>E46-E47</f>
        <v>551</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row>
    <row r="51" spans="1:122" x14ac:dyDescent="0.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row>
    <row r="52" spans="1:122" x14ac:dyDescent="0.15">
      <c r="A52" s="13" t="s">
        <v>60</v>
      </c>
      <c r="B52" s="15"/>
      <c r="C52" s="15"/>
      <c r="D52" s="32">
        <f>D28/D50</f>
        <v>0.18350999117978042</v>
      </c>
      <c r="E52" s="32">
        <f>E28/E50</f>
        <v>4.3956442831215972</v>
      </c>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row>
    <row r="53" spans="1:122" x14ac:dyDescent="0.15">
      <c r="A53" s="13" t="s">
        <v>61</v>
      </c>
      <c r="B53" s="15"/>
      <c r="C53" s="15"/>
      <c r="D53" s="32">
        <f>D28/D46</f>
        <v>7.4629357914478278E-2</v>
      </c>
      <c r="E53" s="32">
        <f>E28/E46</f>
        <v>0.16518892374846542</v>
      </c>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row>
    <row r="54" spans="1:122" x14ac:dyDescent="0.15">
      <c r="A54" s="13" t="s">
        <v>62</v>
      </c>
      <c r="B54" s="15"/>
      <c r="C54" s="15"/>
      <c r="D54" s="32">
        <f>D28/(D50-D45)</f>
        <v>0.45489800630480781</v>
      </c>
      <c r="E54" s="32">
        <f>E28/(E50-E45)</f>
        <v>-0.45094023459318561</v>
      </c>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row>
    <row r="55" spans="1:122" x14ac:dyDescent="0.15">
      <c r="A55" s="13" t="s">
        <v>63</v>
      </c>
      <c r="B55" s="15"/>
      <c r="C55" s="15"/>
      <c r="D55" s="32">
        <f>D28/D49</f>
        <v>0.35902680670018744</v>
      </c>
      <c r="E55" s="32">
        <f>E28/E49</f>
        <v>0.41113563062298419</v>
      </c>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row>
    <row r="56" spans="1:122" x14ac:dyDescent="0.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row>
    <row r="57" spans="1:122" x14ac:dyDescent="0.15">
      <c r="A57" s="1" t="s">
        <v>66</v>
      </c>
      <c r="B57" s="15"/>
      <c r="C57" s="15"/>
      <c r="D57" s="32">
        <f>D11/C11-1</f>
        <v>0.16320687186828908</v>
      </c>
      <c r="E57" s="32">
        <f>E11/D11-1</f>
        <v>0.16584615384615375</v>
      </c>
      <c r="F57" s="32">
        <f t="shared" ref="F57:J57" si="53">F11/E11-1</f>
        <v>0.19999999999999996</v>
      </c>
      <c r="G57" s="32">
        <f t="shared" si="53"/>
        <v>0.19999999999999996</v>
      </c>
      <c r="H57" s="32">
        <f t="shared" si="53"/>
        <v>0.19999999999999996</v>
      </c>
      <c r="I57" s="32">
        <f t="shared" si="53"/>
        <v>0.19999999999999996</v>
      </c>
      <c r="J57" s="32">
        <f t="shared" si="53"/>
        <v>0.19999999999999996</v>
      </c>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row>
    <row r="58" spans="1:122" x14ac:dyDescent="0.15">
      <c r="A58" s="1" t="s">
        <v>68</v>
      </c>
      <c r="B58" s="15"/>
      <c r="C58" s="15"/>
      <c r="D58" s="32">
        <f>D12/C12-1</f>
        <v>9.213587715216387E-2</v>
      </c>
      <c r="E58" s="32">
        <f>E12/D12-1</f>
        <v>0.10438858116744787</v>
      </c>
      <c r="F58" s="32">
        <f t="shared" ref="F58:J58" si="54">F12/E12-1</f>
        <v>0.10000000000000009</v>
      </c>
      <c r="G58" s="32">
        <f t="shared" si="54"/>
        <v>0.10000000000000009</v>
      </c>
      <c r="H58" s="32">
        <f t="shared" si="54"/>
        <v>0.10000000000000009</v>
      </c>
      <c r="I58" s="32">
        <f t="shared" si="54"/>
        <v>0.10000000000000009</v>
      </c>
      <c r="J58" s="32">
        <f t="shared" si="54"/>
        <v>0.10000000000000009</v>
      </c>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row>
    <row r="59" spans="1:122" x14ac:dyDescent="0.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row>
    <row r="60" spans="1:122" x14ac:dyDescent="0.15">
      <c r="A60" s="14" t="s">
        <v>64</v>
      </c>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row>
    <row r="61" spans="1:122" x14ac:dyDescent="0.15">
      <c r="A61" s="14" t="s">
        <v>65</v>
      </c>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row>
  </sheetData>
  <phoneticPr fontId="4" type="noConversion"/>
  <hyperlinks>
    <hyperlink ref="A4" r:id="rId1" display="Pat Gelsinger (CEO)"/>
    <hyperlink ref="A1" r:id="rId2"/>
    <hyperlink ref="A7" r:id="rId3"/>
    <hyperlink ref="A8" r:id="rId4"/>
  </hyperlinks>
  <pageMargins left="0.7" right="0.7" top="0.75" bottom="0.75" header="0.3" footer="0.3"/>
  <pageSetup paperSize="9" orientation="portrait" horizontalDpi="0" verticalDpi="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workbookViewId="0">
      <pane xSplit="1" ySplit="2" topLeftCell="J12" activePane="bottomRight" state="frozen"/>
      <selection pane="topRight" activeCell="B1" sqref="B1"/>
      <selection pane="bottomLeft" activeCell="A3" sqref="A3"/>
      <selection pane="bottomRight" activeCell="L6" sqref="L6"/>
    </sheetView>
  </sheetViews>
  <sheetFormatPr baseColWidth="10" defaultRowHeight="13" x14ac:dyDescent="0.15"/>
  <cols>
    <col min="1" max="1" width="22.5" style="1" bestFit="1" customWidth="1"/>
    <col min="2" max="5" width="10.83203125" style="15" customWidth="1"/>
    <col min="6" max="6" width="10.83203125" style="19" customWidth="1"/>
    <col min="7" max="8" width="10.83203125" style="15" customWidth="1"/>
    <col min="9" max="9" width="10.83203125" style="15"/>
    <col min="10" max="10" width="10.83203125" style="19"/>
    <col min="11" max="11" width="10.83203125" style="15" customWidth="1"/>
    <col min="12" max="13" width="10.83203125" style="15"/>
    <col min="14" max="14" width="10.83203125" style="19"/>
    <col min="15" max="17" width="10.83203125" style="15"/>
    <col min="18" max="18" width="10.83203125" style="19"/>
    <col min="19" max="26" width="10.83203125" style="15"/>
    <col min="27" max="16384" width="10.83203125" style="1"/>
  </cols>
  <sheetData>
    <row r="1" spans="1:26" x14ac:dyDescent="0.15">
      <c r="A1" s="5" t="s">
        <v>70</v>
      </c>
      <c r="B1" s="15" t="s">
        <v>34</v>
      </c>
      <c r="C1" s="15" t="s">
        <v>35</v>
      </c>
      <c r="D1" s="15" t="s">
        <v>36</v>
      </c>
      <c r="E1" s="15" t="s">
        <v>37</v>
      </c>
      <c r="F1" s="19" t="s">
        <v>18</v>
      </c>
      <c r="G1" s="15" t="s">
        <v>19</v>
      </c>
      <c r="H1" s="15" t="s">
        <v>20</v>
      </c>
      <c r="I1" s="15" t="s">
        <v>21</v>
      </c>
      <c r="J1" s="17" t="s">
        <v>30</v>
      </c>
      <c r="K1" s="16" t="s">
        <v>31</v>
      </c>
      <c r="L1" s="16" t="s">
        <v>32</v>
      </c>
      <c r="M1" s="16" t="s">
        <v>33</v>
      </c>
      <c r="N1" s="17" t="s">
        <v>74</v>
      </c>
      <c r="O1" s="16" t="s">
        <v>75</v>
      </c>
      <c r="P1" s="16" t="s">
        <v>76</v>
      </c>
      <c r="Q1" s="16" t="s">
        <v>77</v>
      </c>
    </row>
    <row r="2" spans="1:26" x14ac:dyDescent="0.15">
      <c r="A2" s="5"/>
      <c r="B2" s="15" t="s">
        <v>52</v>
      </c>
      <c r="C2" s="15" t="s">
        <v>51</v>
      </c>
      <c r="D2" s="15" t="s">
        <v>50</v>
      </c>
      <c r="E2" s="15" t="s">
        <v>49</v>
      </c>
      <c r="F2" s="19" t="s">
        <v>47</v>
      </c>
      <c r="G2" s="15" t="s">
        <v>45</v>
      </c>
      <c r="H2" s="15" t="s">
        <v>42</v>
      </c>
      <c r="I2" s="15" t="s">
        <v>48</v>
      </c>
      <c r="J2" s="19" t="s">
        <v>46</v>
      </c>
      <c r="K2" s="15" t="s">
        <v>44</v>
      </c>
      <c r="L2" s="15" t="s">
        <v>41</v>
      </c>
      <c r="M2" s="15" t="s">
        <v>72</v>
      </c>
      <c r="N2" s="19" t="s">
        <v>81</v>
      </c>
      <c r="O2" s="15" t="s">
        <v>80</v>
      </c>
      <c r="P2" s="15" t="s">
        <v>79</v>
      </c>
      <c r="Q2" s="15" t="s">
        <v>73</v>
      </c>
    </row>
    <row r="3" spans="1:26" x14ac:dyDescent="0.15">
      <c r="A3" s="1" t="s">
        <v>43</v>
      </c>
      <c r="B3" s="16">
        <v>576</v>
      </c>
      <c r="C3" s="16">
        <v>638</v>
      </c>
      <c r="D3" s="16">
        <v>681</v>
      </c>
      <c r="E3" s="16">
        <v>825</v>
      </c>
      <c r="F3" s="17">
        <v>572</v>
      </c>
      <c r="G3" s="16">
        <v>644</v>
      </c>
      <c r="H3" s="16">
        <v>691</v>
      </c>
      <c r="I3" s="16">
        <v>887</v>
      </c>
      <c r="J3" s="17">
        <v>641</v>
      </c>
      <c r="K3" s="16">
        <v>783</v>
      </c>
      <c r="L3" s="16">
        <v>758</v>
      </c>
      <c r="M3" s="18">
        <v>1068</v>
      </c>
      <c r="N3" s="17">
        <v>774</v>
      </c>
      <c r="O3" s="18">
        <v>900</v>
      </c>
      <c r="P3" s="18">
        <v>884</v>
      </c>
      <c r="Q3" s="18">
        <v>1231</v>
      </c>
    </row>
    <row r="4" spans="1:26" x14ac:dyDescent="0.15">
      <c r="A4" s="1" t="s">
        <v>67</v>
      </c>
      <c r="B4" s="16">
        <v>935</v>
      </c>
      <c r="C4" s="16">
        <f>959-76</f>
        <v>883</v>
      </c>
      <c r="D4" s="16">
        <v>991</v>
      </c>
      <c r="E4" s="16">
        <v>1043</v>
      </c>
      <c r="F4" s="17">
        <v>1017</v>
      </c>
      <c r="G4" s="16">
        <v>1049</v>
      </c>
      <c r="H4" s="16">
        <v>1087</v>
      </c>
      <c r="I4" s="16">
        <v>1145</v>
      </c>
      <c r="J4" s="17">
        <v>1124</v>
      </c>
      <c r="K4" s="16">
        <v>1149</v>
      </c>
      <c r="L4" s="16">
        <v>1180</v>
      </c>
      <c r="M4" s="18">
        <v>1241</v>
      </c>
      <c r="N4" s="17">
        <v>1234</v>
      </c>
      <c r="O4" s="18">
        <v>1274</v>
      </c>
      <c r="P4" s="18">
        <v>1316</v>
      </c>
      <c r="Q4" s="18">
        <v>1360</v>
      </c>
    </row>
    <row r="5" spans="1:26" x14ac:dyDescent="0.15">
      <c r="B5" s="16"/>
      <c r="C5" s="16"/>
      <c r="D5" s="16"/>
      <c r="E5" s="16"/>
      <c r="F5" s="17"/>
      <c r="G5" s="16"/>
      <c r="H5" s="16"/>
      <c r="I5" s="16"/>
      <c r="J5" s="17"/>
      <c r="K5" s="16"/>
      <c r="L5" s="16"/>
      <c r="M5" s="18"/>
      <c r="N5" s="17"/>
      <c r="O5" s="18"/>
      <c r="P5" s="18"/>
      <c r="Q5" s="18"/>
    </row>
    <row r="6" spans="1:26" x14ac:dyDescent="0.15">
      <c r="A6" s="1" t="s">
        <v>53</v>
      </c>
      <c r="B6" s="16"/>
      <c r="C6" s="16"/>
      <c r="D6" s="16"/>
      <c r="E6" s="16"/>
      <c r="F6" s="17"/>
      <c r="G6" s="16"/>
      <c r="H6" s="16"/>
      <c r="I6" s="16"/>
      <c r="J6" s="17"/>
      <c r="K6" s="16"/>
      <c r="L6" s="16"/>
      <c r="M6" s="18"/>
      <c r="N6" s="17"/>
      <c r="O6" s="18"/>
      <c r="P6" s="18"/>
      <c r="Q6" s="18"/>
    </row>
    <row r="7" spans="1:26" x14ac:dyDescent="0.15">
      <c r="A7" s="1" t="s">
        <v>54</v>
      </c>
      <c r="B7" s="16"/>
      <c r="C7" s="16"/>
      <c r="D7" s="16"/>
      <c r="E7" s="16"/>
      <c r="F7" s="17"/>
      <c r="G7" s="16"/>
      <c r="H7" s="16"/>
      <c r="I7" s="16"/>
      <c r="J7" s="17"/>
      <c r="K7" s="16"/>
      <c r="L7" s="16"/>
      <c r="M7" s="18"/>
      <c r="N7" s="17"/>
      <c r="O7" s="18"/>
      <c r="P7" s="18"/>
      <c r="Q7" s="18"/>
    </row>
    <row r="8" spans="1:26" x14ac:dyDescent="0.15">
      <c r="I8" s="16"/>
      <c r="K8" s="20"/>
      <c r="L8" s="20"/>
      <c r="M8" s="20"/>
      <c r="O8" s="20"/>
      <c r="P8" s="20"/>
      <c r="Q8" s="20"/>
    </row>
    <row r="9" spans="1:26" s="2" customFormat="1" x14ac:dyDescent="0.15">
      <c r="A9" s="2" t="s">
        <v>0</v>
      </c>
      <c r="B9" s="36">
        <f>SUM(B3:B4)</f>
        <v>1511</v>
      </c>
      <c r="C9" s="36">
        <f t="shared" ref="C9:M9" si="0">SUM(C3:C4)</f>
        <v>1521</v>
      </c>
      <c r="D9" s="36">
        <f t="shared" si="0"/>
        <v>1672</v>
      </c>
      <c r="E9" s="36">
        <f t="shared" si="0"/>
        <v>1868</v>
      </c>
      <c r="F9" s="37">
        <f t="shared" si="0"/>
        <v>1589</v>
      </c>
      <c r="G9" s="38">
        <f t="shared" si="0"/>
        <v>1693</v>
      </c>
      <c r="H9" s="38">
        <f>SUM(H3:H4)</f>
        <v>1778</v>
      </c>
      <c r="I9" s="38">
        <f t="shared" si="0"/>
        <v>2032</v>
      </c>
      <c r="J9" s="37">
        <f t="shared" si="0"/>
        <v>1765</v>
      </c>
      <c r="K9" s="36">
        <f t="shared" si="0"/>
        <v>1932</v>
      </c>
      <c r="L9" s="36">
        <f t="shared" si="0"/>
        <v>1938</v>
      </c>
      <c r="M9" s="36">
        <f t="shared" si="0"/>
        <v>2309</v>
      </c>
      <c r="N9" s="37">
        <f>SUM(N3:N4)</f>
        <v>2008</v>
      </c>
      <c r="O9" s="36">
        <f>SUM(O3:O4)</f>
        <v>2174</v>
      </c>
      <c r="P9" s="36">
        <f>SUM(P3:P4)</f>
        <v>2200</v>
      </c>
      <c r="Q9" s="36">
        <f>SUM(Q3:Q4)</f>
        <v>2591</v>
      </c>
      <c r="R9" s="47"/>
      <c r="S9" s="24"/>
      <c r="T9" s="24"/>
      <c r="U9" s="24"/>
      <c r="V9" s="24"/>
      <c r="W9" s="24"/>
      <c r="X9" s="24"/>
      <c r="Y9" s="24"/>
      <c r="Z9" s="24"/>
    </row>
    <row r="10" spans="1:26" x14ac:dyDescent="0.15">
      <c r="A10" s="1" t="s">
        <v>1</v>
      </c>
      <c r="B10" s="18">
        <f>50+193</f>
        <v>243</v>
      </c>
      <c r="C10" s="18">
        <f>46+204</f>
        <v>250</v>
      </c>
      <c r="D10" s="18">
        <f>46+212</f>
        <v>258</v>
      </c>
      <c r="E10" s="18">
        <f>44+222</f>
        <v>266</v>
      </c>
      <c r="F10" s="17">
        <f>40+211</f>
        <v>251</v>
      </c>
      <c r="G10" s="16">
        <f>40+221</f>
        <v>261</v>
      </c>
      <c r="H10" s="16">
        <f>40+226</f>
        <v>266</v>
      </c>
      <c r="I10" s="16">
        <f>38+237</f>
        <v>275</v>
      </c>
      <c r="J10" s="17">
        <f>39+250</f>
        <v>289</v>
      </c>
      <c r="K10" s="18">
        <f>39+231</f>
        <v>270</v>
      </c>
      <c r="L10" s="18">
        <f>38+240</f>
        <v>278</v>
      </c>
      <c r="M10" s="18">
        <f>41+263</f>
        <v>304</v>
      </c>
      <c r="N10" s="17">
        <f>45+251</f>
        <v>296</v>
      </c>
      <c r="O10" s="18">
        <f>45+260</f>
        <v>305</v>
      </c>
      <c r="P10" s="18">
        <f>49+266</f>
        <v>315</v>
      </c>
      <c r="Q10" s="18">
        <f>52+291</f>
        <v>343</v>
      </c>
    </row>
    <row r="11" spans="1:26" x14ac:dyDescent="0.15">
      <c r="A11" s="1" t="s">
        <v>2</v>
      </c>
      <c r="B11" s="39">
        <f>B9-B10</f>
        <v>1268</v>
      </c>
      <c r="C11" s="39">
        <f>C9-C10</f>
        <v>1271</v>
      </c>
      <c r="D11" s="39">
        <f>D9-D10</f>
        <v>1414</v>
      </c>
      <c r="E11" s="39">
        <f>E9-E10</f>
        <v>1602</v>
      </c>
      <c r="F11" s="40">
        <f>F9-F10</f>
        <v>1338</v>
      </c>
      <c r="G11" s="41">
        <f t="shared" ref="G11:M11" si="1">G9-G10</f>
        <v>1432</v>
      </c>
      <c r="H11" s="41">
        <f t="shared" si="1"/>
        <v>1512</v>
      </c>
      <c r="I11" s="41">
        <f t="shared" si="1"/>
        <v>1757</v>
      </c>
      <c r="J11" s="40">
        <f t="shared" si="1"/>
        <v>1476</v>
      </c>
      <c r="K11" s="39">
        <f t="shared" si="1"/>
        <v>1662</v>
      </c>
      <c r="L11" s="39">
        <f t="shared" si="1"/>
        <v>1660</v>
      </c>
      <c r="M11" s="39">
        <f t="shared" si="1"/>
        <v>2005</v>
      </c>
      <c r="N11" s="40">
        <f>N9-N10</f>
        <v>1712</v>
      </c>
      <c r="O11" s="39">
        <f>O9-O10</f>
        <v>1869</v>
      </c>
      <c r="P11" s="39">
        <f t="shared" ref="P11:Q11" si="2">P9-P10</f>
        <v>1885</v>
      </c>
      <c r="Q11" s="39">
        <f t="shared" si="2"/>
        <v>2248</v>
      </c>
    </row>
    <row r="12" spans="1:26" x14ac:dyDescent="0.15">
      <c r="A12" s="1" t="s">
        <v>3</v>
      </c>
      <c r="B12" s="18">
        <v>305</v>
      </c>
      <c r="C12" s="18">
        <v>322</v>
      </c>
      <c r="D12" s="18">
        <v>331</v>
      </c>
      <c r="E12" s="18">
        <v>342</v>
      </c>
      <c r="F12" s="17">
        <v>356</v>
      </c>
      <c r="G12" s="16">
        <v>363</v>
      </c>
      <c r="H12" s="16">
        <v>389</v>
      </c>
      <c r="I12" s="16">
        <v>395</v>
      </c>
      <c r="J12" s="17">
        <v>421</v>
      </c>
      <c r="K12" s="18">
        <v>428</v>
      </c>
      <c r="L12" s="18">
        <v>449</v>
      </c>
      <c r="M12" s="18">
        <v>457</v>
      </c>
      <c r="N12" s="17">
        <v>453</v>
      </c>
      <c r="O12" s="18">
        <v>481</v>
      </c>
      <c r="P12" s="18">
        <v>499</v>
      </c>
      <c r="Q12" s="18">
        <v>542</v>
      </c>
    </row>
    <row r="13" spans="1:26" x14ac:dyDescent="0.15">
      <c r="A13" s="1" t="s">
        <v>4</v>
      </c>
      <c r="B13" s="18">
        <v>536</v>
      </c>
      <c r="C13" s="18">
        <v>565</v>
      </c>
      <c r="D13" s="18">
        <v>556</v>
      </c>
      <c r="E13" s="18">
        <v>612</v>
      </c>
      <c r="F13" s="17">
        <v>565</v>
      </c>
      <c r="G13" s="16">
        <v>580</v>
      </c>
      <c r="H13" s="16">
        <v>564</v>
      </c>
      <c r="I13" s="16">
        <v>646</v>
      </c>
      <c r="J13" s="17">
        <v>579</v>
      </c>
      <c r="K13" s="18">
        <v>613</v>
      </c>
      <c r="L13" s="18">
        <v>624</v>
      </c>
      <c r="M13" s="18">
        <v>729</v>
      </c>
      <c r="N13" s="17">
        <v>706</v>
      </c>
      <c r="O13" s="18">
        <v>696</v>
      </c>
      <c r="P13" s="18">
        <v>707</v>
      </c>
      <c r="Q13" s="18">
        <v>807</v>
      </c>
    </row>
    <row r="14" spans="1:26" x14ac:dyDescent="0.15">
      <c r="A14" s="1" t="s">
        <v>5</v>
      </c>
      <c r="B14" s="18">
        <f>187+22</f>
        <v>209</v>
      </c>
      <c r="C14" s="18">
        <f>180-2</f>
        <v>178</v>
      </c>
      <c r="D14" s="18">
        <v>201</v>
      </c>
      <c r="E14" s="18">
        <f>198+3</f>
        <v>201</v>
      </c>
      <c r="F14" s="17">
        <f>172+53</f>
        <v>225</v>
      </c>
      <c r="G14" s="16">
        <f>167-1</f>
        <v>166</v>
      </c>
      <c r="H14" s="16">
        <v>178</v>
      </c>
      <c r="I14" s="16">
        <v>173</v>
      </c>
      <c r="J14" s="17">
        <f>151+64</f>
        <v>215</v>
      </c>
      <c r="K14" s="18">
        <f>160+36</f>
        <v>196</v>
      </c>
      <c r="L14" s="18">
        <f>175+2</f>
        <v>177</v>
      </c>
      <c r="M14" s="18">
        <f>169+2</f>
        <v>171</v>
      </c>
      <c r="N14" s="17">
        <f>169+2</f>
        <v>171</v>
      </c>
      <c r="O14" s="18">
        <f>182+1</f>
        <v>183</v>
      </c>
      <c r="P14" s="18">
        <f>178+6</f>
        <v>184</v>
      </c>
      <c r="Q14" s="18">
        <v>235</v>
      </c>
    </row>
    <row r="15" spans="1:26" x14ac:dyDescent="0.15">
      <c r="A15" s="1" t="s">
        <v>6</v>
      </c>
      <c r="B15" s="39">
        <f>SUM(B12:B14)</f>
        <v>1050</v>
      </c>
      <c r="C15" s="39">
        <f>SUM(C12:C14)</f>
        <v>1065</v>
      </c>
      <c r="D15" s="39">
        <f>SUM(D12:D14)</f>
        <v>1088</v>
      </c>
      <c r="E15" s="39">
        <f>SUM(E12:E14)</f>
        <v>1155</v>
      </c>
      <c r="F15" s="40">
        <f>SUM(F12:F14)</f>
        <v>1146</v>
      </c>
      <c r="G15" s="41">
        <f t="shared" ref="G15:L15" si="3">SUM(G12:G14)</f>
        <v>1109</v>
      </c>
      <c r="H15" s="41">
        <f t="shared" si="3"/>
        <v>1131</v>
      </c>
      <c r="I15" s="41">
        <f t="shared" si="3"/>
        <v>1214</v>
      </c>
      <c r="J15" s="40">
        <f t="shared" si="3"/>
        <v>1215</v>
      </c>
      <c r="K15" s="39">
        <f t="shared" si="3"/>
        <v>1237</v>
      </c>
      <c r="L15" s="39">
        <f t="shared" si="3"/>
        <v>1250</v>
      </c>
      <c r="M15" s="39">
        <f t="shared" ref="M15" si="4">SUM(M12:M14)</f>
        <v>1357</v>
      </c>
      <c r="N15" s="40">
        <f t="shared" ref="N15:O15" si="5">SUM(N12:N14)</f>
        <v>1330</v>
      </c>
      <c r="O15" s="39">
        <f t="shared" si="5"/>
        <v>1360</v>
      </c>
      <c r="P15" s="39">
        <f t="shared" ref="P15:Q15" si="6">SUM(P12:P14)</f>
        <v>1390</v>
      </c>
      <c r="Q15" s="39">
        <f t="shared" si="6"/>
        <v>1584</v>
      </c>
    </row>
    <row r="16" spans="1:26" x14ac:dyDescent="0.15">
      <c r="A16" s="1" t="s">
        <v>7</v>
      </c>
      <c r="B16" s="39">
        <f>B11-B15</f>
        <v>218</v>
      </c>
      <c r="C16" s="39">
        <f>C11-C15</f>
        <v>206</v>
      </c>
      <c r="D16" s="39">
        <f>D11-D15</f>
        <v>326</v>
      </c>
      <c r="E16" s="39">
        <f>E11-E15</f>
        <v>447</v>
      </c>
      <c r="F16" s="40">
        <f>F11-F15</f>
        <v>192</v>
      </c>
      <c r="G16" s="41">
        <f t="shared" ref="G16" si="7">G11-G15</f>
        <v>323</v>
      </c>
      <c r="H16" s="41">
        <f t="shared" ref="H16:L16" si="8">H11-H15</f>
        <v>381</v>
      </c>
      <c r="I16" s="41">
        <f t="shared" si="8"/>
        <v>543</v>
      </c>
      <c r="J16" s="40">
        <f t="shared" si="8"/>
        <v>261</v>
      </c>
      <c r="K16" s="39">
        <f t="shared" si="8"/>
        <v>425</v>
      </c>
      <c r="L16" s="39">
        <f t="shared" si="8"/>
        <v>410</v>
      </c>
      <c r="M16" s="39">
        <f t="shared" ref="M16" si="9">M11-M15</f>
        <v>648</v>
      </c>
      <c r="N16" s="40">
        <f t="shared" ref="N16:O16" si="10">N11-N15</f>
        <v>382</v>
      </c>
      <c r="O16" s="39">
        <f t="shared" si="10"/>
        <v>509</v>
      </c>
      <c r="P16" s="39">
        <f t="shared" ref="P16:Q16" si="11">P11-P15</f>
        <v>495</v>
      </c>
      <c r="Q16" s="39">
        <f t="shared" si="11"/>
        <v>664</v>
      </c>
    </row>
    <row r="17" spans="1:26" x14ac:dyDescent="0.15">
      <c r="A17" s="1" t="s">
        <v>8</v>
      </c>
      <c r="B17" s="18">
        <f>12-6-2</f>
        <v>4</v>
      </c>
      <c r="C17" s="18">
        <f>13-7+1</f>
        <v>7</v>
      </c>
      <c r="D17" s="18">
        <f>13-7-7</f>
        <v>-1</v>
      </c>
      <c r="E17" s="18">
        <f>11-7+2</f>
        <v>6</v>
      </c>
      <c r="F17" s="17">
        <f>16-7-1</f>
        <v>8</v>
      </c>
      <c r="G17" s="16">
        <f>19-7+2</f>
        <v>14</v>
      </c>
      <c r="H17" s="16">
        <f>21-7-8</f>
        <v>6</v>
      </c>
      <c r="I17" s="16">
        <f>21-7-8</f>
        <v>6</v>
      </c>
      <c r="J17" s="17">
        <f>23-7+4</f>
        <v>20</v>
      </c>
      <c r="K17" s="18">
        <f>25-7+51</f>
        <v>69</v>
      </c>
      <c r="L17" s="18">
        <f>33-28-2</f>
        <v>3</v>
      </c>
      <c r="M17" s="18">
        <f>38-33+15</f>
        <v>20</v>
      </c>
      <c r="N17" s="17">
        <f>48-34+779</f>
        <v>793</v>
      </c>
      <c r="O17" s="18">
        <f>57-34+240</f>
        <v>263</v>
      </c>
      <c r="P17" s="18">
        <f>63-33-180</f>
        <v>-150</v>
      </c>
      <c r="Q17" s="18">
        <f>-7-34-32</f>
        <v>-73</v>
      </c>
    </row>
    <row r="18" spans="1:26" x14ac:dyDescent="0.15">
      <c r="A18" s="1" t="s">
        <v>9</v>
      </c>
      <c r="B18" s="39">
        <f>B16+B17</f>
        <v>222</v>
      </c>
      <c r="C18" s="39">
        <f>C16+C17</f>
        <v>213</v>
      </c>
      <c r="D18" s="39">
        <f>D16+D17</f>
        <v>325</v>
      </c>
      <c r="E18" s="39">
        <f>E16+E17</f>
        <v>453</v>
      </c>
      <c r="F18" s="40">
        <f>F16+F17</f>
        <v>200</v>
      </c>
      <c r="G18" s="41">
        <f t="shared" ref="G18:I18" si="12">G16+G17</f>
        <v>337</v>
      </c>
      <c r="H18" s="41">
        <f t="shared" si="12"/>
        <v>387</v>
      </c>
      <c r="I18" s="41">
        <f t="shared" si="12"/>
        <v>549</v>
      </c>
      <c r="J18" s="40">
        <f t="shared" ref="J18:K18" si="13">J16+J17</f>
        <v>281</v>
      </c>
      <c r="K18" s="39">
        <f t="shared" si="13"/>
        <v>494</v>
      </c>
      <c r="L18" s="39">
        <f t="shared" ref="L18:M18" si="14">L16+L17</f>
        <v>413</v>
      </c>
      <c r="M18" s="39">
        <f t="shared" si="14"/>
        <v>668</v>
      </c>
      <c r="N18" s="40">
        <f t="shared" ref="N18:O18" si="15">N16+N17</f>
        <v>1175</v>
      </c>
      <c r="O18" s="39">
        <f t="shared" si="15"/>
        <v>772</v>
      </c>
      <c r="P18" s="39">
        <f t="shared" ref="P18:Q18" si="16">P16+P17</f>
        <v>345</v>
      </c>
      <c r="Q18" s="39">
        <f t="shared" si="16"/>
        <v>591</v>
      </c>
    </row>
    <row r="19" spans="1:26" x14ac:dyDescent="0.15">
      <c r="A19" s="1" t="s">
        <v>10</v>
      </c>
      <c r="B19" s="18">
        <v>26</v>
      </c>
      <c r="C19" s="18">
        <v>41</v>
      </c>
      <c r="D19" s="18">
        <v>68.5</v>
      </c>
      <c r="E19" s="18">
        <v>80</v>
      </c>
      <c r="F19" s="17">
        <v>39</v>
      </c>
      <c r="G19" s="16">
        <v>72</v>
      </c>
      <c r="H19" s="16">
        <v>68</v>
      </c>
      <c r="I19" s="16">
        <v>108</v>
      </c>
      <c r="J19" s="17">
        <v>36</v>
      </c>
      <c r="K19" s="18">
        <v>88</v>
      </c>
      <c r="L19" s="18">
        <v>18</v>
      </c>
      <c r="M19" s="18">
        <f>M18*I32</f>
        <v>131.40983606557376</v>
      </c>
      <c r="N19" s="17">
        <v>233</v>
      </c>
      <c r="O19" s="18">
        <v>128</v>
      </c>
      <c r="P19" s="18">
        <v>11</v>
      </c>
      <c r="Q19" s="18">
        <v>89</v>
      </c>
    </row>
    <row r="20" spans="1:26" x14ac:dyDescent="0.15">
      <c r="A20" s="45" t="s">
        <v>78</v>
      </c>
      <c r="B20" s="18"/>
      <c r="C20" s="18"/>
      <c r="D20" s="18"/>
      <c r="E20" s="18"/>
      <c r="F20" s="17"/>
      <c r="G20" s="16"/>
      <c r="H20" s="16"/>
      <c r="I20" s="16"/>
      <c r="J20" s="17"/>
      <c r="K20" s="18"/>
      <c r="L20" s="18"/>
      <c r="M20" s="18">
        <v>1012</v>
      </c>
      <c r="N20" s="17"/>
      <c r="O20" s="18"/>
      <c r="P20" s="18"/>
      <c r="Q20" s="18"/>
    </row>
    <row r="21" spans="1:26" s="2" customFormat="1" x14ac:dyDescent="0.15">
      <c r="A21" s="2" t="s">
        <v>11</v>
      </c>
      <c r="B21" s="36">
        <f t="shared" ref="B21:G21" si="17">B18-B19</f>
        <v>196</v>
      </c>
      <c r="C21" s="36">
        <f t="shared" si="17"/>
        <v>172</v>
      </c>
      <c r="D21" s="36">
        <f t="shared" si="17"/>
        <v>256.5</v>
      </c>
      <c r="E21" s="36">
        <f t="shared" si="17"/>
        <v>373</v>
      </c>
      <c r="F21" s="37">
        <f t="shared" si="17"/>
        <v>161</v>
      </c>
      <c r="G21" s="38">
        <f t="shared" si="17"/>
        <v>265</v>
      </c>
      <c r="H21" s="38">
        <f t="shared" ref="H21" si="18">H18-H19</f>
        <v>319</v>
      </c>
      <c r="I21" s="38">
        <f>I18-I19</f>
        <v>441</v>
      </c>
      <c r="J21" s="37">
        <f>J18-J19</f>
        <v>245</v>
      </c>
      <c r="K21" s="36">
        <f>K18-K19</f>
        <v>406</v>
      </c>
      <c r="L21" s="36">
        <f>L18-L19</f>
        <v>395</v>
      </c>
      <c r="M21" s="36">
        <f>M18-M19</f>
        <v>536.5901639344263</v>
      </c>
      <c r="N21" s="37">
        <f>N18-N19</f>
        <v>942</v>
      </c>
      <c r="O21" s="36">
        <f>O18-O19</f>
        <v>644</v>
      </c>
      <c r="P21" s="36">
        <f>P18-P19</f>
        <v>334</v>
      </c>
      <c r="Q21" s="36">
        <f>Q18-Q19</f>
        <v>502</v>
      </c>
      <c r="R21" s="47"/>
      <c r="S21" s="24"/>
      <c r="T21" s="24"/>
      <c r="U21" s="24"/>
      <c r="V21" s="24"/>
      <c r="W21" s="24"/>
      <c r="X21" s="24"/>
      <c r="Y21" s="24"/>
      <c r="Z21" s="24"/>
    </row>
    <row r="22" spans="1:26" x14ac:dyDescent="0.15">
      <c r="A22" s="1" t="s">
        <v>12</v>
      </c>
      <c r="B22" s="42">
        <f t="shared" ref="B22:H22" si="19">IFERROR(B21/B23,0)</f>
        <v>0.45528878317103993</v>
      </c>
      <c r="C22" s="42">
        <f t="shared" si="19"/>
        <v>0.40300189551472948</v>
      </c>
      <c r="D22" s="42">
        <f t="shared" si="19"/>
        <v>0.60497994013882694</v>
      </c>
      <c r="E22" s="42">
        <f t="shared" si="19"/>
        <v>0.88209280656863531</v>
      </c>
      <c r="F22" s="43">
        <f t="shared" si="19"/>
        <v>0.37955584893205713</v>
      </c>
      <c r="G22" s="44">
        <f t="shared" si="19"/>
        <v>0.62046068620610539</v>
      </c>
      <c r="H22" s="44">
        <f t="shared" si="19"/>
        <v>0.75057410684034187</v>
      </c>
      <c r="I22" s="44">
        <f t="shared" ref="I22:L22" si="20">IFERROR(I21/I23,0)</f>
        <v>1.0587930239704979</v>
      </c>
      <c r="J22" s="43">
        <f t="shared" si="20"/>
        <v>0.59176171084348994</v>
      </c>
      <c r="K22" s="42">
        <f t="shared" si="20"/>
        <v>0.98360338010698511</v>
      </c>
      <c r="L22" s="42">
        <f t="shared" si="20"/>
        <v>0.95638636071988059</v>
      </c>
      <c r="M22" s="42">
        <f t="shared" ref="M22" si="21">IFERROR(M21/M23,0)</f>
        <v>1.3302250316310462</v>
      </c>
      <c r="N22" s="43">
        <f>IFERROR(N21/N23,0)</f>
        <v>2.2923500725180808</v>
      </c>
      <c r="O22" s="42">
        <f>IFERROR(O21/O23,0)</f>
        <v>1.5582429600809125</v>
      </c>
      <c r="P22" s="42">
        <f>IFERROR(P21/P23,0)</f>
        <v>0.80583482316268462</v>
      </c>
      <c r="Q22" s="42">
        <f>IFERROR(Q21/Q23,0)</f>
        <v>1.2054239274248351</v>
      </c>
    </row>
    <row r="23" spans="1:26" x14ac:dyDescent="0.15">
      <c r="A23" s="1" t="s">
        <v>13</v>
      </c>
      <c r="B23" s="18">
        <v>430.49599999999998</v>
      </c>
      <c r="C23" s="18">
        <v>426.79700000000003</v>
      </c>
      <c r="D23" s="18">
        <v>423.98099999999999</v>
      </c>
      <c r="E23" s="18">
        <v>422.858</v>
      </c>
      <c r="F23" s="17">
        <v>424.18</v>
      </c>
      <c r="G23" s="18">
        <v>427.10199999999998</v>
      </c>
      <c r="H23" s="18">
        <v>425.00799999999998</v>
      </c>
      <c r="I23" s="18">
        <v>416.512</v>
      </c>
      <c r="J23" s="17">
        <v>414.01799999999997</v>
      </c>
      <c r="K23" s="18">
        <v>412.76799999999997</v>
      </c>
      <c r="L23" s="18">
        <v>413.01299999999998</v>
      </c>
      <c r="M23" s="18">
        <v>403.38299999999998</v>
      </c>
      <c r="N23" s="17">
        <v>410.93200000000002</v>
      </c>
      <c r="O23" s="18">
        <v>413.286</v>
      </c>
      <c r="P23" s="18">
        <v>414.47699999999998</v>
      </c>
      <c r="Q23" s="18">
        <v>416.45100000000002</v>
      </c>
    </row>
    <row r="24" spans="1:26" x14ac:dyDescent="0.15">
      <c r="B24" s="20"/>
      <c r="C24" s="20"/>
      <c r="D24" s="20"/>
      <c r="E24" s="20"/>
      <c r="K24" s="20"/>
      <c r="L24" s="20"/>
      <c r="M24" s="20"/>
      <c r="O24" s="20"/>
      <c r="P24" s="20"/>
      <c r="Q24" s="20"/>
    </row>
    <row r="25" spans="1:26" s="2" customFormat="1" x14ac:dyDescent="0.15">
      <c r="A25" s="2" t="s">
        <v>14</v>
      </c>
      <c r="B25" s="26"/>
      <c r="C25" s="26"/>
      <c r="D25" s="26"/>
      <c r="E25" s="26"/>
      <c r="F25" s="27">
        <f>IFERROR((F9/B9)-1,0)</f>
        <v>5.162144275314362E-2</v>
      </c>
      <c r="G25" s="26">
        <f>IFERROR((G9/C9)-1,0)</f>
        <v>0.11308349769888237</v>
      </c>
      <c r="H25" s="26">
        <f t="shared" ref="H25" si="22">IFERROR((H9/D9)-1,0)</f>
        <v>6.3397129186602896E-2</v>
      </c>
      <c r="I25" s="26">
        <f>IFERROR((I9/E9)-1,0)</f>
        <v>8.7794432548179868E-2</v>
      </c>
      <c r="J25" s="27">
        <f>IFERROR((J9/F9)-1,0)</f>
        <v>0.11076148521082452</v>
      </c>
      <c r="K25" s="26">
        <f t="shared" ref="K25" si="23">IFERROR((K9/G9)-1,0)</f>
        <v>0.14116952155936202</v>
      </c>
      <c r="L25" s="26">
        <f>IFERROR((L9/H9)-1,0)</f>
        <v>8.9988751406074208E-2</v>
      </c>
      <c r="M25" s="26">
        <f>IFERROR((M9/I9)-1,0)</f>
        <v>0.13631889763779537</v>
      </c>
      <c r="N25" s="27">
        <f>IFERROR((N9/J9)-1,0)</f>
        <v>0.13767705382436257</v>
      </c>
      <c r="O25" s="26">
        <f>IFERROR((O9/K9)-1,0)</f>
        <v>0.12525879917184257</v>
      </c>
      <c r="P25" s="26">
        <f>IFERROR((P9/L9)-1,0)</f>
        <v>0.1351909184726523</v>
      </c>
      <c r="Q25" s="26">
        <f>IFERROR((Q9/M9)-1,0)</f>
        <v>0.12213079255088788</v>
      </c>
      <c r="R25" s="47"/>
      <c r="S25" s="24"/>
      <c r="T25" s="24"/>
      <c r="U25" s="24"/>
      <c r="V25" s="24"/>
      <c r="W25" s="24"/>
      <c r="X25" s="24"/>
      <c r="Y25" s="24"/>
      <c r="Z25" s="24"/>
    </row>
    <row r="26" spans="1:26" s="2" customFormat="1" x14ac:dyDescent="0.15">
      <c r="A26" s="1" t="s">
        <v>38</v>
      </c>
      <c r="B26" s="28"/>
      <c r="C26" s="28"/>
      <c r="D26" s="28"/>
      <c r="E26" s="28"/>
      <c r="F26" s="29">
        <f>IFERROR((F12/B12)-1,0)</f>
        <v>0.16721311475409828</v>
      </c>
      <c r="G26" s="28">
        <f t="shared" ref="G26:H26" si="24">IFERROR((G12/C12)-1,0)</f>
        <v>0.12732919254658381</v>
      </c>
      <c r="H26" s="28">
        <f t="shared" si="24"/>
        <v>0.17522658610271913</v>
      </c>
      <c r="I26" s="28">
        <f>IFERROR((I12/E12)-1,0)</f>
        <v>0.15497076023391809</v>
      </c>
      <c r="J26" s="29">
        <f>IFERROR((J12/F12)-1,0)</f>
        <v>0.18258426966292141</v>
      </c>
      <c r="K26" s="28">
        <f t="shared" ref="K26:M26" si="25">IFERROR((K12/G12)-1,0)</f>
        <v>0.17906336088154262</v>
      </c>
      <c r="L26" s="28">
        <f t="shared" si="25"/>
        <v>0.15424164524421591</v>
      </c>
      <c r="M26" s="28">
        <f t="shared" si="25"/>
        <v>0.15696202531645564</v>
      </c>
      <c r="N26" s="29">
        <f>IFERROR((N12/J12)-1,0)</f>
        <v>7.6009501187648487E-2</v>
      </c>
      <c r="O26" s="28">
        <f>IFERROR((O12/K12)-1,0)</f>
        <v>0.12383177570093462</v>
      </c>
      <c r="P26" s="28">
        <f>IFERROR((P12/L12)-1,0)</f>
        <v>0.11135857461024501</v>
      </c>
      <c r="Q26" s="28">
        <f>IFERROR((Q12/M12)-1,0)</f>
        <v>0.1859956236323852</v>
      </c>
      <c r="R26" s="47"/>
      <c r="S26" s="24"/>
      <c r="T26" s="24"/>
      <c r="U26" s="24"/>
      <c r="V26" s="24"/>
      <c r="W26" s="24"/>
      <c r="X26" s="24"/>
      <c r="Y26" s="24"/>
      <c r="Z26" s="24"/>
    </row>
    <row r="27" spans="1:26" s="2" customFormat="1" x14ac:dyDescent="0.15">
      <c r="A27" s="1" t="s">
        <v>39</v>
      </c>
      <c r="B27" s="28"/>
      <c r="C27" s="28"/>
      <c r="D27" s="28"/>
      <c r="E27" s="28"/>
      <c r="F27" s="29">
        <f>IFERROR((F13/B13)-1,0)</f>
        <v>5.4104477611940371E-2</v>
      </c>
      <c r="G27" s="28">
        <f t="shared" ref="G27:M27" si="26">IFERROR((G13/C13)-1,0)</f>
        <v>2.6548672566371723E-2</v>
      </c>
      <c r="H27" s="28">
        <f t="shared" si="26"/>
        <v>1.4388489208633004E-2</v>
      </c>
      <c r="I27" s="28">
        <f t="shared" si="26"/>
        <v>5.555555555555558E-2</v>
      </c>
      <c r="J27" s="29">
        <f t="shared" si="26"/>
        <v>2.4778761061946986E-2</v>
      </c>
      <c r="K27" s="28">
        <f t="shared" si="26"/>
        <v>5.6896551724137989E-2</v>
      </c>
      <c r="L27" s="28">
        <f t="shared" si="26"/>
        <v>0.1063829787234043</v>
      </c>
      <c r="M27" s="28">
        <f t="shared" si="26"/>
        <v>0.12848297213622284</v>
      </c>
      <c r="N27" s="29">
        <f>IFERROR((N13/J13)-1,0)</f>
        <v>0.21934369602763382</v>
      </c>
      <c r="O27" s="28">
        <f>IFERROR((O13/K13)-1,0)</f>
        <v>0.13539967373572592</v>
      </c>
      <c r="P27" s="28">
        <f>IFERROR((P13/L13)-1,0)</f>
        <v>0.13301282051282048</v>
      </c>
      <c r="Q27" s="28">
        <f>IFERROR((Q13/M13)-1,0)</f>
        <v>0.10699588477366251</v>
      </c>
      <c r="R27" s="47"/>
      <c r="S27" s="24"/>
      <c r="T27" s="24"/>
      <c r="U27" s="24"/>
      <c r="V27" s="24"/>
      <c r="W27" s="24"/>
      <c r="X27" s="24"/>
      <c r="Y27" s="24"/>
      <c r="Z27" s="24"/>
    </row>
    <row r="28" spans="1:26" s="2" customFormat="1" x14ac:dyDescent="0.15">
      <c r="A28" s="1" t="s">
        <v>40</v>
      </c>
      <c r="B28" s="28"/>
      <c r="C28" s="28"/>
      <c r="D28" s="28"/>
      <c r="E28" s="28"/>
      <c r="F28" s="29">
        <f>IFERROR((F14/B14)-1,0)</f>
        <v>7.6555023923444931E-2</v>
      </c>
      <c r="G28" s="28">
        <f t="shared" ref="G28:M28" si="27">IFERROR((G14/C14)-1,0)</f>
        <v>-6.7415730337078705E-2</v>
      </c>
      <c r="H28" s="28">
        <f t="shared" si="27"/>
        <v>-0.11442786069651745</v>
      </c>
      <c r="I28" s="28">
        <f t="shared" si="27"/>
        <v>-0.13930348258706471</v>
      </c>
      <c r="J28" s="29">
        <f>IFERROR((J14/F14)-1,0)</f>
        <v>-4.4444444444444398E-2</v>
      </c>
      <c r="K28" s="28">
        <f t="shared" si="27"/>
        <v>0.18072289156626509</v>
      </c>
      <c r="L28" s="28">
        <f t="shared" si="27"/>
        <v>-5.6179775280899014E-3</v>
      </c>
      <c r="M28" s="28">
        <f t="shared" si="27"/>
        <v>-1.1560693641618491E-2</v>
      </c>
      <c r="N28" s="29">
        <f>IFERROR((N14/J14)-1,0)</f>
        <v>-0.20465116279069773</v>
      </c>
      <c r="O28" s="28">
        <f>IFERROR((O14/K14)-1,0)</f>
        <v>-6.6326530612244916E-2</v>
      </c>
      <c r="P28" s="28">
        <f>IFERROR((P14/L14)-1,0)</f>
        <v>3.9548022598870025E-2</v>
      </c>
      <c r="Q28" s="28">
        <f>IFERROR((Q14/M14)-1,0)</f>
        <v>0.3742690058479532</v>
      </c>
      <c r="R28" s="47"/>
      <c r="S28" s="24"/>
      <c r="T28" s="24"/>
      <c r="U28" s="24"/>
      <c r="V28" s="24"/>
      <c r="W28" s="24"/>
      <c r="X28" s="24"/>
      <c r="Y28" s="24"/>
      <c r="Z28" s="24"/>
    </row>
    <row r="29" spans="1:26" x14ac:dyDescent="0.15">
      <c r="B29" s="20"/>
      <c r="C29" s="20"/>
      <c r="D29" s="20"/>
      <c r="E29" s="20"/>
      <c r="K29" s="20"/>
      <c r="L29" s="20"/>
      <c r="M29" s="20"/>
      <c r="O29" s="20"/>
      <c r="P29" s="20"/>
      <c r="Q29" s="20"/>
    </row>
    <row r="30" spans="1:26" x14ac:dyDescent="0.15">
      <c r="A30" s="1" t="s">
        <v>15</v>
      </c>
      <c r="B30" s="30">
        <f>IFERROR(B11/B9,0)</f>
        <v>0.83917935142289879</v>
      </c>
      <c r="C30" s="30">
        <f>IFERROR(C11/C9,0)</f>
        <v>0.83563445101906642</v>
      </c>
      <c r="D30" s="30">
        <f>IFERROR(D11/D9,0)</f>
        <v>0.84569377990430628</v>
      </c>
      <c r="E30" s="30">
        <f>IFERROR(E11/E9,0)</f>
        <v>0.85760171306209854</v>
      </c>
      <c r="F30" s="31">
        <f>IFERROR(F11/F9,0)</f>
        <v>0.842039018250472</v>
      </c>
      <c r="G30" s="32">
        <f t="shared" ref="G30:L30" si="28">IFERROR(G11/G9,0)</f>
        <v>0.84583579444772594</v>
      </c>
      <c r="H30" s="32">
        <f t="shared" si="28"/>
        <v>0.85039370078740162</v>
      </c>
      <c r="I30" s="32">
        <f t="shared" si="28"/>
        <v>0.86466535433070868</v>
      </c>
      <c r="J30" s="31">
        <f t="shared" si="28"/>
        <v>0.83626062322946171</v>
      </c>
      <c r="K30" s="30">
        <f t="shared" si="28"/>
        <v>0.86024844720496896</v>
      </c>
      <c r="L30" s="30">
        <f t="shared" si="28"/>
        <v>0.85655314757481937</v>
      </c>
      <c r="M30" s="30">
        <f t="shared" ref="M30" si="29">IFERROR(M11/M9,0)</f>
        <v>0.86834127327847555</v>
      </c>
      <c r="N30" s="31">
        <f t="shared" ref="N30:O30" si="30">IFERROR(N11/N9,0)</f>
        <v>0.85258964143426297</v>
      </c>
      <c r="O30" s="30">
        <f t="shared" si="30"/>
        <v>0.85970561177552896</v>
      </c>
      <c r="P30" s="30">
        <f t="shared" ref="P30:Q30" si="31">IFERROR(P11/P9,0)</f>
        <v>0.85681818181818181</v>
      </c>
      <c r="Q30" s="30">
        <f t="shared" si="31"/>
        <v>0.86761868004631415</v>
      </c>
    </row>
    <row r="31" spans="1:26" x14ac:dyDescent="0.15">
      <c r="A31" s="1" t="s">
        <v>16</v>
      </c>
      <c r="B31" s="33">
        <f>IFERROR(B16/B9,0)</f>
        <v>0.1442753143613501</v>
      </c>
      <c r="C31" s="33">
        <f>IFERROR(C16/C9,0)</f>
        <v>0.13543721236028927</v>
      </c>
      <c r="D31" s="33">
        <f>IFERROR(D16/D9,0)</f>
        <v>0.19497607655502391</v>
      </c>
      <c r="E31" s="33">
        <f>IFERROR(E16/E9,0)</f>
        <v>0.23929336188436831</v>
      </c>
      <c r="F31" s="34">
        <f>IFERROR(F16/F9,0)</f>
        <v>0.12083071113908118</v>
      </c>
      <c r="G31" s="35">
        <f t="shared" ref="G31:L31" si="32">IFERROR(G16/G9,0)</f>
        <v>0.19078558771411694</v>
      </c>
      <c r="H31" s="35">
        <f t="shared" si="32"/>
        <v>0.21428571428571427</v>
      </c>
      <c r="I31" s="35">
        <f t="shared" si="32"/>
        <v>0.26722440944881892</v>
      </c>
      <c r="J31" s="34">
        <f t="shared" si="32"/>
        <v>0.14787535410764874</v>
      </c>
      <c r="K31" s="33">
        <f t="shared" si="32"/>
        <v>0.21997929606625258</v>
      </c>
      <c r="L31" s="33">
        <f t="shared" si="32"/>
        <v>0.21155830753353974</v>
      </c>
      <c r="M31" s="33">
        <f t="shared" ref="M31" si="33">IFERROR(M16/M9,0)</f>
        <v>0.28064097011693373</v>
      </c>
      <c r="N31" s="34">
        <f t="shared" ref="N31:O31" si="34">IFERROR(N16/N9,0)</f>
        <v>0.19023904382470119</v>
      </c>
      <c r="O31" s="33">
        <f t="shared" si="34"/>
        <v>0.23413063477460902</v>
      </c>
      <c r="P31" s="33">
        <f t="shared" ref="P31:Q31" si="35">IFERROR(P16/P9,0)</f>
        <v>0.22500000000000001</v>
      </c>
      <c r="Q31" s="33">
        <f t="shared" si="35"/>
        <v>0.25627170976456964</v>
      </c>
    </row>
    <row r="32" spans="1:26" x14ac:dyDescent="0.15">
      <c r="A32" s="1" t="s">
        <v>17</v>
      </c>
      <c r="B32" s="33">
        <f>IFERROR(B19/B18,0)</f>
        <v>0.11711711711711711</v>
      </c>
      <c r="C32" s="33">
        <f t="shared" ref="C32" si="36">IFERROR(C19/C18,0)</f>
        <v>0.19248826291079812</v>
      </c>
      <c r="D32" s="33">
        <f t="shared" ref="D32:E32" si="37">IFERROR(D19/D18,0)</f>
        <v>0.21076923076923076</v>
      </c>
      <c r="E32" s="33">
        <f t="shared" si="37"/>
        <v>0.17660044150110377</v>
      </c>
      <c r="F32" s="34">
        <f>IFERROR(F19/F18,0)</f>
        <v>0.19500000000000001</v>
      </c>
      <c r="G32" s="35">
        <f>IFERROR(G19/G18,0)</f>
        <v>0.21364985163204747</v>
      </c>
      <c r="H32" s="35">
        <f>IFERROR(H19/H18,0)</f>
        <v>0.17571059431524547</v>
      </c>
      <c r="I32" s="35">
        <f t="shared" ref="I32:L32" si="38">IFERROR(I19/I18,0)</f>
        <v>0.19672131147540983</v>
      </c>
      <c r="J32" s="34">
        <f t="shared" si="38"/>
        <v>0.12811387900355872</v>
      </c>
      <c r="K32" s="33">
        <f t="shared" si="38"/>
        <v>0.17813765182186234</v>
      </c>
      <c r="L32" s="33">
        <f t="shared" si="38"/>
        <v>4.3583535108958835E-2</v>
      </c>
      <c r="M32" s="33">
        <f>IFERROR(M19/M18,0)</f>
        <v>0.1967213114754098</v>
      </c>
      <c r="N32" s="34">
        <f t="shared" ref="N32:O32" si="39">IFERROR(N19/N18,0)</f>
        <v>0.19829787234042554</v>
      </c>
      <c r="O32" s="33">
        <f t="shared" si="39"/>
        <v>0.16580310880829016</v>
      </c>
      <c r="P32" s="33">
        <f t="shared" ref="P32:Q32" si="40">IFERROR(P19/P18,0)</f>
        <v>3.1884057971014491E-2</v>
      </c>
      <c r="Q32" s="33">
        <f t="shared" si="40"/>
        <v>0.15059221658206429</v>
      </c>
    </row>
    <row r="33" spans="1:26" x14ac:dyDescent="0.15">
      <c r="B33" s="20"/>
      <c r="C33" s="20"/>
      <c r="D33" s="20"/>
      <c r="E33" s="20"/>
      <c r="K33" s="20"/>
      <c r="L33" s="20"/>
      <c r="M33" s="20"/>
      <c r="O33" s="20"/>
      <c r="P33" s="20"/>
      <c r="Q33" s="20"/>
    </row>
    <row r="34" spans="1:26" s="2" customFormat="1" x14ac:dyDescent="0.15">
      <c r="A34" s="8" t="s">
        <v>22</v>
      </c>
      <c r="B34" s="21"/>
      <c r="C34" s="21"/>
      <c r="D34" s="21"/>
      <c r="E34" s="36">
        <f>E35-E36</f>
        <v>7509</v>
      </c>
      <c r="F34" s="37">
        <f>F35-F36</f>
        <v>8246</v>
      </c>
      <c r="G34" s="38">
        <f t="shared" ref="G34:K34" si="41">G35-G36</f>
        <v>8665</v>
      </c>
      <c r="H34" s="38">
        <f t="shared" si="41"/>
        <v>8254</v>
      </c>
      <c r="I34" s="38">
        <f t="shared" si="41"/>
        <v>7985</v>
      </c>
      <c r="J34" s="37">
        <f t="shared" si="41"/>
        <v>8612</v>
      </c>
      <c r="K34" s="36">
        <f t="shared" si="41"/>
        <v>8902</v>
      </c>
      <c r="L34" s="36">
        <f>L35-L36</f>
        <v>7650</v>
      </c>
      <c r="M34" s="36">
        <f>M35-M36</f>
        <v>7419</v>
      </c>
      <c r="N34" s="37">
        <f>N35-N36</f>
        <v>8394</v>
      </c>
      <c r="O34" s="36">
        <f>O35-O36</f>
        <v>9062</v>
      </c>
      <c r="P34" s="36">
        <f>P35-P36</f>
        <v>9287</v>
      </c>
      <c r="Q34" s="36">
        <f>Q35-Q36</f>
        <v>-1393</v>
      </c>
      <c r="R34" s="47"/>
      <c r="S34" s="24"/>
      <c r="T34" s="24"/>
      <c r="U34" s="24"/>
      <c r="V34" s="24"/>
      <c r="W34" s="24"/>
      <c r="X34" s="24"/>
      <c r="Y34" s="24"/>
      <c r="Z34" s="24"/>
    </row>
    <row r="35" spans="1:26" x14ac:dyDescent="0.15">
      <c r="A35" s="3" t="s">
        <v>23</v>
      </c>
      <c r="B35" s="18"/>
      <c r="C35" s="18"/>
      <c r="D35" s="18"/>
      <c r="E35" s="18">
        <f>2493+5016</f>
        <v>7509</v>
      </c>
      <c r="F35" s="17">
        <f>2785+5461</f>
        <v>8246</v>
      </c>
      <c r="G35" s="18">
        <f>2991+5674</f>
        <v>8665</v>
      </c>
      <c r="H35" s="18">
        <f>2654+5600</f>
        <v>8254</v>
      </c>
      <c r="I35" s="18">
        <f>2790+5195</f>
        <v>7985</v>
      </c>
      <c r="J35" s="17">
        <f>3864+4748</f>
        <v>8612</v>
      </c>
      <c r="K35" s="18">
        <f>3552+5350</f>
        <v>8902</v>
      </c>
      <c r="L35" s="18">
        <f>6012+5600</f>
        <v>11612</v>
      </c>
      <c r="M35" s="18">
        <f>5971+5682</f>
        <v>11653</v>
      </c>
      <c r="N35" s="17">
        <f>7101+5529</f>
        <v>12630</v>
      </c>
      <c r="O35" s="18">
        <f>8121+5179</f>
        <v>13300</v>
      </c>
      <c r="P35" s="18">
        <f>9189+4338</f>
        <v>13527</v>
      </c>
      <c r="Q35" s="18">
        <f>2830+19</f>
        <v>2849</v>
      </c>
    </row>
    <row r="36" spans="1:26" x14ac:dyDescent="0.15">
      <c r="A36" s="3" t="s">
        <v>24</v>
      </c>
      <c r="B36" s="18"/>
      <c r="C36" s="18"/>
      <c r="D36" s="18"/>
      <c r="E36" s="18">
        <v>0</v>
      </c>
      <c r="F36" s="17">
        <v>0</v>
      </c>
      <c r="G36" s="18">
        <v>0</v>
      </c>
      <c r="H36" s="18">
        <v>0</v>
      </c>
      <c r="I36" s="18">
        <v>0</v>
      </c>
      <c r="J36" s="17">
        <v>0</v>
      </c>
      <c r="K36" s="18">
        <v>0</v>
      </c>
      <c r="L36" s="18">
        <v>3962</v>
      </c>
      <c r="M36" s="18">
        <f>270+3964</f>
        <v>4234</v>
      </c>
      <c r="N36" s="17">
        <f>270+3966</f>
        <v>4236</v>
      </c>
      <c r="O36" s="18">
        <f>270+3968</f>
        <v>4238</v>
      </c>
      <c r="P36" s="18">
        <f>270+3970</f>
        <v>4240</v>
      </c>
      <c r="Q36" s="18">
        <f>270+3972</f>
        <v>4242</v>
      </c>
    </row>
    <row r="37" spans="1:26" x14ac:dyDescent="0.15">
      <c r="A37" s="3"/>
    </row>
    <row r="38" spans="1:26" x14ac:dyDescent="0.15">
      <c r="A38" s="10" t="s">
        <v>55</v>
      </c>
      <c r="B38" s="16"/>
      <c r="C38" s="16"/>
      <c r="D38" s="16"/>
      <c r="E38" s="16"/>
      <c r="F38" s="17"/>
      <c r="G38" s="16"/>
      <c r="H38" s="16"/>
      <c r="I38" s="16"/>
      <c r="J38" s="17"/>
      <c r="K38" s="16"/>
      <c r="L38" s="16"/>
      <c r="M38" s="16">
        <f>548+4597</f>
        <v>5145</v>
      </c>
      <c r="N38" s="17">
        <f>535+4596</f>
        <v>5131</v>
      </c>
      <c r="O38" s="16">
        <f>4596+496</f>
        <v>5092</v>
      </c>
      <c r="P38" s="16">
        <f>558+4989</f>
        <v>5547</v>
      </c>
      <c r="Q38" s="16">
        <f>541+5381</f>
        <v>5922</v>
      </c>
    </row>
    <row r="39" spans="1:26" x14ac:dyDescent="0.15">
      <c r="A39" s="10" t="s">
        <v>56</v>
      </c>
      <c r="B39" s="16"/>
      <c r="C39" s="16"/>
      <c r="D39" s="16"/>
      <c r="E39" s="16"/>
      <c r="F39" s="17"/>
      <c r="G39" s="16"/>
      <c r="H39" s="16"/>
      <c r="I39" s="16"/>
      <c r="J39" s="17"/>
      <c r="K39" s="16"/>
      <c r="L39" s="16"/>
      <c r="M39" s="16">
        <v>21206</v>
      </c>
      <c r="N39" s="17">
        <v>22088</v>
      </c>
      <c r="O39" s="16">
        <v>23409</v>
      </c>
      <c r="P39" s="16">
        <v>23962</v>
      </c>
      <c r="Q39" s="16">
        <v>14662</v>
      </c>
    </row>
    <row r="40" spans="1:26" x14ac:dyDescent="0.15">
      <c r="A40" s="10" t="s">
        <v>57</v>
      </c>
      <c r="B40" s="16"/>
      <c r="C40" s="16"/>
      <c r="D40" s="16"/>
      <c r="E40" s="16"/>
      <c r="F40" s="17"/>
      <c r="G40" s="16"/>
      <c r="H40" s="16"/>
      <c r="I40" s="16"/>
      <c r="J40" s="17"/>
      <c r="K40" s="16"/>
      <c r="L40" s="16"/>
      <c r="M40" s="16">
        <v>12582</v>
      </c>
      <c r="N40" s="17">
        <v>12428</v>
      </c>
      <c r="O40" s="16">
        <v>13017</v>
      </c>
      <c r="P40" s="16">
        <v>13051</v>
      </c>
      <c r="Q40" s="16">
        <v>14111</v>
      </c>
    </row>
    <row r="41" spans="1:26" x14ac:dyDescent="0.15">
      <c r="A41" s="9"/>
      <c r="B41" s="16"/>
      <c r="C41" s="16"/>
      <c r="D41" s="16"/>
      <c r="E41" s="16"/>
      <c r="F41" s="17"/>
      <c r="G41" s="16"/>
      <c r="H41" s="16"/>
      <c r="I41" s="16"/>
      <c r="J41" s="17"/>
      <c r="K41" s="16"/>
      <c r="L41" s="16"/>
      <c r="M41" s="16"/>
      <c r="N41" s="17"/>
      <c r="O41" s="16"/>
      <c r="P41" s="16"/>
      <c r="Q41" s="16"/>
    </row>
    <row r="42" spans="1:26" x14ac:dyDescent="0.15">
      <c r="A42" s="10" t="s">
        <v>58</v>
      </c>
      <c r="B42" s="16"/>
      <c r="C42" s="16"/>
      <c r="D42" s="16"/>
      <c r="E42" s="16"/>
      <c r="F42" s="17"/>
      <c r="G42" s="16"/>
      <c r="H42" s="16"/>
      <c r="I42" s="16"/>
      <c r="J42" s="17"/>
      <c r="K42" s="16"/>
      <c r="L42" s="16"/>
      <c r="M42" s="41">
        <f>M39-M38-M35</f>
        <v>4408</v>
      </c>
      <c r="N42" s="40">
        <f>N39-N38-N35</f>
        <v>4327</v>
      </c>
      <c r="O42" s="41">
        <f>O39-O38-O35</f>
        <v>5017</v>
      </c>
      <c r="P42" s="41">
        <f>P39-P38-P35</f>
        <v>4888</v>
      </c>
      <c r="Q42" s="41">
        <f>Q39-Q38-Q35</f>
        <v>5891</v>
      </c>
    </row>
    <row r="43" spans="1:26" x14ac:dyDescent="0.15">
      <c r="A43" s="10" t="s">
        <v>59</v>
      </c>
      <c r="B43" s="16"/>
      <c r="C43" s="16"/>
      <c r="D43" s="16"/>
      <c r="E43" s="16"/>
      <c r="F43" s="17"/>
      <c r="G43" s="16"/>
      <c r="H43" s="16"/>
      <c r="I43" s="16"/>
      <c r="J43" s="17"/>
      <c r="K43" s="16"/>
      <c r="L43" s="16"/>
      <c r="M43" s="41">
        <f>M39-M40</f>
        <v>8624</v>
      </c>
      <c r="N43" s="40">
        <f>N39-N40</f>
        <v>9660</v>
      </c>
      <c r="O43" s="41">
        <f>O39-O40</f>
        <v>10392</v>
      </c>
      <c r="P43" s="41">
        <f>P39-P40</f>
        <v>10911</v>
      </c>
      <c r="Q43" s="41">
        <f>Q39-Q40</f>
        <v>551</v>
      </c>
    </row>
    <row r="44" spans="1:26" x14ac:dyDescent="0.15">
      <c r="A44" s="9"/>
      <c r="B44" s="16"/>
      <c r="C44" s="16"/>
      <c r="D44" s="16"/>
      <c r="E44" s="16"/>
      <c r="F44" s="17"/>
      <c r="G44" s="16"/>
      <c r="H44" s="16"/>
      <c r="I44" s="16"/>
      <c r="J44" s="17"/>
      <c r="K44" s="16"/>
      <c r="L44" s="16"/>
      <c r="M44" s="16"/>
      <c r="N44" s="17"/>
      <c r="O44" s="16"/>
      <c r="P44" s="16"/>
      <c r="Q44" s="16"/>
    </row>
    <row r="45" spans="1:26" s="2" customFormat="1" x14ac:dyDescent="0.15">
      <c r="A45" s="46" t="s">
        <v>71</v>
      </c>
      <c r="B45" s="23"/>
      <c r="C45" s="23"/>
      <c r="D45" s="23"/>
      <c r="E45" s="23"/>
      <c r="F45" s="22"/>
      <c r="G45" s="23"/>
      <c r="H45" s="23"/>
      <c r="I45" s="23"/>
      <c r="J45" s="22"/>
      <c r="K45" s="23"/>
      <c r="L45" s="23"/>
      <c r="M45" s="38">
        <f>SUM(J21:M21)</f>
        <v>1582.5901639344263</v>
      </c>
      <c r="N45" s="37">
        <f>SUM(K21:N21)</f>
        <v>2279.5901639344265</v>
      </c>
      <c r="O45" s="38">
        <f>SUM(L21:O21)</f>
        <v>2517.5901639344265</v>
      </c>
      <c r="P45" s="38">
        <f>SUM(M21:P21)</f>
        <v>2456.5901639344265</v>
      </c>
      <c r="Q45" s="38">
        <f>SUM(N21:Q21)</f>
        <v>2422</v>
      </c>
      <c r="R45" s="47"/>
      <c r="S45" s="24"/>
      <c r="T45" s="24"/>
      <c r="U45" s="24"/>
      <c r="V45" s="24"/>
      <c r="W45" s="24"/>
      <c r="X45" s="24"/>
      <c r="Y45" s="24"/>
      <c r="Z45" s="24"/>
    </row>
    <row r="46" spans="1:26" x14ac:dyDescent="0.15">
      <c r="A46" s="13" t="s">
        <v>60</v>
      </c>
      <c r="M46" s="32">
        <f>M45/M43</f>
        <v>0.18350999117978042</v>
      </c>
      <c r="N46" s="31">
        <f>N45/N43</f>
        <v>0.23598241862675223</v>
      </c>
      <c r="O46" s="32">
        <f>O45/O43</f>
        <v>0.24226233294211186</v>
      </c>
      <c r="P46" s="32">
        <f>P45/P43</f>
        <v>0.2251480307886011</v>
      </c>
      <c r="Q46" s="32">
        <f>Q45/Q43</f>
        <v>4.3956442831215972</v>
      </c>
    </row>
    <row r="47" spans="1:26" x14ac:dyDescent="0.15">
      <c r="A47" s="13" t="s">
        <v>61</v>
      </c>
      <c r="M47" s="32">
        <f>M45/M39</f>
        <v>7.4629357914478278E-2</v>
      </c>
      <c r="N47" s="31">
        <f>N45/N39</f>
        <v>0.10320491506403597</v>
      </c>
      <c r="O47" s="32">
        <f>O45/O39</f>
        <v>0.10754795864558189</v>
      </c>
      <c r="P47" s="32">
        <f>P45/P39</f>
        <v>0.102520247222036</v>
      </c>
      <c r="Q47" s="32">
        <f>Q45/Q39</f>
        <v>0.16518892374846542</v>
      </c>
    </row>
    <row r="48" spans="1:26" x14ac:dyDescent="0.15">
      <c r="A48" s="13" t="s">
        <v>62</v>
      </c>
      <c r="M48" s="32">
        <f>M45/(M43-M38)</f>
        <v>0.45489800630480781</v>
      </c>
      <c r="N48" s="31">
        <f>N45/(N43-N38)</f>
        <v>0.50333189753464924</v>
      </c>
      <c r="O48" s="32">
        <f>O45/(O43-O38)</f>
        <v>0.47501701206309932</v>
      </c>
      <c r="P48" s="32">
        <f>P45/(P43-P38)</f>
        <v>0.45797728634124285</v>
      </c>
      <c r="Q48" s="32">
        <f>Q45/(Q43-Q38)</f>
        <v>-0.45094023459318561</v>
      </c>
    </row>
    <row r="49" spans="1:17" x14ac:dyDescent="0.15">
      <c r="A49" s="13" t="s">
        <v>63</v>
      </c>
      <c r="M49" s="32">
        <f>M45/M42</f>
        <v>0.35902680670018744</v>
      </c>
      <c r="N49" s="31">
        <f>N45/N42</f>
        <v>0.52682924981151524</v>
      </c>
      <c r="O49" s="32">
        <f>O45/O42</f>
        <v>0.50181187242065506</v>
      </c>
      <c r="P49" s="32">
        <f>P45/P42</f>
        <v>0.50257572911915438</v>
      </c>
      <c r="Q49" s="32">
        <f>Q45/Q42</f>
        <v>0.41113563062298419</v>
      </c>
    </row>
    <row r="50" spans="1:17" x14ac:dyDescent="0.15">
      <c r="A50" s="3"/>
    </row>
    <row r="51" spans="1:17" x14ac:dyDescent="0.15">
      <c r="A51" s="3" t="s">
        <v>66</v>
      </c>
      <c r="M51" s="32">
        <f>M3/I3-1</f>
        <v>0.20405862457722668</v>
      </c>
      <c r="N51" s="31">
        <f>N3/J3-1</f>
        <v>0.20748829953198134</v>
      </c>
      <c r="O51" s="32">
        <f>O3/K3-1</f>
        <v>0.14942528735632177</v>
      </c>
      <c r="P51" s="32">
        <f>P3/L3-1</f>
        <v>0.16622691292875991</v>
      </c>
      <c r="Q51" s="32">
        <f>Q3/M3-1</f>
        <v>0.15262172284644193</v>
      </c>
    </row>
    <row r="52" spans="1:17" x14ac:dyDescent="0.15">
      <c r="A52" s="3" t="s">
        <v>68</v>
      </c>
      <c r="M52" s="32">
        <f>M4/I4-1</f>
        <v>8.3842794759825257E-2</v>
      </c>
      <c r="N52" s="31">
        <f>N4/J4-1</f>
        <v>9.7864768683274095E-2</v>
      </c>
      <c r="O52" s="32">
        <f>O4/K4-1</f>
        <v>0.10879025239338547</v>
      </c>
      <c r="P52" s="32">
        <f>P4/L4-1</f>
        <v>0.11525423728813555</v>
      </c>
      <c r="Q52" s="32">
        <f>Q4/M4-1</f>
        <v>9.5890410958904049E-2</v>
      </c>
    </row>
    <row r="53" spans="1:17" x14ac:dyDescent="0.15">
      <c r="A53" s="3"/>
    </row>
    <row r="54" spans="1:17" x14ac:dyDescent="0.15">
      <c r="A54" s="12" t="s">
        <v>64</v>
      </c>
    </row>
    <row r="55" spans="1:17" x14ac:dyDescent="0.15">
      <c r="A55" s="12" t="s">
        <v>65</v>
      </c>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workbookViewId="0">
      <selection activeCell="D41" sqref="D41"/>
    </sheetView>
  </sheetViews>
  <sheetFormatPr baseColWidth="10" defaultRowHeight="13" x14ac:dyDescent="0.15"/>
  <cols>
    <col min="1" max="16384" width="10.83203125" style="1"/>
  </cols>
  <sheetData>
    <row r="1" spans="1:1" x14ac:dyDescent="0.15">
      <c r="A1" s="2" t="s">
        <v>82</v>
      </c>
    </row>
    <row r="2" spans="1:1" x14ac:dyDescent="0.15">
      <c r="A2" s="1" t="s">
        <v>83</v>
      </c>
    </row>
    <row r="4" spans="1:1" x14ac:dyDescent="0.15">
      <c r="A4" s="2" t="s">
        <v>84</v>
      </c>
    </row>
    <row r="5" spans="1:1" x14ac:dyDescent="0.15">
      <c r="A5" s="1" t="s">
        <v>85</v>
      </c>
    </row>
    <row r="7" spans="1:1" x14ac:dyDescent="0.15">
      <c r="A7" s="2" t="s">
        <v>86</v>
      </c>
    </row>
    <row r="8" spans="1:1" x14ac:dyDescent="0.15">
      <c r="A8" s="1" t="s">
        <v>87</v>
      </c>
    </row>
    <row r="10" spans="1:1" x14ac:dyDescent="0.15">
      <c r="A10" s="2" t="s">
        <v>88</v>
      </c>
    </row>
    <row r="11" spans="1:1" x14ac:dyDescent="0.15">
      <c r="A11" s="1" t="s">
        <v>89</v>
      </c>
    </row>
    <row r="13" spans="1:1" x14ac:dyDescent="0.15">
      <c r="A13" s="2" t="s">
        <v>90</v>
      </c>
    </row>
    <row r="14" spans="1:1" x14ac:dyDescent="0.15">
      <c r="A14" s="1" t="s">
        <v>91</v>
      </c>
    </row>
    <row r="16" spans="1:1" x14ac:dyDescent="0.15">
      <c r="A16" s="2" t="s">
        <v>92</v>
      </c>
    </row>
    <row r="17" spans="1:1" x14ac:dyDescent="0.15">
      <c r="A17" s="1" t="s">
        <v>93</v>
      </c>
    </row>
    <row r="19" spans="1:1" x14ac:dyDescent="0.15">
      <c r="A19" s="2" t="s">
        <v>94</v>
      </c>
    </row>
    <row r="20" spans="1:1" x14ac:dyDescent="0.15">
      <c r="A20" s="1" t="s">
        <v>95</v>
      </c>
    </row>
    <row r="22" spans="1:1" x14ac:dyDescent="0.15">
      <c r="A22" s="2" t="s">
        <v>96</v>
      </c>
    </row>
    <row r="23" spans="1:1" x14ac:dyDescent="0.15">
      <c r="A23" s="1" t="s">
        <v>97</v>
      </c>
    </row>
    <row r="25" spans="1:1" x14ac:dyDescent="0.15">
      <c r="A25" s="2" t="s">
        <v>98</v>
      </c>
    </row>
    <row r="26" spans="1:1" x14ac:dyDescent="0.15">
      <c r="A26" s="1" t="s">
        <v>99</v>
      </c>
    </row>
    <row r="28" spans="1:1" x14ac:dyDescent="0.15">
      <c r="A28" s="2" t="s">
        <v>100</v>
      </c>
    </row>
    <row r="29" spans="1:1" x14ac:dyDescent="0.15">
      <c r="A29" s="1" t="s">
        <v>101</v>
      </c>
    </row>
    <row r="31" spans="1:1" x14ac:dyDescent="0.15">
      <c r="A31" s="2" t="s">
        <v>102</v>
      </c>
    </row>
    <row r="32" spans="1:1" x14ac:dyDescent="0.15">
      <c r="A32" s="1" t="s">
        <v>103</v>
      </c>
    </row>
    <row r="34" spans="1:1" x14ac:dyDescent="0.15">
      <c r="A34" s="2" t="s">
        <v>104</v>
      </c>
    </row>
    <row r="35" spans="1:1" x14ac:dyDescent="0.15">
      <c r="A35" s="1"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Reports</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2018-01-04T19:16:18Z</dcterms:created>
  <dcterms:modified xsi:type="dcterms:W3CDTF">2019-03-26T13:26:52Z</dcterms:modified>
</cp:coreProperties>
</file>