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0" yWindow="460" windowWidth="15640" windowHeight="16540" tabRatio="500"/>
  </bookViews>
  <sheets>
    <sheet name="Main" sheetId="2" r:id="rId1"/>
    <sheet name="Reports RUB" sheetId="1" r:id="rId2"/>
    <sheet name="Produc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/>
  <c r="I13" i="2"/>
  <c r="J13" i="2"/>
  <c r="F13" i="2"/>
  <c r="G14" i="2"/>
  <c r="H14" i="2"/>
  <c r="I14" i="2"/>
  <c r="J14" i="2"/>
  <c r="F14" i="2"/>
  <c r="F26" i="2"/>
  <c r="G22" i="2"/>
  <c r="H22" i="2"/>
  <c r="I22" i="2"/>
  <c r="J22" i="2"/>
  <c r="F22" i="2"/>
  <c r="F19" i="2"/>
  <c r="F24" i="2"/>
  <c r="F21" i="2"/>
  <c r="F25" i="2"/>
  <c r="F27" i="2"/>
  <c r="F28" i="2"/>
  <c r="F29" i="2"/>
  <c r="F44" i="2"/>
  <c r="G26" i="2"/>
  <c r="G24" i="2"/>
  <c r="F36" i="2"/>
  <c r="G19" i="2"/>
  <c r="G21" i="2"/>
  <c r="G25" i="2"/>
  <c r="G27" i="2"/>
  <c r="G28" i="2"/>
  <c r="G29" i="2"/>
  <c r="G44" i="2"/>
  <c r="H26" i="2"/>
  <c r="H24" i="2"/>
  <c r="G36" i="2"/>
  <c r="H19" i="2"/>
  <c r="H21" i="2"/>
  <c r="H25" i="2"/>
  <c r="H27" i="2"/>
  <c r="H28" i="2"/>
  <c r="H29" i="2"/>
  <c r="H44" i="2"/>
  <c r="I26" i="2"/>
  <c r="I24" i="2"/>
  <c r="H36" i="2"/>
  <c r="I19" i="2"/>
  <c r="I21" i="2"/>
  <c r="I25" i="2"/>
  <c r="I27" i="2"/>
  <c r="I28" i="2"/>
  <c r="I29" i="2"/>
  <c r="I44" i="2"/>
  <c r="J26" i="2"/>
  <c r="J24" i="2"/>
  <c r="I36" i="2"/>
  <c r="J19" i="2"/>
  <c r="J21" i="2"/>
  <c r="J25" i="2"/>
  <c r="J27" i="2"/>
  <c r="J28" i="2"/>
  <c r="J29" i="2"/>
  <c r="J44" i="2"/>
  <c r="K26" i="2"/>
  <c r="K22" i="2"/>
  <c r="K24" i="2"/>
  <c r="J36" i="2"/>
  <c r="K19" i="2"/>
  <c r="K21" i="2"/>
  <c r="K25" i="2"/>
  <c r="K27" i="2"/>
  <c r="K28" i="2"/>
  <c r="K29" i="2"/>
  <c r="K44" i="2"/>
  <c r="L26" i="2"/>
  <c r="L22" i="2"/>
  <c r="L24" i="2"/>
  <c r="K36" i="2"/>
  <c r="L19" i="2"/>
  <c r="L21" i="2"/>
  <c r="L25" i="2"/>
  <c r="L27" i="2"/>
  <c r="L28" i="2"/>
  <c r="L29" i="2"/>
  <c r="L44" i="2"/>
  <c r="M26" i="2"/>
  <c r="M22" i="2"/>
  <c r="M24" i="2"/>
  <c r="L36" i="2"/>
  <c r="M19" i="2"/>
  <c r="M21" i="2"/>
  <c r="M25" i="2"/>
  <c r="M27" i="2"/>
  <c r="M28" i="2"/>
  <c r="M29" i="2"/>
  <c r="M44" i="2"/>
  <c r="N26" i="2"/>
  <c r="N22" i="2"/>
  <c r="N24" i="2"/>
  <c r="M36" i="2"/>
  <c r="N19" i="2"/>
  <c r="N21" i="2"/>
  <c r="N25" i="2"/>
  <c r="N27" i="2"/>
  <c r="N28" i="2"/>
  <c r="N29" i="2"/>
  <c r="N44" i="2"/>
  <c r="O26" i="2"/>
  <c r="O22" i="2"/>
  <c r="O24" i="2"/>
  <c r="N36" i="2"/>
  <c r="O19" i="2"/>
  <c r="O21" i="2"/>
  <c r="O25" i="2"/>
  <c r="O27" i="2"/>
  <c r="O28" i="2"/>
  <c r="O29" i="2"/>
  <c r="O44" i="2"/>
  <c r="P26" i="2"/>
  <c r="P22" i="2"/>
  <c r="P24" i="2"/>
  <c r="O36" i="2"/>
  <c r="P19" i="2"/>
  <c r="P21" i="2"/>
  <c r="P25" i="2"/>
  <c r="P27" i="2"/>
  <c r="P28" i="2"/>
  <c r="P29" i="2"/>
  <c r="P44" i="2"/>
  <c r="Q26" i="2"/>
  <c r="Q22" i="2"/>
  <c r="Q24" i="2"/>
  <c r="P36" i="2"/>
  <c r="Q19" i="2"/>
  <c r="Q21" i="2"/>
  <c r="Q25" i="2"/>
  <c r="Q27" i="2"/>
  <c r="Q28" i="2"/>
  <c r="L23" i="2"/>
  <c r="M23" i="2"/>
  <c r="N23" i="2"/>
  <c r="O23" i="2"/>
  <c r="P23" i="2"/>
  <c r="Q23" i="2"/>
  <c r="K23" i="2"/>
  <c r="G23" i="2"/>
  <c r="H23" i="2"/>
  <c r="I23" i="2"/>
  <c r="J23" i="2"/>
  <c r="F23" i="2"/>
  <c r="I6" i="2"/>
  <c r="I5" i="2"/>
  <c r="I4" i="2"/>
  <c r="I3" i="2"/>
  <c r="I2" i="2"/>
  <c r="F34" i="2"/>
  <c r="G34" i="2"/>
  <c r="H34" i="2"/>
  <c r="I34" i="2"/>
  <c r="J34" i="2"/>
  <c r="K34" i="2"/>
  <c r="L34" i="2"/>
  <c r="M34" i="2"/>
  <c r="N34" i="2"/>
  <c r="O34" i="2"/>
  <c r="P34" i="2"/>
  <c r="Q29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F5" i="2"/>
  <c r="F6" i="2"/>
  <c r="R29" i="2"/>
  <c r="F4" i="2"/>
  <c r="C5" i="2"/>
  <c r="C3" i="2"/>
  <c r="F33" i="2"/>
  <c r="Q33" i="2"/>
  <c r="P33" i="2"/>
  <c r="O33" i="2"/>
  <c r="N33" i="2"/>
  <c r="M33" i="2"/>
  <c r="L33" i="2"/>
  <c r="K33" i="2"/>
  <c r="J33" i="2"/>
  <c r="I33" i="2"/>
  <c r="H33" i="2"/>
  <c r="G33" i="2"/>
  <c r="E34" i="2"/>
  <c r="D34" i="2"/>
  <c r="C34" i="2"/>
  <c r="B34" i="2"/>
  <c r="E33" i="2"/>
  <c r="D33" i="2"/>
  <c r="C33" i="2"/>
  <c r="B33" i="2"/>
  <c r="E44" i="2"/>
  <c r="D44" i="2"/>
  <c r="E50" i="2"/>
  <c r="E49" i="2"/>
  <c r="E48" i="2"/>
  <c r="E46" i="2"/>
  <c r="E45" i="2"/>
  <c r="D50" i="2"/>
  <c r="D49" i="2"/>
  <c r="D48" i="2"/>
  <c r="D46" i="2"/>
  <c r="D45" i="2"/>
  <c r="E31" i="2"/>
  <c r="E23" i="2"/>
  <c r="E22" i="2"/>
  <c r="E20" i="2"/>
  <c r="E14" i="2"/>
  <c r="E13" i="2"/>
  <c r="E12" i="2"/>
  <c r="D31" i="2"/>
  <c r="D12" i="2"/>
  <c r="D13" i="2"/>
  <c r="D14" i="2"/>
  <c r="D19" i="2"/>
  <c r="C12" i="2"/>
  <c r="C13" i="2"/>
  <c r="C14" i="2"/>
  <c r="C19" i="2"/>
  <c r="B12" i="2"/>
  <c r="B13" i="2"/>
  <c r="B14" i="2"/>
  <c r="B19" i="2"/>
  <c r="D20" i="2"/>
  <c r="C31" i="2"/>
  <c r="C28" i="2"/>
  <c r="C26" i="2"/>
  <c r="C23" i="2"/>
  <c r="C22" i="2"/>
  <c r="C20" i="2"/>
  <c r="B31" i="2"/>
  <c r="B28" i="2"/>
  <c r="B26" i="2"/>
  <c r="B23" i="2"/>
  <c r="B22" i="2"/>
  <c r="B20" i="2"/>
  <c r="Q52" i="1"/>
  <c r="P52" i="1"/>
  <c r="O52" i="1"/>
  <c r="N52" i="1"/>
  <c r="M52" i="1"/>
  <c r="L52" i="1"/>
  <c r="K52" i="1"/>
  <c r="J52" i="1"/>
  <c r="I52" i="1"/>
  <c r="H52" i="1"/>
  <c r="G52" i="1"/>
  <c r="F52" i="1"/>
  <c r="E17" i="1"/>
  <c r="E14" i="1"/>
  <c r="I17" i="1"/>
  <c r="I14" i="1"/>
  <c r="I64" i="1"/>
  <c r="E10" i="1"/>
  <c r="I10" i="1"/>
  <c r="D17" i="1"/>
  <c r="D14" i="1"/>
  <c r="D10" i="1"/>
  <c r="H17" i="1"/>
  <c r="H14" i="1"/>
  <c r="H64" i="1"/>
  <c r="H10" i="1"/>
  <c r="C17" i="1"/>
  <c r="C14" i="1"/>
  <c r="G17" i="1"/>
  <c r="G14" i="1"/>
  <c r="G10" i="1"/>
  <c r="G64" i="1"/>
  <c r="C10" i="1"/>
  <c r="B10" i="1"/>
  <c r="D12" i="1"/>
  <c r="D15" i="1"/>
  <c r="D16" i="1"/>
  <c r="D18" i="1"/>
  <c r="D21" i="1"/>
  <c r="D22" i="1"/>
  <c r="C12" i="1"/>
  <c r="C15" i="1"/>
  <c r="C16" i="1"/>
  <c r="C18" i="1"/>
  <c r="C21" i="1"/>
  <c r="C22" i="1"/>
  <c r="B12" i="1"/>
  <c r="B16" i="1"/>
  <c r="B18" i="1"/>
  <c r="B21" i="1"/>
  <c r="B22" i="1"/>
  <c r="B17" i="1"/>
  <c r="B14" i="1"/>
  <c r="F17" i="1"/>
  <c r="F14" i="1"/>
  <c r="F10" i="1"/>
  <c r="E64" i="1"/>
  <c r="D64" i="1"/>
  <c r="C64" i="1"/>
  <c r="B64" i="1"/>
  <c r="F64" i="1"/>
  <c r="K21" i="1"/>
  <c r="J21" i="1"/>
  <c r="J64" i="1"/>
  <c r="N44" i="1"/>
  <c r="N39" i="1"/>
  <c r="N37" i="1"/>
  <c r="N34" i="1"/>
  <c r="J22" i="1"/>
  <c r="J17" i="1"/>
  <c r="J14" i="1"/>
  <c r="K10" i="1"/>
  <c r="J10" i="1"/>
  <c r="N17" i="1"/>
  <c r="N14" i="1"/>
  <c r="O64" i="1"/>
  <c r="N64" i="1"/>
  <c r="N10" i="1"/>
  <c r="O39" i="1"/>
  <c r="O37" i="1"/>
  <c r="O34" i="1"/>
  <c r="K17" i="1"/>
  <c r="K14" i="1"/>
  <c r="O17" i="1"/>
  <c r="O14" i="1"/>
  <c r="O10" i="1"/>
  <c r="K64" i="1"/>
  <c r="P39" i="1"/>
  <c r="P37" i="1"/>
  <c r="P34" i="1"/>
  <c r="L17" i="1"/>
  <c r="L14" i="1"/>
  <c r="P17" i="1"/>
  <c r="P14" i="1"/>
  <c r="L64" i="1"/>
  <c r="P64" i="1"/>
  <c r="P10" i="1"/>
  <c r="L10" i="1"/>
  <c r="M37" i="1"/>
  <c r="M39" i="1"/>
  <c r="M34" i="1"/>
  <c r="Q39" i="1"/>
  <c r="Q37" i="1"/>
  <c r="Q34" i="1"/>
  <c r="M17" i="1"/>
  <c r="M14" i="1"/>
  <c r="Q17" i="1"/>
  <c r="Q14" i="1"/>
  <c r="Q15" i="1"/>
  <c r="M10" i="1"/>
  <c r="M64" i="1"/>
  <c r="Q64" i="1"/>
  <c r="Q10" i="1"/>
  <c r="E52" i="2"/>
  <c r="E19" i="2"/>
  <c r="E21" i="2"/>
  <c r="E36" i="2"/>
  <c r="E26" i="2"/>
  <c r="E28" i="2"/>
  <c r="N12" i="1"/>
  <c r="O12" i="1"/>
  <c r="O15" i="1"/>
  <c r="O16" i="1"/>
  <c r="O18" i="1"/>
  <c r="O21" i="1"/>
  <c r="P12" i="1"/>
  <c r="P15" i="1"/>
  <c r="P16" i="1"/>
  <c r="P18" i="1"/>
  <c r="P21" i="1"/>
  <c r="Q12" i="1"/>
  <c r="Q16" i="1"/>
  <c r="Q18" i="1"/>
  <c r="Q21" i="1"/>
  <c r="Q41" i="1"/>
  <c r="Q42" i="1"/>
  <c r="F12" i="2"/>
  <c r="G12" i="2"/>
  <c r="H12" i="2"/>
  <c r="I12" i="2"/>
  <c r="J12" i="2"/>
  <c r="G62" i="2"/>
  <c r="J61" i="2"/>
  <c r="J62" i="2"/>
  <c r="J60" i="2"/>
  <c r="E53" i="2"/>
  <c r="Q33" i="1"/>
  <c r="Q22" i="1"/>
  <c r="M12" i="1"/>
  <c r="M15" i="1"/>
  <c r="M16" i="1"/>
  <c r="M18" i="1"/>
  <c r="I12" i="1"/>
  <c r="I15" i="1"/>
  <c r="I16" i="1"/>
  <c r="I18" i="1"/>
  <c r="I27" i="1"/>
  <c r="P25" i="1"/>
  <c r="P27" i="1"/>
  <c r="P33" i="1"/>
  <c r="Q51" i="1"/>
  <c r="P51" i="1"/>
  <c r="O51" i="1"/>
  <c r="N51" i="1"/>
  <c r="M51" i="1"/>
  <c r="L51" i="1"/>
  <c r="K51" i="1"/>
  <c r="J51" i="1"/>
  <c r="I51" i="1"/>
  <c r="H51" i="1"/>
  <c r="G51" i="1"/>
  <c r="Q50" i="1"/>
  <c r="P50" i="1"/>
  <c r="O50" i="1"/>
  <c r="N50" i="1"/>
  <c r="M50" i="1"/>
  <c r="L50" i="1"/>
  <c r="K50" i="1"/>
  <c r="J50" i="1"/>
  <c r="I50" i="1"/>
  <c r="H50" i="1"/>
  <c r="G50" i="1"/>
  <c r="F51" i="1"/>
  <c r="F50" i="1"/>
  <c r="I62" i="2"/>
  <c r="H62" i="2"/>
  <c r="F62" i="2"/>
  <c r="I61" i="2"/>
  <c r="H61" i="2"/>
  <c r="G61" i="2"/>
  <c r="F61" i="2"/>
  <c r="I60" i="2"/>
  <c r="H60" i="2"/>
  <c r="G60" i="2"/>
  <c r="F60" i="2"/>
  <c r="E62" i="2"/>
  <c r="D62" i="2"/>
  <c r="C62" i="2"/>
  <c r="E61" i="2"/>
  <c r="D61" i="2"/>
  <c r="C61" i="2"/>
  <c r="E60" i="2"/>
  <c r="D60" i="2"/>
  <c r="C60" i="2"/>
  <c r="B21" i="2"/>
  <c r="B24" i="2"/>
  <c r="B25" i="2"/>
  <c r="B27" i="2"/>
  <c r="E12" i="1"/>
  <c r="E15" i="1"/>
  <c r="E16" i="1"/>
  <c r="E18" i="1"/>
  <c r="E21" i="1"/>
  <c r="B29" i="2"/>
  <c r="M21" i="1"/>
  <c r="P42" i="1"/>
  <c r="C21" i="2"/>
  <c r="C24" i="2"/>
  <c r="C25" i="2"/>
  <c r="C27" i="2"/>
  <c r="C29" i="2"/>
  <c r="D26" i="2"/>
  <c r="B30" i="2"/>
  <c r="D52" i="2"/>
  <c r="D21" i="2"/>
  <c r="D22" i="2"/>
  <c r="D23" i="2"/>
  <c r="D24" i="2"/>
  <c r="D25" i="2"/>
  <c r="D27" i="2"/>
  <c r="D28" i="2"/>
  <c r="D29" i="2"/>
  <c r="D58" i="2"/>
  <c r="D53" i="2"/>
  <c r="D57" i="2"/>
  <c r="D56" i="2"/>
  <c r="D55" i="2"/>
  <c r="I21" i="1"/>
  <c r="J12" i="1"/>
  <c r="J15" i="1"/>
  <c r="J16" i="1"/>
  <c r="J18" i="1"/>
  <c r="K12" i="1"/>
  <c r="K15" i="1"/>
  <c r="K16" i="1"/>
  <c r="K18" i="1"/>
  <c r="L12" i="1"/>
  <c r="L15" i="1"/>
  <c r="L16" i="1"/>
  <c r="L18" i="1"/>
  <c r="L21" i="1"/>
  <c r="B38" i="2"/>
  <c r="B36" i="2"/>
  <c r="B37" i="2"/>
  <c r="C4" i="2"/>
  <c r="C6" i="2"/>
  <c r="P41" i="1"/>
  <c r="F12" i="1"/>
  <c r="F15" i="1"/>
  <c r="F16" i="1"/>
  <c r="F18" i="1"/>
  <c r="F21" i="1"/>
  <c r="G12" i="1"/>
  <c r="G15" i="1"/>
  <c r="G16" i="1"/>
  <c r="G18" i="1"/>
  <c r="G21" i="1"/>
  <c r="H12" i="1"/>
  <c r="H15" i="1"/>
  <c r="H16" i="1"/>
  <c r="H18" i="1"/>
  <c r="H21" i="1"/>
  <c r="M44" i="1"/>
  <c r="M41" i="1"/>
  <c r="M48" i="1"/>
  <c r="M42" i="1"/>
  <c r="M47" i="1"/>
  <c r="M46" i="1"/>
  <c r="M45" i="1"/>
  <c r="B15" i="1"/>
  <c r="Q25" i="1"/>
  <c r="O41" i="1"/>
  <c r="O42" i="1"/>
  <c r="N41" i="1"/>
  <c r="N42" i="1"/>
  <c r="E22" i="1"/>
  <c r="F22" i="1"/>
  <c r="G22" i="1"/>
  <c r="H22" i="1"/>
  <c r="M33" i="1"/>
  <c r="E27" i="1"/>
  <c r="M27" i="1"/>
  <c r="Q29" i="1"/>
  <c r="Q27" i="1"/>
  <c r="Q26" i="1"/>
  <c r="Q31" i="1"/>
  <c r="Q30" i="1"/>
  <c r="N33" i="1"/>
  <c r="N25" i="1"/>
  <c r="N30" i="1"/>
  <c r="N29" i="1"/>
  <c r="O33" i="1"/>
  <c r="O27" i="1"/>
  <c r="O26" i="1"/>
  <c r="O25" i="1"/>
  <c r="O31" i="1"/>
  <c r="O30" i="1"/>
  <c r="O29" i="1"/>
  <c r="O22" i="1"/>
  <c r="P22" i="1"/>
  <c r="P26" i="1"/>
  <c r="P31" i="1"/>
  <c r="P30" i="1"/>
  <c r="P29" i="1"/>
  <c r="D36" i="2"/>
  <c r="C40" i="2"/>
  <c r="Q36" i="2"/>
  <c r="C7" i="2"/>
  <c r="F31" i="2"/>
  <c r="G31" i="2"/>
  <c r="H31" i="2"/>
  <c r="I31" i="2"/>
  <c r="J31" i="2"/>
  <c r="K31" i="2"/>
  <c r="L31" i="2"/>
  <c r="M31" i="2"/>
  <c r="N31" i="2"/>
  <c r="O31" i="2"/>
  <c r="P31" i="2"/>
  <c r="Q31" i="2"/>
  <c r="Q20" i="2"/>
  <c r="P20" i="2"/>
  <c r="O20" i="2"/>
  <c r="N20" i="2"/>
  <c r="M20" i="2"/>
  <c r="L20" i="2"/>
  <c r="K20" i="2"/>
  <c r="J20" i="2"/>
  <c r="I20" i="2"/>
  <c r="H20" i="2"/>
  <c r="G20" i="2"/>
  <c r="F20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F30" i="1"/>
  <c r="M29" i="1"/>
  <c r="C42" i="2"/>
  <c r="C41" i="2"/>
  <c r="D30" i="2"/>
  <c r="I30" i="1"/>
  <c r="M30" i="1"/>
  <c r="K30" i="1"/>
  <c r="J30" i="1"/>
  <c r="H30" i="1"/>
  <c r="L30" i="1"/>
  <c r="H31" i="1"/>
  <c r="I31" i="1"/>
  <c r="J31" i="1"/>
  <c r="K31" i="1"/>
  <c r="L31" i="1"/>
  <c r="M31" i="1"/>
  <c r="G31" i="1"/>
  <c r="G30" i="1"/>
  <c r="F31" i="1"/>
  <c r="F29" i="1"/>
  <c r="M22" i="1"/>
  <c r="M25" i="1"/>
  <c r="M26" i="1"/>
  <c r="C36" i="2"/>
  <c r="F27" i="1"/>
  <c r="F26" i="1"/>
  <c r="F25" i="1"/>
  <c r="B27" i="1"/>
  <c r="B26" i="1"/>
  <c r="B25" i="1"/>
  <c r="D40" i="2"/>
  <c r="C38" i="2"/>
  <c r="D38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37" i="2"/>
  <c r="C37" i="2"/>
  <c r="C30" i="2"/>
  <c r="G29" i="1"/>
  <c r="H29" i="1"/>
  <c r="I29" i="1"/>
  <c r="C27" i="1"/>
  <c r="C26" i="1"/>
  <c r="C25" i="1"/>
  <c r="D27" i="1"/>
  <c r="D26" i="1"/>
  <c r="D25" i="1"/>
  <c r="E26" i="1"/>
  <c r="E25" i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H27" i="1"/>
  <c r="L29" i="1"/>
  <c r="K29" i="1"/>
  <c r="J29" i="1"/>
  <c r="I26" i="1"/>
  <c r="I25" i="1"/>
  <c r="I22" i="1"/>
  <c r="J27" i="1"/>
  <c r="J26" i="1"/>
  <c r="J25" i="1"/>
  <c r="K27" i="1"/>
  <c r="K26" i="1"/>
  <c r="K25" i="1"/>
  <c r="K22" i="1"/>
  <c r="G27" i="1"/>
  <c r="G26" i="1"/>
  <c r="G25" i="1"/>
  <c r="H25" i="1"/>
  <c r="H26" i="1"/>
  <c r="L27" i="1"/>
  <c r="L26" i="1"/>
  <c r="L25" i="1"/>
  <c r="L22" i="1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F7" i="2"/>
  <c r="G7" i="2"/>
  <c r="Q30" i="2"/>
  <c r="P30" i="2"/>
  <c r="O30" i="2"/>
  <c r="N30" i="2"/>
  <c r="M30" i="2"/>
  <c r="L30" i="2"/>
  <c r="K30" i="2"/>
  <c r="J30" i="2"/>
  <c r="I30" i="2"/>
  <c r="H30" i="2"/>
  <c r="G30" i="2"/>
  <c r="Q38" i="2"/>
  <c r="F37" i="2"/>
  <c r="G37" i="2"/>
  <c r="H37" i="2"/>
  <c r="I37" i="2"/>
  <c r="J37" i="2"/>
  <c r="K37" i="2"/>
  <c r="L37" i="2"/>
  <c r="M37" i="2"/>
  <c r="N37" i="2"/>
  <c r="O37" i="2"/>
  <c r="P37" i="2"/>
  <c r="Q37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F30" i="2"/>
  <c r="N15" i="1"/>
  <c r="N16" i="1"/>
  <c r="N18" i="1"/>
  <c r="N21" i="1"/>
  <c r="N22" i="1"/>
  <c r="N31" i="1"/>
  <c r="N26" i="1"/>
  <c r="N27" i="1"/>
  <c r="N45" i="1"/>
  <c r="N46" i="1"/>
  <c r="N47" i="1"/>
  <c r="N48" i="1"/>
  <c r="O44" i="1"/>
  <c r="O45" i="1"/>
  <c r="O46" i="1"/>
  <c r="O47" i="1"/>
  <c r="O48" i="1"/>
  <c r="P44" i="1"/>
  <c r="P46" i="1"/>
  <c r="P47" i="1"/>
  <c r="P48" i="1"/>
  <c r="Q44" i="2"/>
  <c r="P45" i="1"/>
  <c r="Q44" i="1"/>
  <c r="Q45" i="1"/>
  <c r="Q46" i="1"/>
  <c r="E24" i="2"/>
  <c r="E25" i="2"/>
  <c r="E27" i="2"/>
  <c r="E29" i="2"/>
  <c r="E30" i="2"/>
  <c r="E55" i="2"/>
  <c r="E56" i="2"/>
  <c r="E57" i="2"/>
  <c r="E58" i="2"/>
  <c r="P38" i="2"/>
  <c r="O38" i="2"/>
  <c r="N38" i="2"/>
  <c r="M38" i="2"/>
  <c r="L38" i="2"/>
  <c r="K38" i="2"/>
  <c r="J38" i="2"/>
  <c r="I38" i="2"/>
  <c r="H38" i="2"/>
  <c r="G38" i="2"/>
  <c r="F38" i="2"/>
  <c r="Q47" i="1"/>
  <c r="Q48" i="1"/>
  <c r="E38" i="2"/>
  <c r="E37" i="2"/>
</calcChain>
</file>

<file path=xl/sharedStrings.xml><?xml version="1.0" encoding="utf-8"?>
<sst xmlns="http://schemas.openxmlformats.org/spreadsheetml/2006/main" count="190" uniqueCount="143">
  <si>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</si>
  <si>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</si>
  <si>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</si>
  <si>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</si>
  <si>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</si>
  <si>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</si>
  <si>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</si>
  <si>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</si>
  <si>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</si>
  <si>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</si>
  <si>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</si>
  <si>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</si>
  <si>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</si>
  <si>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</si>
  <si>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</si>
  <si>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</si>
  <si>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</si>
  <si>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</si>
  <si>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</si>
  <si>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</si>
  <si>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</si>
  <si>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</si>
  <si>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</si>
  <si>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</si>
  <si>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</si>
  <si>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</si>
  <si>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</si>
  <si>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</si>
  <si>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</si>
  <si>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</si>
  <si>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</si>
  <si>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</si>
  <si>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</si>
  <si>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</si>
  <si>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</si>
  <si>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</si>
  <si>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</si>
  <si>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</si>
  <si>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</si>
  <si>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</si>
  <si>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</si>
  <si>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</si>
  <si>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</si>
  <si>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</si>
  <si>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</si>
  <si>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</si>
  <si>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</si>
  <si>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</si>
  <si>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</si>
  <si>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</si>
  <si>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</si>
  <si>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</si>
  <si>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</si>
  <si>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</si>
  <si>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</si>
  <si>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</si>
  <si>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</si>
  <si>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</si>
  <si>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</si>
  <si>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</si>
  <si>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</si>
  <si>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</si>
  <si>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</si>
  <si>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</si>
  <si>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</si>
  <si>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</si>
  <si>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</si>
  <si>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</si>
  <si>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</si>
  <si>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</si>
  <si>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</si>
  <si>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</si>
  <si>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</si>
  <si>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</si>
  <si>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</si>
  <si>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</si>
  <si>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</si>
  <si>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</si>
  <si>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</si>
  <si>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</si>
  <si>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</si>
  <si>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</si>
  <si>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</si>
  <si>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</si>
  <si>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</si>
  <si>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</si>
  <si>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</si>
  <si>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Future net income (terminal value)</t>
  </si>
  <si>
    <t>Earnings</t>
  </si>
  <si>
    <t>Growth</t>
  </si>
  <si>
    <t>GM</t>
  </si>
  <si>
    <t>OM</t>
  </si>
  <si>
    <t>Yandex NV (YNDX)</t>
  </si>
  <si>
    <t>Arkady Volozh</t>
  </si>
  <si>
    <t>24/3/2019</t>
  </si>
  <si>
    <t>Yandex properties</t>
  </si>
  <si>
    <t>Advertising network</t>
  </si>
  <si>
    <t>Yandex properties y/y</t>
  </si>
  <si>
    <t>Advertising network y/y</t>
  </si>
  <si>
    <t>Search and portal</t>
  </si>
  <si>
    <t>E-commerce</t>
  </si>
  <si>
    <t>Taxi</t>
  </si>
  <si>
    <t>Classifieds</t>
  </si>
  <si>
    <t>Media service</t>
  </si>
  <si>
    <t>Experiments</t>
  </si>
  <si>
    <t>Eliminations</t>
  </si>
  <si>
    <t>Total</t>
  </si>
  <si>
    <t>S&amp;M+G&amp;A</t>
  </si>
  <si>
    <t>S&amp;M+G&amp;M y/y</t>
  </si>
  <si>
    <t>Other y/y</t>
  </si>
  <si>
    <t>Revenue USD</t>
  </si>
  <si>
    <t>Net Income USD</t>
  </si>
  <si>
    <t>USD/RUB</t>
  </si>
  <si>
    <t>S&amp;M+G&amp;A y/y</t>
  </si>
  <si>
    <t>Yandex Search</t>
  </si>
  <si>
    <t>Search engine</t>
  </si>
  <si>
    <t>Yandex.Direct</t>
  </si>
  <si>
    <t>Automated advertising network</t>
  </si>
  <si>
    <t>Yandex Disk</t>
  </si>
  <si>
    <t>Cloud file storage</t>
  </si>
  <si>
    <t>Alisa</t>
  </si>
  <si>
    <t>Virtual assistant</t>
  </si>
  <si>
    <t>Yandex.Mail</t>
  </si>
  <si>
    <t>Yandex Browser</t>
  </si>
  <si>
    <t>Web browser</t>
  </si>
  <si>
    <t>Yandex Maps</t>
  </si>
  <si>
    <t>Map service</t>
  </si>
  <si>
    <t>Yandex.Market</t>
  </si>
  <si>
    <t>Online marketplace</t>
  </si>
  <si>
    <t>Yandex.Eda</t>
  </si>
  <si>
    <t>Yandex.Metro</t>
  </si>
  <si>
    <t>Yandex News</t>
  </si>
  <si>
    <t>Yandex Video</t>
  </si>
  <si>
    <t>Yandex Money</t>
  </si>
  <si>
    <t>Payment provider</t>
  </si>
  <si>
    <t>Yandex Music</t>
  </si>
  <si>
    <t>Yandex.Timetable</t>
  </si>
  <si>
    <t>Yandex.Traffic</t>
  </si>
  <si>
    <t>Yandex.Translate</t>
  </si>
  <si>
    <t>Yandex Taxi</t>
  </si>
  <si>
    <t>Partly owned by Uber</t>
  </si>
  <si>
    <t>Ride-hailing and food tech</t>
  </si>
  <si>
    <t>Ya.ru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</si>
</sst>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0" fontId="6" fillId="0" borderId="1" xfId="0" applyFont="1" applyBorder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3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3" fontId="5" fillId="0" borderId="0" xfId="0" applyNumberFormat="1" applyFont="1"/>
    <xf numFmtId="4" fontId="5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9</xdr:row>
      <xdr:rowOff>152400</xdr:rowOff>
    </xdr:from>
    <xdr:to>
      <xdr:col>5</xdr:col>
      <xdr:colOff>88900</xdr:colOff>
      <xdr:row>66</xdr:row>
      <xdr:rowOff>12700</xdr:rowOff>
    </xdr:to>
    <xdr:cxnSp macro="">
      <xdr:nvCxnSpPr>
        <xdr:cNvPr id="4" name="Straight Connector 3"/>
        <xdr:cNvCxnSpPr/>
      </xdr:nvCxnSpPr>
      <xdr:spPr>
        <a:xfrm>
          <a:off x="4724400" y="1308100"/>
          <a:ext cx="0" cy="910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0</xdr:row>
      <xdr:rowOff>152400</xdr:rowOff>
    </xdr:from>
    <xdr:to>
      <xdr:col>17</xdr:col>
      <xdr:colOff>177800</xdr:colOff>
      <xdr:row>64</xdr:row>
      <xdr:rowOff>152400</xdr:rowOff>
    </xdr:to>
    <xdr:cxnSp macro="">
      <xdr:nvCxnSpPr>
        <xdr:cNvPr id="4" name="Straight Connector 3"/>
        <xdr:cNvCxnSpPr/>
      </xdr:nvCxnSpPr>
      <xdr:spPr>
        <a:xfrm>
          <a:off x="14770100" y="152400"/>
          <a:ext cx="0" cy="10401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rkady_Volozh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en.wikipedia.org/wiki/Arkady_Volozh" TargetMode="External"/><Relationship Id="rId2" Type="http://schemas.openxmlformats.org/officeDocument/2006/relationships/hyperlink" Target="https://yandex.gcs-web.com/index.php/financial-relea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action=getcompany&amp;CIK=0001513845&amp;owner=include&amp;count=4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5"/>
  <sheetViews>
    <sheetView tabSelected="1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G34" sqref="G34"/>
    </sheetView>
  </sheetViews>
  <sheetFormatPr baseColWidth="10" defaultRowHeight="13" x14ac:dyDescent="0.15"/>
  <cols>
    <col min="1" max="1" width="18.1640625" style="3" bestFit="1" customWidth="1"/>
    <col min="2" max="16384" width="10.83203125" style="3"/>
  </cols>
  <sheetData>
    <row r="1" spans="1:122" x14ac:dyDescent="0.15">
      <c r="A1" s="1" t="s">
        <v>80</v>
      </c>
      <c r="B1" s="2" t="s">
        <v>92</v>
      </c>
    </row>
    <row r="2" spans="1:122" x14ac:dyDescent="0.15">
      <c r="B2" s="3" t="s">
        <v>60</v>
      </c>
      <c r="C2" s="4">
        <v>35.31</v>
      </c>
      <c r="D2" s="3" t="s">
        <v>94</v>
      </c>
      <c r="E2" s="6" t="s">
        <v>35</v>
      </c>
      <c r="F2" s="7">
        <v>-0.02</v>
      </c>
      <c r="H2" s="3" t="s">
        <v>4</v>
      </c>
      <c r="I2" s="16">
        <f>E33</f>
        <v>1976.1145510835916</v>
      </c>
      <c r="L2" s="2"/>
    </row>
    <row r="3" spans="1:122" x14ac:dyDescent="0.15">
      <c r="A3" s="2" t="s">
        <v>58</v>
      </c>
      <c r="B3" s="3" t="s">
        <v>15</v>
      </c>
      <c r="C3" s="8">
        <f>'Reports RUB'!Q23</f>
        <v>331.67552699999999</v>
      </c>
      <c r="D3" s="3" t="s">
        <v>43</v>
      </c>
      <c r="E3" s="6" t="s">
        <v>36</v>
      </c>
      <c r="F3" s="7">
        <v>0.02</v>
      </c>
      <c r="G3" s="5" t="s">
        <v>81</v>
      </c>
      <c r="H3" s="3" t="s">
        <v>88</v>
      </c>
      <c r="I3" s="16">
        <f>E34</f>
        <v>709.92260061919512</v>
      </c>
    </row>
    <row r="4" spans="1:122" x14ac:dyDescent="0.15">
      <c r="A4" s="9" t="s">
        <v>93</v>
      </c>
      <c r="B4" s="3" t="s">
        <v>61</v>
      </c>
      <c r="C4" s="10">
        <f>C2*C3</f>
        <v>11711.46285837</v>
      </c>
      <c r="E4" s="6" t="s">
        <v>37</v>
      </c>
      <c r="F4" s="7">
        <f>2%+5%</f>
        <v>7.0000000000000007E-2</v>
      </c>
      <c r="G4" s="5" t="s">
        <v>64</v>
      </c>
      <c r="H4" s="3" t="s">
        <v>89</v>
      </c>
      <c r="I4" s="27">
        <f>E40</f>
        <v>0.35727348119165581</v>
      </c>
    </row>
    <row r="5" spans="1:122" x14ac:dyDescent="0.15">
      <c r="B5" s="3" t="s">
        <v>31</v>
      </c>
      <c r="C5" s="8">
        <f>'Reports RUB'!Q33/C9</f>
        <v>1629.7523219814243</v>
      </c>
      <c r="D5" s="3" t="s">
        <v>43</v>
      </c>
      <c r="E5" s="6" t="s">
        <v>38</v>
      </c>
      <c r="F5" s="11">
        <f>NPV(F4,F34:DR34)</f>
        <v>15201.88077575639</v>
      </c>
      <c r="G5" s="5" t="s">
        <v>87</v>
      </c>
      <c r="H5" s="3" t="s">
        <v>90</v>
      </c>
      <c r="I5" s="27">
        <f>E36</f>
        <v>0.71885599692927138</v>
      </c>
    </row>
    <row r="6" spans="1:122" x14ac:dyDescent="0.15">
      <c r="A6" s="2" t="s">
        <v>59</v>
      </c>
      <c r="B6" s="3" t="s">
        <v>62</v>
      </c>
      <c r="C6" s="10">
        <f>C4-C5</f>
        <v>10081.710536388575</v>
      </c>
      <c r="E6" s="12" t="s">
        <v>39</v>
      </c>
      <c r="F6" s="13">
        <f>F5+C5</f>
        <v>16831.633097737813</v>
      </c>
      <c r="H6" s="3" t="s">
        <v>91</v>
      </c>
      <c r="I6" s="27">
        <f>E37</f>
        <v>0.1634144621916542</v>
      </c>
    </row>
    <row r="7" spans="1:122" x14ac:dyDescent="0.15">
      <c r="A7" s="9" t="s">
        <v>93</v>
      </c>
      <c r="B7" s="5" t="s">
        <v>63</v>
      </c>
      <c r="C7" s="65">
        <f>C6/C3</f>
        <v>30.396305170832139</v>
      </c>
      <c r="E7" s="14" t="s">
        <v>63</v>
      </c>
      <c r="F7" s="60">
        <f>F6/C3</f>
        <v>50.747286813650902</v>
      </c>
      <c r="G7" s="27">
        <f>F7/C2-1</f>
        <v>0.43719305617816206</v>
      </c>
    </row>
    <row r="8" spans="1:122" x14ac:dyDescent="0.15">
      <c r="A8" s="9"/>
      <c r="B8" s="5"/>
      <c r="E8" s="14"/>
      <c r="F8" s="14"/>
      <c r="G8" s="27"/>
    </row>
    <row r="9" spans="1:122" x14ac:dyDescent="0.15">
      <c r="A9" s="9"/>
      <c r="B9" s="2" t="s">
        <v>112</v>
      </c>
      <c r="C9" s="69">
        <v>64.599999999999994</v>
      </c>
      <c r="E9" s="14"/>
      <c r="F9" s="14"/>
      <c r="G9" s="27"/>
    </row>
    <row r="10" spans="1:122" x14ac:dyDescent="0.15">
      <c r="E10" s="6"/>
      <c r="F10" s="15"/>
    </row>
    <row r="11" spans="1:122" x14ac:dyDescent="0.15">
      <c r="B11" s="3">
        <v>2015</v>
      </c>
      <c r="C11" s="3">
        <v>2016</v>
      </c>
      <c r="D11" s="3">
        <v>2017</v>
      </c>
      <c r="E11" s="3">
        <f>D11+1</f>
        <v>2018</v>
      </c>
      <c r="F11" s="3">
        <f t="shared" ref="F11:Q11" si="0">E11+1</f>
        <v>2019</v>
      </c>
      <c r="G11" s="3">
        <f t="shared" si="0"/>
        <v>2020</v>
      </c>
      <c r="H11" s="3">
        <f t="shared" si="0"/>
        <v>2021</v>
      </c>
      <c r="I11" s="3">
        <f t="shared" si="0"/>
        <v>2022</v>
      </c>
      <c r="J11" s="3">
        <f t="shared" si="0"/>
        <v>2023</v>
      </c>
      <c r="K11" s="3">
        <f t="shared" si="0"/>
        <v>2024</v>
      </c>
      <c r="L11" s="3">
        <f t="shared" si="0"/>
        <v>2025</v>
      </c>
      <c r="M11" s="3">
        <f t="shared" si="0"/>
        <v>2026</v>
      </c>
      <c r="N11" s="3">
        <f t="shared" si="0"/>
        <v>2027</v>
      </c>
      <c r="O11" s="3">
        <f t="shared" si="0"/>
        <v>2028</v>
      </c>
      <c r="P11" s="3">
        <f t="shared" si="0"/>
        <v>2029</v>
      </c>
      <c r="Q11" s="3">
        <f t="shared" si="0"/>
        <v>2030</v>
      </c>
    </row>
    <row r="12" spans="1:122" x14ac:dyDescent="0.15">
      <c r="A12" s="6" t="s">
        <v>95</v>
      </c>
      <c r="B12" s="8">
        <f>SUM('Reports RUB'!B3:E3)</f>
        <v>43099</v>
      </c>
      <c r="C12" s="8">
        <f>SUM('Reports RUB'!F3:I3)</f>
        <v>52888</v>
      </c>
      <c r="D12" s="16">
        <f>SUM('Reports RUB'!J3:M3)</f>
        <v>65149</v>
      </c>
      <c r="E12" s="16">
        <f>SUM('Reports RUB'!N3:Q3)</f>
        <v>78696</v>
      </c>
      <c r="F12" s="16">
        <f>E12*1.2</f>
        <v>94435.199999999997</v>
      </c>
      <c r="G12" s="16">
        <f t="shared" ref="G12:J12" si="1">F12*1.2</f>
        <v>113322.23999999999</v>
      </c>
      <c r="H12" s="16">
        <f t="shared" si="1"/>
        <v>135986.68799999999</v>
      </c>
      <c r="I12" s="16">
        <f t="shared" si="1"/>
        <v>163184.02559999999</v>
      </c>
      <c r="J12" s="16">
        <f t="shared" si="1"/>
        <v>195820.83072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6" t="s">
        <v>96</v>
      </c>
      <c r="B13" s="8">
        <f>SUM('Reports RUB'!B4:E4)</f>
        <v>15111</v>
      </c>
      <c r="C13" s="8">
        <f>SUM('Reports RUB'!F4:I4)</f>
        <v>19691</v>
      </c>
      <c r="D13" s="16">
        <f>SUM('Reports RUB'!J4:M4)</f>
        <v>22251</v>
      </c>
      <c r="E13" s="16">
        <f>SUM('Reports RUB'!N4:Q4)</f>
        <v>24041</v>
      </c>
      <c r="F13" s="16">
        <f>E13*1.1</f>
        <v>26445.100000000002</v>
      </c>
      <c r="G13" s="16">
        <f t="shared" ref="G13:J13" si="2">F13*1.1</f>
        <v>29089.610000000004</v>
      </c>
      <c r="H13" s="16">
        <f t="shared" si="2"/>
        <v>31998.571000000007</v>
      </c>
      <c r="I13" s="16">
        <f t="shared" si="2"/>
        <v>35198.428100000012</v>
      </c>
      <c r="J13" s="16">
        <f t="shared" si="2"/>
        <v>38718.270910000014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A14" s="6" t="s">
        <v>69</v>
      </c>
      <c r="B14" s="8">
        <f>SUM('Reports RUB'!B5:E5)</f>
        <v>1582</v>
      </c>
      <c r="C14" s="8">
        <f>SUM('Reports RUB'!F5:I5)</f>
        <v>3346</v>
      </c>
      <c r="D14" s="16">
        <f>SUM('Reports RUB'!J5:M5)</f>
        <v>6654</v>
      </c>
      <c r="E14" s="16">
        <f>SUM('Reports RUB'!N5:Q5)</f>
        <v>24920</v>
      </c>
      <c r="F14" s="16">
        <f>E14*1.4</f>
        <v>34888</v>
      </c>
      <c r="G14" s="16">
        <f t="shared" ref="G14:J14" si="3">F14*1.4</f>
        <v>48843.199999999997</v>
      </c>
      <c r="H14" s="16">
        <f t="shared" si="3"/>
        <v>68380.479999999996</v>
      </c>
      <c r="I14" s="16">
        <f t="shared" si="3"/>
        <v>95732.671999999991</v>
      </c>
      <c r="J14" s="16">
        <f t="shared" si="3"/>
        <v>134025.74079999997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</row>
    <row r="15" spans="1:122" x14ac:dyDescent="0.15">
      <c r="B15" s="8"/>
      <c r="C15" s="8"/>
      <c r="D15" s="16"/>
      <c r="E15" s="16"/>
      <c r="F15" s="16"/>
      <c r="G15" s="16"/>
      <c r="H15" s="16"/>
      <c r="I15" s="16"/>
    </row>
    <row r="16" spans="1:122" s="16" customFormat="1" x14ac:dyDescent="0.15">
      <c r="A16" s="16" t="s">
        <v>83</v>
      </c>
      <c r="B16" s="8"/>
      <c r="C16" s="8"/>
    </row>
    <row r="17" spans="1:122" s="61" customFormat="1" x14ac:dyDescent="0.15">
      <c r="A17" s="61" t="s">
        <v>84</v>
      </c>
      <c r="B17" s="4"/>
      <c r="C17" s="4"/>
    </row>
    <row r="18" spans="1:122" x14ac:dyDescent="0.15">
      <c r="F18" s="16"/>
      <c r="G18" s="16"/>
      <c r="H18" s="16"/>
      <c r="I18" s="16"/>
    </row>
    <row r="19" spans="1:122" x14ac:dyDescent="0.15">
      <c r="A19" s="2" t="s">
        <v>4</v>
      </c>
      <c r="B19" s="17">
        <f>SUM(B12:B14)</f>
        <v>59792</v>
      </c>
      <c r="C19" s="17">
        <f>SUM(C12:C14)</f>
        <v>75925</v>
      </c>
      <c r="D19" s="17">
        <f>SUM(D12:D14)</f>
        <v>94054</v>
      </c>
      <c r="E19" s="17">
        <f>SUM(E12:E14)</f>
        <v>127657</v>
      </c>
      <c r="F19" s="18">
        <f>SUM(F12:F14)</f>
        <v>155768.29999999999</v>
      </c>
      <c r="G19" s="18">
        <f t="shared" ref="G19:I19" si="4">SUM(G12:G14)</f>
        <v>191255.05</v>
      </c>
      <c r="H19" s="18">
        <f t="shared" si="4"/>
        <v>236365.739</v>
      </c>
      <c r="I19" s="18">
        <f t="shared" si="4"/>
        <v>294115.12569999998</v>
      </c>
      <c r="J19" s="18">
        <f>SUM(J12:J14)</f>
        <v>368564.84242999996</v>
      </c>
      <c r="K19" s="18">
        <f>J19*1.05</f>
        <v>386993.08455149998</v>
      </c>
      <c r="L19" s="18">
        <f t="shared" ref="L19:Q19" si="5">K19*1.05</f>
        <v>406342.73877907498</v>
      </c>
      <c r="M19" s="18">
        <f t="shared" si="5"/>
        <v>426659.87571802875</v>
      </c>
      <c r="N19" s="18">
        <f t="shared" si="5"/>
        <v>447992.86950393021</v>
      </c>
      <c r="O19" s="18">
        <f t="shared" si="5"/>
        <v>470392.51297912677</v>
      </c>
      <c r="P19" s="18">
        <f t="shared" si="5"/>
        <v>493912.13862808311</v>
      </c>
      <c r="Q19" s="18">
        <f t="shared" si="5"/>
        <v>518607.74555948726</v>
      </c>
      <c r="R19" s="18"/>
      <c r="S19" s="18"/>
      <c r="T19" s="18"/>
      <c r="U19" s="18"/>
      <c r="V19" s="18"/>
    </row>
    <row r="20" spans="1:122" x14ac:dyDescent="0.15">
      <c r="A20" s="3" t="s">
        <v>5</v>
      </c>
      <c r="B20" s="8">
        <f>SUM('Reports RUB'!B11:E11)</f>
        <v>16810</v>
      </c>
      <c r="C20" s="8">
        <f>SUM('Reports RUB'!F11:I11)</f>
        <v>19754</v>
      </c>
      <c r="D20" s="16">
        <f>SUM('Reports RUB'!J11:M11)</f>
        <v>23937</v>
      </c>
      <c r="E20" s="16">
        <f>SUM('Reports RUB'!N11:Q11)</f>
        <v>35890</v>
      </c>
      <c r="F20" s="8">
        <f t="shared" ref="F20:H20" si="6">F19-F21</f>
        <v>43793.323413522172</v>
      </c>
      <c r="G20" s="8">
        <f t="shared" si="6"/>
        <v>53770.210364492348</v>
      </c>
      <c r="H20" s="8">
        <f t="shared" si="6"/>
        <v>66452.810051231034</v>
      </c>
      <c r="I20" s="8">
        <f t="shared" ref="I20:Q20" si="7">I19-I21</f>
        <v>82688.703802948527</v>
      </c>
      <c r="J20" s="8">
        <f t="shared" si="7"/>
        <v>103619.79519190249</v>
      </c>
      <c r="K20" s="8">
        <f t="shared" si="7"/>
        <v>108800.78495149763</v>
      </c>
      <c r="L20" s="8">
        <f t="shared" si="7"/>
        <v>114240.82419907249</v>
      </c>
      <c r="M20" s="8">
        <f t="shared" si="7"/>
        <v>119952.8654090261</v>
      </c>
      <c r="N20" s="8">
        <f t="shared" si="7"/>
        <v>125950.50867947744</v>
      </c>
      <c r="O20" s="8">
        <f t="shared" si="7"/>
        <v>132248.03411345131</v>
      </c>
      <c r="P20" s="8">
        <f t="shared" si="7"/>
        <v>138860.43581912387</v>
      </c>
      <c r="Q20" s="8">
        <f t="shared" si="7"/>
        <v>145803.45761008008</v>
      </c>
      <c r="R20" s="8"/>
      <c r="S20" s="8"/>
      <c r="T20" s="8"/>
      <c r="U20" s="8"/>
      <c r="V20" s="8"/>
    </row>
    <row r="21" spans="1:122" x14ac:dyDescent="0.15">
      <c r="A21" s="3" t="s">
        <v>6</v>
      </c>
      <c r="B21" s="10">
        <f>B19-B20</f>
        <v>42982</v>
      </c>
      <c r="C21" s="10">
        <f>C19-C20</f>
        <v>56171</v>
      </c>
      <c r="D21" s="10">
        <f>D19-D20</f>
        <v>70117</v>
      </c>
      <c r="E21" s="10">
        <f>E19-E20</f>
        <v>91767</v>
      </c>
      <c r="F21" s="8">
        <f>F19*E36</f>
        <v>111974.97658647782</v>
      </c>
      <c r="G21" s="8">
        <f>G19*F36</f>
        <v>137484.83963550764</v>
      </c>
      <c r="H21" s="8">
        <f>H19*G36</f>
        <v>169912.92894876897</v>
      </c>
      <c r="I21" s="8">
        <f>I19*H36</f>
        <v>211426.42189705145</v>
      </c>
      <c r="J21" s="8">
        <f>J19*I36</f>
        <v>264945.04723809747</v>
      </c>
      <c r="K21" s="8">
        <f>K19*J36</f>
        <v>278192.29960000236</v>
      </c>
      <c r="L21" s="8">
        <f>L19*K36</f>
        <v>292101.91458000249</v>
      </c>
      <c r="M21" s="8">
        <f>M19*L36</f>
        <v>306707.01030900265</v>
      </c>
      <c r="N21" s="8">
        <f>N19*M36</f>
        <v>322042.36082445277</v>
      </c>
      <c r="O21" s="8">
        <f>O19*N36</f>
        <v>338144.47886567545</v>
      </c>
      <c r="P21" s="8">
        <f>P19*O36</f>
        <v>355051.70280895923</v>
      </c>
      <c r="Q21" s="8">
        <f>Q19*P36</f>
        <v>372804.28794940718</v>
      </c>
      <c r="R21" s="8"/>
      <c r="S21" s="8"/>
      <c r="T21" s="8"/>
      <c r="U21" s="8"/>
      <c r="V21" s="8"/>
    </row>
    <row r="22" spans="1:122" x14ac:dyDescent="0.15">
      <c r="A22" s="3" t="s">
        <v>7</v>
      </c>
      <c r="B22" s="8">
        <f>SUM('Reports RUB'!B13:E13)</f>
        <v>13421</v>
      </c>
      <c r="C22" s="8">
        <f>SUM('Reports RUB'!F13:I13)</f>
        <v>15832</v>
      </c>
      <c r="D22" s="16">
        <f>SUM('Reports RUB'!J13:M13)</f>
        <v>18761</v>
      </c>
      <c r="E22" s="16">
        <f>SUM('Reports RUB'!N13:Q13)</f>
        <v>22569</v>
      </c>
      <c r="F22" s="8">
        <f>E22*1.2</f>
        <v>27082.799999999999</v>
      </c>
      <c r="G22" s="8">
        <f t="shared" ref="G22:J22" si="8">F22*1.2</f>
        <v>32499.359999999997</v>
      </c>
      <c r="H22" s="8">
        <f t="shared" si="8"/>
        <v>38999.231999999996</v>
      </c>
      <c r="I22" s="8">
        <f t="shared" si="8"/>
        <v>46799.078399999991</v>
      </c>
      <c r="J22" s="8">
        <f t="shared" si="8"/>
        <v>56158.894079999991</v>
      </c>
      <c r="K22" s="8">
        <f>J22*0.98</f>
        <v>55035.71619839999</v>
      </c>
      <c r="L22" s="8">
        <f t="shared" ref="L22:Q23" si="9">K22*0.98</f>
        <v>53935.00187443199</v>
      </c>
      <c r="M22" s="8">
        <f t="shared" si="9"/>
        <v>52856.301836943348</v>
      </c>
      <c r="N22" s="8">
        <f t="shared" si="9"/>
        <v>51799.175800204481</v>
      </c>
      <c r="O22" s="8">
        <f t="shared" si="9"/>
        <v>50763.192284200391</v>
      </c>
      <c r="P22" s="8">
        <f t="shared" si="9"/>
        <v>49747.928438516385</v>
      </c>
      <c r="Q22" s="8">
        <f t="shared" si="9"/>
        <v>48752.969869746055</v>
      </c>
      <c r="R22" s="8"/>
      <c r="S22" s="8"/>
      <c r="T22" s="8"/>
      <c r="U22" s="8"/>
      <c r="V22" s="8"/>
    </row>
    <row r="23" spans="1:122" x14ac:dyDescent="0.15">
      <c r="A23" s="3" t="s">
        <v>107</v>
      </c>
      <c r="B23" s="8">
        <f>SUM('Reports RUB'!B14:E14)</f>
        <v>19968</v>
      </c>
      <c r="C23" s="8">
        <f>SUM('Reports RUB'!F14:I14)</f>
        <v>27492</v>
      </c>
      <c r="D23" s="16">
        <f>SUM('Reports RUB'!J14:M14)</f>
        <v>38320</v>
      </c>
      <c r="E23" s="16">
        <f>SUM('Reports RUB'!N14:Q14)</f>
        <v>48337</v>
      </c>
      <c r="F23" s="8">
        <f>E23*1.3</f>
        <v>62838.1</v>
      </c>
      <c r="G23" s="8">
        <f t="shared" ref="G23:J23" si="10">F23*1.3</f>
        <v>81689.53</v>
      </c>
      <c r="H23" s="8">
        <f t="shared" si="10"/>
        <v>106196.389</v>
      </c>
      <c r="I23" s="8">
        <f t="shared" si="10"/>
        <v>138055.3057</v>
      </c>
      <c r="J23" s="8">
        <f t="shared" si="10"/>
        <v>179471.89741000001</v>
      </c>
      <c r="K23" s="8">
        <f>J23*0.98</f>
        <v>175882.4594618</v>
      </c>
      <c r="L23" s="8">
        <f t="shared" si="9"/>
        <v>172364.81027256401</v>
      </c>
      <c r="M23" s="8">
        <f t="shared" si="9"/>
        <v>168917.51406711273</v>
      </c>
      <c r="N23" s="8">
        <f t="shared" si="9"/>
        <v>165539.16378577048</v>
      </c>
      <c r="O23" s="8">
        <f t="shared" si="9"/>
        <v>162228.38051005505</v>
      </c>
      <c r="P23" s="8">
        <f t="shared" si="9"/>
        <v>158983.81289985395</v>
      </c>
      <c r="Q23" s="8">
        <f t="shared" si="9"/>
        <v>155804.13664185687</v>
      </c>
      <c r="R23" s="8"/>
      <c r="S23" s="8"/>
      <c r="T23" s="8"/>
      <c r="U23" s="8"/>
      <c r="V23" s="8"/>
    </row>
    <row r="24" spans="1:122" x14ac:dyDescent="0.15">
      <c r="A24" s="3" t="s">
        <v>8</v>
      </c>
      <c r="B24" s="10">
        <f>SUM(B22:B23)</f>
        <v>33389</v>
      </c>
      <c r="C24" s="10">
        <f>SUM(C22:C23)</f>
        <v>43324</v>
      </c>
      <c r="D24" s="10">
        <f>SUM(D22:D23)</f>
        <v>57081</v>
      </c>
      <c r="E24" s="10">
        <f>SUM(E22:E23)</f>
        <v>70906</v>
      </c>
      <c r="F24" s="8">
        <f>SUM(F22:F23)</f>
        <v>89920.9</v>
      </c>
      <c r="G24" s="8">
        <f>SUM(G22:G23)</f>
        <v>114188.89</v>
      </c>
      <c r="H24" s="8">
        <f>SUM(H22:H23)</f>
        <v>145195.62099999998</v>
      </c>
      <c r="I24" s="8">
        <f>SUM(I22:I23)</f>
        <v>184854.3841</v>
      </c>
      <c r="J24" s="8">
        <f>SUM(J22:J23)</f>
        <v>235630.79149</v>
      </c>
      <c r="K24" s="8">
        <f>SUM(K22:K23)</f>
        <v>230918.17566019998</v>
      </c>
      <c r="L24" s="8">
        <f>SUM(L22:L23)</f>
        <v>226299.812146996</v>
      </c>
      <c r="M24" s="8">
        <f>SUM(M22:M23)</f>
        <v>221773.81590405607</v>
      </c>
      <c r="N24" s="8">
        <f>SUM(N22:N23)</f>
        <v>217338.33958597496</v>
      </c>
      <c r="O24" s="8">
        <f>SUM(O22:O23)</f>
        <v>212991.57279425545</v>
      </c>
      <c r="P24" s="8">
        <f>SUM(P22:P23)</f>
        <v>208731.74133837034</v>
      </c>
      <c r="Q24" s="8">
        <f>SUM(Q22:Q23)</f>
        <v>204557.10651160293</v>
      </c>
      <c r="R24" s="8"/>
      <c r="S24" s="8"/>
      <c r="T24" s="8"/>
      <c r="U24" s="8"/>
      <c r="V24" s="8"/>
    </row>
    <row r="25" spans="1:122" x14ac:dyDescent="0.15">
      <c r="A25" s="3" t="s">
        <v>9</v>
      </c>
      <c r="B25" s="10">
        <f>B21-B24</f>
        <v>9593</v>
      </c>
      <c r="C25" s="10">
        <f>C21-C24</f>
        <v>12847</v>
      </c>
      <c r="D25" s="10">
        <f>D21-D24</f>
        <v>13036</v>
      </c>
      <c r="E25" s="10">
        <f>E21-E24</f>
        <v>20861</v>
      </c>
      <c r="F25" s="8">
        <f>F21-F24</f>
        <v>22054.076586477822</v>
      </c>
      <c r="G25" s="8">
        <f>G21-G24</f>
        <v>23295.949635507641</v>
      </c>
      <c r="H25" s="8">
        <f>H21-H24</f>
        <v>24717.307948768983</v>
      </c>
      <c r="I25" s="8">
        <f>I21-I24</f>
        <v>26572.037797051453</v>
      </c>
      <c r="J25" s="8">
        <f>J21-J24</f>
        <v>29314.255748097465</v>
      </c>
      <c r="K25" s="8">
        <f>K21-K24</f>
        <v>47274.123939802375</v>
      </c>
      <c r="L25" s="8">
        <f>L21-L24</f>
        <v>65802.102433006483</v>
      </c>
      <c r="M25" s="8">
        <f>M21-M24</f>
        <v>84933.194404946582</v>
      </c>
      <c r="N25" s="8">
        <f>N21-N24</f>
        <v>104704.02123847781</v>
      </c>
      <c r="O25" s="8">
        <f>O21-O24</f>
        <v>125152.90607142</v>
      </c>
      <c r="P25" s="8">
        <f>P21-P24</f>
        <v>146319.9614705889</v>
      </c>
      <c r="Q25" s="8">
        <f>Q21-Q24</f>
        <v>168247.18143780425</v>
      </c>
      <c r="R25" s="8"/>
      <c r="S25" s="8"/>
      <c r="T25" s="8"/>
      <c r="U25" s="8"/>
      <c r="V25" s="8"/>
    </row>
    <row r="26" spans="1:122" x14ac:dyDescent="0.15">
      <c r="A26" s="3" t="s">
        <v>10</v>
      </c>
      <c r="B26" s="8">
        <f>SUM('Reports RUB'!B17:E17)</f>
        <v>4003</v>
      </c>
      <c r="C26" s="8">
        <f>SUM('Reports RUB'!F17:I17)</f>
        <v>-1740</v>
      </c>
      <c r="D26" s="16">
        <f>SUM('Reports RUB'!J17:M17)</f>
        <v>546</v>
      </c>
      <c r="E26" s="8">
        <f>SUM('Reports RUB'!N17:Q17)</f>
        <v>33603</v>
      </c>
      <c r="F26" s="8">
        <f>E44*$F$3</f>
        <v>2105.64</v>
      </c>
      <c r="G26" s="8">
        <f t="shared" ref="G26:Q26" si="11">F44*$F$3</f>
        <v>2443.8760322106896</v>
      </c>
      <c r="H26" s="8">
        <f t="shared" si="11"/>
        <v>2804.233591558746</v>
      </c>
      <c r="I26" s="8">
        <f t="shared" si="11"/>
        <v>3189.5351731233341</v>
      </c>
      <c r="J26" s="8">
        <f t="shared" si="11"/>
        <v>3606.1971947057814</v>
      </c>
      <c r="K26" s="8">
        <f t="shared" si="11"/>
        <v>4067.083535905027</v>
      </c>
      <c r="L26" s="8">
        <f t="shared" si="11"/>
        <v>4785.8604405649312</v>
      </c>
      <c r="M26" s="8">
        <f t="shared" si="11"/>
        <v>5774.091920794931</v>
      </c>
      <c r="N26" s="8">
        <f t="shared" si="11"/>
        <v>7043.9939293553125</v>
      </c>
      <c r="O26" s="8">
        <f t="shared" si="11"/>
        <v>8608.4661417049756</v>
      </c>
      <c r="P26" s="8">
        <f t="shared" si="11"/>
        <v>10481.125352688725</v>
      </c>
      <c r="Q26" s="8">
        <f t="shared" si="11"/>
        <v>12676.340568214613</v>
      </c>
      <c r="R26" s="8"/>
      <c r="S26" s="8"/>
      <c r="T26" s="8"/>
      <c r="U26" s="8"/>
      <c r="V26" s="8"/>
    </row>
    <row r="27" spans="1:122" x14ac:dyDescent="0.15">
      <c r="A27" s="3" t="s">
        <v>11</v>
      </c>
      <c r="B27" s="10">
        <f>B25+B26</f>
        <v>13596</v>
      </c>
      <c r="C27" s="10">
        <f>C25+C26</f>
        <v>11107</v>
      </c>
      <c r="D27" s="10">
        <f>D25+D26</f>
        <v>13582</v>
      </c>
      <c r="E27" s="10">
        <f>E25+E26</f>
        <v>54464</v>
      </c>
      <c r="F27" s="8">
        <f>F25+F26</f>
        <v>24159.716586477822</v>
      </c>
      <c r="G27" s="8">
        <f t="shared" ref="G27:H27" si="12">G25+G26</f>
        <v>25739.825667718331</v>
      </c>
      <c r="H27" s="8">
        <f t="shared" si="12"/>
        <v>27521.541540327729</v>
      </c>
      <c r="I27" s="8">
        <f t="shared" ref="I27" si="13">I25+I26</f>
        <v>29761.572970174788</v>
      </c>
      <c r="J27" s="8">
        <f t="shared" ref="J27" si="14">J25+J26</f>
        <v>32920.452942803247</v>
      </c>
      <c r="K27" s="8">
        <f t="shared" ref="K27" si="15">K25+K26</f>
        <v>51341.207475707401</v>
      </c>
      <c r="L27" s="8">
        <f t="shared" ref="L27" si="16">L25+L26</f>
        <v>70587.962873571407</v>
      </c>
      <c r="M27" s="8">
        <f t="shared" ref="M27" si="17">M25+M26</f>
        <v>90707.286325741516</v>
      </c>
      <c r="N27" s="8">
        <f t="shared" ref="N27" si="18">N25+N26</f>
        <v>111748.01516783313</v>
      </c>
      <c r="O27" s="8">
        <f t="shared" ref="O27" si="19">O25+O26</f>
        <v>133761.37221312497</v>
      </c>
      <c r="P27" s="8">
        <f t="shared" ref="P27" si="20">P25+P26</f>
        <v>156801.08682327761</v>
      </c>
      <c r="Q27" s="8">
        <f t="shared" ref="Q27" si="21">Q25+Q26</f>
        <v>180923.52200601887</v>
      </c>
      <c r="R27" s="8"/>
      <c r="S27" s="8"/>
      <c r="T27" s="8"/>
      <c r="U27" s="8"/>
      <c r="V27" s="8"/>
    </row>
    <row r="28" spans="1:122" x14ac:dyDescent="0.15">
      <c r="A28" s="3" t="s">
        <v>12</v>
      </c>
      <c r="B28" s="8">
        <f>SUM('Reports RUB'!B19:E19)</f>
        <v>3917</v>
      </c>
      <c r="C28" s="8">
        <f>SUM('Reports RUB'!F19:I19)</f>
        <v>4324</v>
      </c>
      <c r="D28" s="16">
        <f>SUM('Reports RUB'!J19:M19)</f>
        <v>4926</v>
      </c>
      <c r="E28" s="8">
        <f>SUM('Reports RUB'!N19:Q19)</f>
        <v>8603</v>
      </c>
      <c r="F28" s="8">
        <f>F27*0.3</f>
        <v>7247.9149759433467</v>
      </c>
      <c r="G28" s="8">
        <f t="shared" ref="G28:Q28" si="22">G27*0.3</f>
        <v>7721.9477003154989</v>
      </c>
      <c r="H28" s="8">
        <f t="shared" si="22"/>
        <v>8256.4624620983177</v>
      </c>
      <c r="I28" s="8">
        <f t="shared" si="22"/>
        <v>8928.4718910524352</v>
      </c>
      <c r="J28" s="8">
        <f t="shared" si="22"/>
        <v>9876.1358828409739</v>
      </c>
      <c r="K28" s="8">
        <f t="shared" si="22"/>
        <v>15402.362242712219</v>
      </c>
      <c r="L28" s="8">
        <f t="shared" si="22"/>
        <v>21176.388862071421</v>
      </c>
      <c r="M28" s="8">
        <f t="shared" si="22"/>
        <v>27212.185897722455</v>
      </c>
      <c r="N28" s="8">
        <f t="shared" si="22"/>
        <v>33524.404550349936</v>
      </c>
      <c r="O28" s="8">
        <f t="shared" si="22"/>
        <v>40128.411663937492</v>
      </c>
      <c r="P28" s="8">
        <f t="shared" si="22"/>
        <v>47040.326046983282</v>
      </c>
      <c r="Q28" s="8">
        <f t="shared" si="22"/>
        <v>54277.056601805663</v>
      </c>
      <c r="R28" s="8"/>
      <c r="S28" s="8"/>
      <c r="T28" s="8"/>
      <c r="U28" s="8"/>
      <c r="V28" s="8"/>
    </row>
    <row r="29" spans="1:122" s="2" customFormat="1" x14ac:dyDescent="0.15">
      <c r="A29" s="2" t="s">
        <v>13</v>
      </c>
      <c r="B29" s="17">
        <f>B27-B28</f>
        <v>9679</v>
      </c>
      <c r="C29" s="17">
        <f>C27-C28</f>
        <v>6783</v>
      </c>
      <c r="D29" s="17">
        <f>D27-D28</f>
        <v>8656</v>
      </c>
      <c r="E29" s="17">
        <f>E27-E28</f>
        <v>45861</v>
      </c>
      <c r="F29" s="17">
        <f>F27-F28</f>
        <v>16911.801610534476</v>
      </c>
      <c r="G29" s="17">
        <f t="shared" ref="F29:H29" si="23">G27-G28</f>
        <v>18017.877967402834</v>
      </c>
      <c r="H29" s="17">
        <f t="shared" si="23"/>
        <v>19265.079078229413</v>
      </c>
      <c r="I29" s="17">
        <f t="shared" ref="I29:Q29" si="24">I27-I28</f>
        <v>20833.101079122353</v>
      </c>
      <c r="J29" s="17">
        <f t="shared" si="24"/>
        <v>23044.317059962275</v>
      </c>
      <c r="K29" s="17">
        <f t="shared" si="24"/>
        <v>35938.845232995183</v>
      </c>
      <c r="L29" s="17">
        <f t="shared" si="24"/>
        <v>49411.574011499986</v>
      </c>
      <c r="M29" s="17">
        <f t="shared" si="24"/>
        <v>63495.100428019061</v>
      </c>
      <c r="N29" s="17">
        <f t="shared" si="24"/>
        <v>78223.610617483195</v>
      </c>
      <c r="O29" s="17">
        <f t="shared" si="24"/>
        <v>93632.960549187468</v>
      </c>
      <c r="P29" s="17">
        <f t="shared" si="24"/>
        <v>109760.76077629434</v>
      </c>
      <c r="Q29" s="17">
        <f t="shared" si="24"/>
        <v>126646.4654042132</v>
      </c>
      <c r="R29" s="17">
        <f>Q29*($F$2+1)</f>
        <v>124113.53609612894</v>
      </c>
      <c r="S29" s="17">
        <f t="shared" ref="S29:CD29" si="25">R29*($F$2+1)</f>
        <v>121631.26537420636</v>
      </c>
      <c r="T29" s="17">
        <f t="shared" si="25"/>
        <v>119198.64006672223</v>
      </c>
      <c r="U29" s="17">
        <f t="shared" si="25"/>
        <v>116814.66726538779</v>
      </c>
      <c r="V29" s="17">
        <f t="shared" si="25"/>
        <v>114478.37392008003</v>
      </c>
      <c r="W29" s="17">
        <f t="shared" si="25"/>
        <v>112188.80644167843</v>
      </c>
      <c r="X29" s="17">
        <f t="shared" si="25"/>
        <v>109945.03031284486</v>
      </c>
      <c r="Y29" s="17">
        <f t="shared" si="25"/>
        <v>107746.12970658796</v>
      </c>
      <c r="Z29" s="17">
        <f t="shared" si="25"/>
        <v>105591.20711245621</v>
      </c>
      <c r="AA29" s="17">
        <f t="shared" si="25"/>
        <v>103479.38297020708</v>
      </c>
      <c r="AB29" s="17">
        <f t="shared" si="25"/>
        <v>101409.79531080293</v>
      </c>
      <c r="AC29" s="17">
        <f t="shared" si="25"/>
        <v>99381.599404586872</v>
      </c>
      <c r="AD29" s="17">
        <f t="shared" si="25"/>
        <v>97393.967416495128</v>
      </c>
      <c r="AE29" s="17">
        <f t="shared" si="25"/>
        <v>95446.08806816522</v>
      </c>
      <c r="AF29" s="17">
        <f t="shared" si="25"/>
        <v>93537.166306801912</v>
      </c>
      <c r="AG29" s="17">
        <f t="shared" si="25"/>
        <v>91666.42298066587</v>
      </c>
      <c r="AH29" s="17">
        <f t="shared" si="25"/>
        <v>89833.094521052553</v>
      </c>
      <c r="AI29" s="17">
        <f t="shared" si="25"/>
        <v>88036.432630631505</v>
      </c>
      <c r="AJ29" s="17">
        <f t="shared" si="25"/>
        <v>86275.703978018879</v>
      </c>
      <c r="AK29" s="17">
        <f t="shared" si="25"/>
        <v>84550.189898458499</v>
      </c>
      <c r="AL29" s="17">
        <f t="shared" si="25"/>
        <v>82859.186100489329</v>
      </c>
      <c r="AM29" s="17">
        <f t="shared" si="25"/>
        <v>81202.002378479534</v>
      </c>
      <c r="AN29" s="17">
        <f t="shared" si="25"/>
        <v>79577.962330909941</v>
      </c>
      <c r="AO29" s="17">
        <f t="shared" si="25"/>
        <v>77986.403084291742</v>
      </c>
      <c r="AP29" s="17">
        <f t="shared" si="25"/>
        <v>76426.675022605908</v>
      </c>
      <c r="AQ29" s="17">
        <f t="shared" si="25"/>
        <v>74898.14152215379</v>
      </c>
      <c r="AR29" s="17">
        <f t="shared" si="25"/>
        <v>73400.178691710709</v>
      </c>
      <c r="AS29" s="17">
        <f t="shared" si="25"/>
        <v>71932.175117876497</v>
      </c>
      <c r="AT29" s="17">
        <f t="shared" si="25"/>
        <v>70493.531615518965</v>
      </c>
      <c r="AU29" s="17">
        <f t="shared" si="25"/>
        <v>69083.660983208581</v>
      </c>
      <c r="AV29" s="17">
        <f t="shared" si="25"/>
        <v>67701.987763544414</v>
      </c>
      <c r="AW29" s="17">
        <f t="shared" si="25"/>
        <v>66347.948008273524</v>
      </c>
      <c r="AX29" s="17">
        <f t="shared" si="25"/>
        <v>65020.989048108051</v>
      </c>
      <c r="AY29" s="17">
        <f t="shared" si="25"/>
        <v>63720.569267145889</v>
      </c>
      <c r="AZ29" s="17">
        <f t="shared" si="25"/>
        <v>62446.157881802974</v>
      </c>
      <c r="BA29" s="17">
        <f t="shared" si="25"/>
        <v>61197.234724166912</v>
      </c>
      <c r="BB29" s="17">
        <f t="shared" si="25"/>
        <v>59973.290029683572</v>
      </c>
      <c r="BC29" s="17">
        <f t="shared" si="25"/>
        <v>58773.8242290899</v>
      </c>
      <c r="BD29" s="17">
        <f t="shared" si="25"/>
        <v>57598.347744508101</v>
      </c>
      <c r="BE29" s="17">
        <f t="shared" si="25"/>
        <v>56446.380789617935</v>
      </c>
      <c r="BF29" s="17">
        <f t="shared" si="25"/>
        <v>55317.453173825576</v>
      </c>
      <c r="BG29" s="17">
        <f t="shared" si="25"/>
        <v>54211.104110349064</v>
      </c>
      <c r="BH29" s="17">
        <f t="shared" si="25"/>
        <v>53126.882028142085</v>
      </c>
      <c r="BI29" s="17">
        <f t="shared" si="25"/>
        <v>52064.344387579244</v>
      </c>
      <c r="BJ29" s="17">
        <f t="shared" si="25"/>
        <v>51023.057499827657</v>
      </c>
      <c r="BK29" s="17">
        <f t="shared" si="25"/>
        <v>50002.596349831103</v>
      </c>
      <c r="BL29" s="17">
        <f t="shared" si="25"/>
        <v>49002.544422834479</v>
      </c>
      <c r="BM29" s="17">
        <f t="shared" si="25"/>
        <v>48022.493534377791</v>
      </c>
      <c r="BN29" s="17">
        <f t="shared" si="25"/>
        <v>47062.04366369023</v>
      </c>
      <c r="BO29" s="17">
        <f t="shared" si="25"/>
        <v>46120.802790416426</v>
      </c>
      <c r="BP29" s="17">
        <f t="shared" si="25"/>
        <v>45198.386734608095</v>
      </c>
      <c r="BQ29" s="17">
        <f t="shared" si="25"/>
        <v>44294.418999915935</v>
      </c>
      <c r="BR29" s="17">
        <f t="shared" si="25"/>
        <v>43408.530619917619</v>
      </c>
      <c r="BS29" s="17">
        <f t="shared" si="25"/>
        <v>42540.360007519266</v>
      </c>
      <c r="BT29" s="17">
        <f t="shared" si="25"/>
        <v>41689.552807368877</v>
      </c>
      <c r="BU29" s="17">
        <f t="shared" si="25"/>
        <v>40855.7617512215</v>
      </c>
      <c r="BV29" s="17">
        <f t="shared" si="25"/>
        <v>40038.64651619707</v>
      </c>
      <c r="BW29" s="17">
        <f t="shared" si="25"/>
        <v>39237.873585873131</v>
      </c>
      <c r="BX29" s="17">
        <f t="shared" si="25"/>
        <v>38453.116114155666</v>
      </c>
      <c r="BY29" s="17">
        <f t="shared" si="25"/>
        <v>37684.053791872553</v>
      </c>
      <c r="BZ29" s="17">
        <f t="shared" si="25"/>
        <v>36930.372716035105</v>
      </c>
      <c r="CA29" s="17">
        <f t="shared" si="25"/>
        <v>36191.765261714405</v>
      </c>
      <c r="CB29" s="17">
        <f t="shared" si="25"/>
        <v>35467.929956480119</v>
      </c>
      <c r="CC29" s="17">
        <f t="shared" si="25"/>
        <v>34758.571357350513</v>
      </c>
      <c r="CD29" s="17">
        <f t="shared" si="25"/>
        <v>34063.399930203501</v>
      </c>
      <c r="CE29" s="17">
        <f t="shared" ref="CE29:DR29" si="26">CD29*($F$2+1)</f>
        <v>33382.131931599433</v>
      </c>
      <c r="CF29" s="17">
        <f t="shared" si="26"/>
        <v>32714.489292967442</v>
      </c>
      <c r="CG29" s="17">
        <f t="shared" si="26"/>
        <v>32060.199507108093</v>
      </c>
      <c r="CH29" s="17">
        <f t="shared" si="26"/>
        <v>31418.99551696593</v>
      </c>
      <c r="CI29" s="17">
        <f t="shared" si="26"/>
        <v>30790.615606626612</v>
      </c>
      <c r="CJ29" s="17">
        <f t="shared" si="26"/>
        <v>30174.803294494079</v>
      </c>
      <c r="CK29" s="17">
        <f t="shared" si="26"/>
        <v>29571.307228604197</v>
      </c>
      <c r="CL29" s="17">
        <f t="shared" si="26"/>
        <v>28979.881084032113</v>
      </c>
      <c r="CM29" s="17">
        <f t="shared" si="26"/>
        <v>28400.283462351472</v>
      </c>
      <c r="CN29" s="17">
        <f t="shared" si="26"/>
        <v>27832.27779310444</v>
      </c>
      <c r="CO29" s="17">
        <f t="shared" si="26"/>
        <v>27275.632237242349</v>
      </c>
      <c r="CP29" s="17">
        <f t="shared" si="26"/>
        <v>26730.1195924975</v>
      </c>
      <c r="CQ29" s="17">
        <f t="shared" si="26"/>
        <v>26195.517200647548</v>
      </c>
      <c r="CR29" s="17">
        <f t="shared" si="26"/>
        <v>25671.606856634597</v>
      </c>
      <c r="CS29" s="17">
        <f t="shared" si="26"/>
        <v>25158.174719501905</v>
      </c>
      <c r="CT29" s="17">
        <f t="shared" si="26"/>
        <v>24655.011225111866</v>
      </c>
      <c r="CU29" s="17">
        <f t="shared" si="26"/>
        <v>24161.911000609627</v>
      </c>
      <c r="CV29" s="17">
        <f t="shared" si="26"/>
        <v>23678.672780597433</v>
      </c>
      <c r="CW29" s="17">
        <f t="shared" si="26"/>
        <v>23205.099324985484</v>
      </c>
      <c r="CX29" s="17">
        <f t="shared" si="26"/>
        <v>22740.997338485773</v>
      </c>
      <c r="CY29" s="17">
        <f t="shared" si="26"/>
        <v>22286.177391716057</v>
      </c>
      <c r="CZ29" s="17">
        <f t="shared" si="26"/>
        <v>21840.453843881736</v>
      </c>
      <c r="DA29" s="17">
        <f t="shared" si="26"/>
        <v>21403.644767004102</v>
      </c>
      <c r="DB29" s="17">
        <f t="shared" si="26"/>
        <v>20975.571871664019</v>
      </c>
      <c r="DC29" s="17">
        <f t="shared" si="26"/>
        <v>20556.060434230738</v>
      </c>
      <c r="DD29" s="17">
        <f t="shared" si="26"/>
        <v>20144.939225546124</v>
      </c>
      <c r="DE29" s="17">
        <f t="shared" si="26"/>
        <v>19742.040441035202</v>
      </c>
      <c r="DF29" s="17">
        <f t="shared" si="26"/>
        <v>19347.199632214499</v>
      </c>
      <c r="DG29" s="17">
        <f t="shared" si="26"/>
        <v>18960.255639570209</v>
      </c>
      <c r="DH29" s="17">
        <f t="shared" si="26"/>
        <v>18581.050526778803</v>
      </c>
      <c r="DI29" s="17">
        <f t="shared" si="26"/>
        <v>18209.429516243228</v>
      </c>
      <c r="DJ29" s="17">
        <f t="shared" si="26"/>
        <v>17845.240925918362</v>
      </c>
      <c r="DK29" s="17">
        <f t="shared" si="26"/>
        <v>17488.336107399995</v>
      </c>
      <c r="DL29" s="17">
        <f t="shared" si="26"/>
        <v>17138.569385251994</v>
      </c>
      <c r="DM29" s="17">
        <f t="shared" si="26"/>
        <v>16795.797997546953</v>
      </c>
      <c r="DN29" s="17">
        <f t="shared" si="26"/>
        <v>16459.882037596013</v>
      </c>
      <c r="DO29" s="17">
        <f t="shared" si="26"/>
        <v>16130.684396844092</v>
      </c>
      <c r="DP29" s="17">
        <f t="shared" si="26"/>
        <v>15808.070708907209</v>
      </c>
      <c r="DQ29" s="17">
        <f t="shared" si="26"/>
        <v>15491.909294729065</v>
      </c>
      <c r="DR29" s="17">
        <f t="shared" si="26"/>
        <v>15182.071108834483</v>
      </c>
    </row>
    <row r="30" spans="1:122" x14ac:dyDescent="0.15">
      <c r="A30" s="3" t="s">
        <v>14</v>
      </c>
      <c r="B30" s="19">
        <f>B29/B31</f>
        <v>29.958786163089361</v>
      </c>
      <c r="C30" s="19">
        <f>C29/C31</f>
        <v>20.742281201776031</v>
      </c>
      <c r="D30" s="19">
        <f>D29/D31</f>
        <v>26.035917372164782</v>
      </c>
      <c r="E30" s="19">
        <f>E29/E31</f>
        <v>138.2706780171936</v>
      </c>
      <c r="F30" s="20">
        <f t="shared" ref="F30:H30" si="27">F29/F31</f>
        <v>50.988994465468885</v>
      </c>
      <c r="G30" s="20">
        <f t="shared" si="27"/>
        <v>54.323808965871741</v>
      </c>
      <c r="H30" s="20">
        <f t="shared" si="27"/>
        <v>58.084113870208498</v>
      </c>
      <c r="I30" s="20">
        <f t="shared" ref="I30:Q30" si="28">I29/I31</f>
        <v>62.811692100280744</v>
      </c>
      <c r="J30" s="20">
        <f t="shared" si="28"/>
        <v>69.478496856243112</v>
      </c>
      <c r="K30" s="20">
        <f t="shared" si="28"/>
        <v>108.35543266656266</v>
      </c>
      <c r="L30" s="20">
        <f t="shared" si="28"/>
        <v>148.97564031457765</v>
      </c>
      <c r="M30" s="20">
        <f t="shared" si="28"/>
        <v>191.43739968496098</v>
      </c>
      <c r="N30" s="20">
        <f t="shared" si="28"/>
        <v>235.84378179787501</v>
      </c>
      <c r="O30" s="20">
        <f t="shared" si="28"/>
        <v>282.30289221546172</v>
      </c>
      <c r="P30" s="20">
        <f t="shared" si="28"/>
        <v>330.92812656115666</v>
      </c>
      <c r="Q30" s="20">
        <f t="shared" si="28"/>
        <v>381.83843875889346</v>
      </c>
      <c r="R30" s="20"/>
      <c r="S30" s="20"/>
      <c r="T30" s="20"/>
      <c r="U30" s="20"/>
      <c r="V30" s="20"/>
    </row>
    <row r="31" spans="1:122" s="16" customFormat="1" x14ac:dyDescent="0.15">
      <c r="A31" s="16" t="s">
        <v>15</v>
      </c>
      <c r="B31" s="8">
        <f>'Reports RUB'!E23</f>
        <v>323.07717500000001</v>
      </c>
      <c r="C31" s="8">
        <f>'Reports RUB'!I23</f>
        <v>327.01321200000001</v>
      </c>
      <c r="D31" s="8">
        <f>'Reports RUB'!M23</f>
        <v>332.46379899999999</v>
      </c>
      <c r="E31" s="8">
        <f>'Reports RUB'!Q23</f>
        <v>331.67552699999999</v>
      </c>
      <c r="F31" s="8">
        <f t="shared" ref="F31" si="29">E31</f>
        <v>331.67552699999999</v>
      </c>
      <c r="G31" s="8">
        <f t="shared" ref="G31" si="30">F31</f>
        <v>331.67552699999999</v>
      </c>
      <c r="H31" s="8">
        <f t="shared" ref="H31" si="31">G31</f>
        <v>331.67552699999999</v>
      </c>
      <c r="I31" s="8">
        <f t="shared" ref="I31" si="32">H31</f>
        <v>331.67552699999999</v>
      </c>
      <c r="J31" s="8">
        <f t="shared" ref="J31" si="33">I31</f>
        <v>331.67552699999999</v>
      </c>
      <c r="K31" s="8">
        <f t="shared" ref="K31" si="34">J31</f>
        <v>331.67552699999999</v>
      </c>
      <c r="L31" s="8">
        <f t="shared" ref="L31" si="35">K31</f>
        <v>331.67552699999999</v>
      </c>
      <c r="M31" s="8">
        <f t="shared" ref="M31" si="36">L31</f>
        <v>331.67552699999999</v>
      </c>
      <c r="N31" s="8">
        <f t="shared" ref="N31" si="37">M31</f>
        <v>331.67552699999999</v>
      </c>
      <c r="O31" s="8">
        <f t="shared" ref="O31" si="38">N31</f>
        <v>331.67552699999999</v>
      </c>
      <c r="P31" s="8">
        <f t="shared" ref="P31" si="39">O31</f>
        <v>331.67552699999999</v>
      </c>
      <c r="Q31" s="8">
        <f t="shared" ref="Q31" si="40">P31</f>
        <v>331.67552699999999</v>
      </c>
      <c r="R31" s="8"/>
      <c r="S31" s="8"/>
      <c r="T31" s="8"/>
      <c r="U31" s="8"/>
      <c r="V31" s="8"/>
    </row>
    <row r="32" spans="1:122" s="16" customFormat="1" x14ac:dyDescent="0.1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122" s="68" customFormat="1" x14ac:dyDescent="0.15">
      <c r="A33" s="68" t="s">
        <v>110</v>
      </c>
      <c r="B33" s="17">
        <f>B19/$C$9</f>
        <v>925.57275541795673</v>
      </c>
      <c r="C33" s="17">
        <f t="shared" ref="C33:E33" si="41">C19/$C$9</f>
        <v>1175.30959752322</v>
      </c>
      <c r="D33" s="17">
        <f t="shared" si="41"/>
        <v>1455.9442724458206</v>
      </c>
      <c r="E33" s="17">
        <f t="shared" si="41"/>
        <v>1976.1145510835916</v>
      </c>
      <c r="F33" s="51">
        <f>F19/$C$9</f>
        <v>2411.2739938080495</v>
      </c>
      <c r="G33" s="51">
        <f t="shared" ref="F33:Q33" si="42">G19/$C$9</f>
        <v>2960.6044891640868</v>
      </c>
      <c r="H33" s="51">
        <f t="shared" si="42"/>
        <v>3658.9123684210531</v>
      </c>
      <c r="I33" s="51">
        <f t="shared" si="42"/>
        <v>4552.8657229102164</v>
      </c>
      <c r="J33" s="51">
        <f t="shared" si="42"/>
        <v>5705.3381181114546</v>
      </c>
      <c r="K33" s="51">
        <f t="shared" si="42"/>
        <v>5990.605024017028</v>
      </c>
      <c r="L33" s="51">
        <f t="shared" si="42"/>
        <v>6290.1352752178791</v>
      </c>
      <c r="M33" s="51">
        <f t="shared" si="42"/>
        <v>6604.6420389787736</v>
      </c>
      <c r="N33" s="51">
        <f t="shared" si="42"/>
        <v>6934.8741409277127</v>
      </c>
      <c r="O33" s="51">
        <f t="shared" si="42"/>
        <v>7281.6178479740993</v>
      </c>
      <c r="P33" s="51">
        <f t="shared" si="42"/>
        <v>7645.6987403728044</v>
      </c>
      <c r="Q33" s="51">
        <f t="shared" si="42"/>
        <v>8027.983677391444</v>
      </c>
      <c r="R33" s="18"/>
      <c r="S33" s="18"/>
      <c r="T33" s="18"/>
      <c r="U33" s="18"/>
      <c r="V33" s="18"/>
    </row>
    <row r="34" spans="1:122" s="68" customFormat="1" x14ac:dyDescent="0.15">
      <c r="A34" s="68" t="s">
        <v>111</v>
      </c>
      <c r="B34" s="17">
        <f>B29/$C$9</f>
        <v>149.82972136222912</v>
      </c>
      <c r="C34" s="17">
        <f t="shared" ref="C34:E34" si="43">C29/$C$9</f>
        <v>105.00000000000001</v>
      </c>
      <c r="D34" s="17">
        <f t="shared" si="43"/>
        <v>133.9938080495356</v>
      </c>
      <c r="E34" s="17">
        <f t="shared" si="43"/>
        <v>709.92260061919512</v>
      </c>
      <c r="F34" s="17">
        <f>F29/$C$9</f>
        <v>261.79259459031698</v>
      </c>
      <c r="G34" s="17">
        <f t="shared" ref="F34:Q34" si="44">G29/$C$9</f>
        <v>278.91451961923894</v>
      </c>
      <c r="H34" s="17">
        <f t="shared" si="44"/>
        <v>298.22103836268445</v>
      </c>
      <c r="I34" s="17">
        <f t="shared" si="44"/>
        <v>322.49382475421601</v>
      </c>
      <c r="J34" s="17">
        <f t="shared" si="44"/>
        <v>356.72317430282163</v>
      </c>
      <c r="K34" s="17">
        <f t="shared" si="44"/>
        <v>556.32887357577692</v>
      </c>
      <c r="L34" s="17">
        <f t="shared" si="44"/>
        <v>764.88504661764694</v>
      </c>
      <c r="M34" s="17">
        <f t="shared" si="44"/>
        <v>982.89629145540346</v>
      </c>
      <c r="N34" s="17">
        <f t="shared" si="44"/>
        <v>1210.8918052241982</v>
      </c>
      <c r="O34" s="17">
        <f t="shared" si="44"/>
        <v>1449.426633888351</v>
      </c>
      <c r="P34" s="17">
        <f t="shared" si="44"/>
        <v>1699.0829841531634</v>
      </c>
      <c r="Q34" s="17">
        <f t="shared" si="44"/>
        <v>1960.4716006844151</v>
      </c>
      <c r="R34" s="17">
        <f>Q34*($F$2+1)</f>
        <v>1921.2621686707269</v>
      </c>
      <c r="S34" s="17">
        <f t="shared" ref="S34:CD34" si="45">R34*($F$2+1)</f>
        <v>1882.8369252973123</v>
      </c>
      <c r="T34" s="17">
        <f t="shared" si="45"/>
        <v>1845.1801867913659</v>
      </c>
      <c r="U34" s="17">
        <f t="shared" si="45"/>
        <v>1808.2765830555386</v>
      </c>
      <c r="V34" s="17">
        <f t="shared" si="45"/>
        <v>1772.1110513944277</v>
      </c>
      <c r="W34" s="17">
        <f t="shared" si="45"/>
        <v>1736.6688303665392</v>
      </c>
      <c r="X34" s="17">
        <f t="shared" si="45"/>
        <v>1701.9354537592083</v>
      </c>
      <c r="Y34" s="17">
        <f t="shared" si="45"/>
        <v>1667.896744684024</v>
      </c>
      <c r="Z34" s="17">
        <f t="shared" si="45"/>
        <v>1634.5388097903435</v>
      </c>
      <c r="AA34" s="17">
        <f t="shared" si="45"/>
        <v>1601.8480335945367</v>
      </c>
      <c r="AB34" s="17">
        <f t="shared" si="45"/>
        <v>1569.811072922646</v>
      </c>
      <c r="AC34" s="17">
        <f t="shared" si="45"/>
        <v>1538.4148514641929</v>
      </c>
      <c r="AD34" s="17">
        <f t="shared" si="45"/>
        <v>1507.6465544349089</v>
      </c>
      <c r="AE34" s="17">
        <f t="shared" si="45"/>
        <v>1477.4936233462108</v>
      </c>
      <c r="AF34" s="17">
        <f t="shared" si="45"/>
        <v>1447.9437508792867</v>
      </c>
      <c r="AG34" s="17">
        <f t="shared" si="45"/>
        <v>1418.9848758617009</v>
      </c>
      <c r="AH34" s="17">
        <f t="shared" si="45"/>
        <v>1390.6051783444668</v>
      </c>
      <c r="AI34" s="17">
        <f t="shared" si="45"/>
        <v>1362.7930747775774</v>
      </c>
      <c r="AJ34" s="17">
        <f t="shared" si="45"/>
        <v>1335.537213282026</v>
      </c>
      <c r="AK34" s="17">
        <f t="shared" si="45"/>
        <v>1308.8264690163853</v>
      </c>
      <c r="AL34" s="17">
        <f t="shared" si="45"/>
        <v>1282.6499396360575</v>
      </c>
      <c r="AM34" s="17">
        <f t="shared" si="45"/>
        <v>1256.9969408433365</v>
      </c>
      <c r="AN34" s="17">
        <f t="shared" si="45"/>
        <v>1231.8570020264697</v>
      </c>
      <c r="AO34" s="17">
        <f t="shared" si="45"/>
        <v>1207.2198619859403</v>
      </c>
      <c r="AP34" s="17">
        <f t="shared" si="45"/>
        <v>1183.0754647462215</v>
      </c>
      <c r="AQ34" s="17">
        <f t="shared" si="45"/>
        <v>1159.4139554512972</v>
      </c>
      <c r="AR34" s="17">
        <f t="shared" si="45"/>
        <v>1136.2256763422713</v>
      </c>
      <c r="AS34" s="17">
        <f t="shared" si="45"/>
        <v>1113.5011628154259</v>
      </c>
      <c r="AT34" s="17">
        <f t="shared" si="45"/>
        <v>1091.2311395591173</v>
      </c>
      <c r="AU34" s="17">
        <f t="shared" si="45"/>
        <v>1069.406516767935</v>
      </c>
      <c r="AV34" s="17">
        <f t="shared" si="45"/>
        <v>1048.0183864325763</v>
      </c>
      <c r="AW34" s="17">
        <f t="shared" si="45"/>
        <v>1027.0580187039247</v>
      </c>
      <c r="AX34" s="17">
        <f t="shared" si="45"/>
        <v>1006.5168583298463</v>
      </c>
      <c r="AY34" s="17">
        <f t="shared" si="45"/>
        <v>986.38652116324931</v>
      </c>
      <c r="AZ34" s="17">
        <f t="shared" si="45"/>
        <v>966.65879073998428</v>
      </c>
      <c r="BA34" s="17">
        <f t="shared" si="45"/>
        <v>947.3256149251846</v>
      </c>
      <c r="BB34" s="17">
        <f t="shared" si="45"/>
        <v>928.37910262668083</v>
      </c>
      <c r="BC34" s="17">
        <f t="shared" si="45"/>
        <v>909.81152057414715</v>
      </c>
      <c r="BD34" s="17">
        <f t="shared" si="45"/>
        <v>891.61529016266422</v>
      </c>
      <c r="BE34" s="17">
        <f t="shared" si="45"/>
        <v>873.78298435941088</v>
      </c>
      <c r="BF34" s="17">
        <f t="shared" si="45"/>
        <v>856.30732467222265</v>
      </c>
      <c r="BG34" s="17">
        <f t="shared" si="45"/>
        <v>839.18117817877817</v>
      </c>
      <c r="BH34" s="17">
        <f t="shared" si="45"/>
        <v>822.39755461520258</v>
      </c>
      <c r="BI34" s="17">
        <f t="shared" si="45"/>
        <v>805.94960352289854</v>
      </c>
      <c r="BJ34" s="17">
        <f t="shared" si="45"/>
        <v>789.83061145244051</v>
      </c>
      <c r="BK34" s="17">
        <f t="shared" si="45"/>
        <v>774.03399922339167</v>
      </c>
      <c r="BL34" s="17">
        <f t="shared" si="45"/>
        <v>758.55331923892379</v>
      </c>
      <c r="BM34" s="17">
        <f t="shared" si="45"/>
        <v>743.38225285414535</v>
      </c>
      <c r="BN34" s="17">
        <f t="shared" si="45"/>
        <v>728.51460779706247</v>
      </c>
      <c r="BO34" s="17">
        <f t="shared" si="45"/>
        <v>713.94431564112119</v>
      </c>
      <c r="BP34" s="17">
        <f t="shared" si="45"/>
        <v>699.66542932829873</v>
      </c>
      <c r="BQ34" s="17">
        <f t="shared" si="45"/>
        <v>685.67212074173278</v>
      </c>
      <c r="BR34" s="17">
        <f t="shared" si="45"/>
        <v>671.95867832689817</v>
      </c>
      <c r="BS34" s="17">
        <f t="shared" si="45"/>
        <v>658.51950476036018</v>
      </c>
      <c r="BT34" s="17">
        <f t="shared" si="45"/>
        <v>645.34911466515291</v>
      </c>
      <c r="BU34" s="17">
        <f t="shared" si="45"/>
        <v>632.44213237184988</v>
      </c>
      <c r="BV34" s="17">
        <f t="shared" si="45"/>
        <v>619.79328972441283</v>
      </c>
      <c r="BW34" s="17">
        <f t="shared" si="45"/>
        <v>607.39742392992457</v>
      </c>
      <c r="BX34" s="17">
        <f t="shared" si="45"/>
        <v>595.24947545132602</v>
      </c>
      <c r="BY34" s="17">
        <f t="shared" si="45"/>
        <v>583.34448594229946</v>
      </c>
      <c r="BZ34" s="17">
        <f t="shared" si="45"/>
        <v>571.67759622345341</v>
      </c>
      <c r="CA34" s="17">
        <f t="shared" si="45"/>
        <v>560.24404429898436</v>
      </c>
      <c r="CB34" s="17">
        <f t="shared" si="45"/>
        <v>549.03916341300464</v>
      </c>
      <c r="CC34" s="17">
        <f t="shared" si="45"/>
        <v>538.05838014474455</v>
      </c>
      <c r="CD34" s="17">
        <f t="shared" si="45"/>
        <v>527.2972125418496</v>
      </c>
      <c r="CE34" s="17">
        <f t="shared" ref="CE34:DR34" si="46">CD34*($F$2+1)</f>
        <v>516.75126829101259</v>
      </c>
      <c r="CF34" s="17">
        <f t="shared" si="46"/>
        <v>506.41624292519231</v>
      </c>
      <c r="CG34" s="17">
        <f t="shared" si="46"/>
        <v>496.28791806668846</v>
      </c>
      <c r="CH34" s="17">
        <f t="shared" si="46"/>
        <v>486.36215970535466</v>
      </c>
      <c r="CI34" s="17">
        <f t="shared" si="46"/>
        <v>476.63491651124758</v>
      </c>
      <c r="CJ34" s="17">
        <f t="shared" si="46"/>
        <v>467.10221818102264</v>
      </c>
      <c r="CK34" s="17">
        <f t="shared" si="46"/>
        <v>457.76017381740218</v>
      </c>
      <c r="CL34" s="17">
        <f t="shared" si="46"/>
        <v>448.60497034105413</v>
      </c>
      <c r="CM34" s="17">
        <f t="shared" si="46"/>
        <v>439.63287093423304</v>
      </c>
      <c r="CN34" s="17">
        <f t="shared" si="46"/>
        <v>430.84021351554838</v>
      </c>
      <c r="CO34" s="17">
        <f t="shared" si="46"/>
        <v>422.22340924523741</v>
      </c>
      <c r="CP34" s="17">
        <f t="shared" si="46"/>
        <v>413.77894106033267</v>
      </c>
      <c r="CQ34" s="17">
        <f t="shared" si="46"/>
        <v>405.50336223912603</v>
      </c>
      <c r="CR34" s="17">
        <f t="shared" si="46"/>
        <v>397.39329499434348</v>
      </c>
      <c r="CS34" s="17">
        <f t="shared" si="46"/>
        <v>389.44542909445659</v>
      </c>
      <c r="CT34" s="17">
        <f t="shared" si="46"/>
        <v>381.65652051256745</v>
      </c>
      <c r="CU34" s="17">
        <f t="shared" si="46"/>
        <v>374.02339010231611</v>
      </c>
      <c r="CV34" s="17">
        <f t="shared" si="46"/>
        <v>366.54292230026977</v>
      </c>
      <c r="CW34" s="17">
        <f t="shared" si="46"/>
        <v>359.21206385426439</v>
      </c>
      <c r="CX34" s="17">
        <f t="shared" si="46"/>
        <v>352.02782257717911</v>
      </c>
      <c r="CY34" s="17">
        <f t="shared" si="46"/>
        <v>344.98726612563553</v>
      </c>
      <c r="CZ34" s="17">
        <f t="shared" si="46"/>
        <v>338.0875208031228</v>
      </c>
      <c r="DA34" s="17">
        <f t="shared" si="46"/>
        <v>331.32577038706035</v>
      </c>
      <c r="DB34" s="17">
        <f t="shared" si="46"/>
        <v>324.69925497931911</v>
      </c>
      <c r="DC34" s="17">
        <f t="shared" si="46"/>
        <v>318.20526987973273</v>
      </c>
      <c r="DD34" s="17">
        <f t="shared" si="46"/>
        <v>311.84116448213808</v>
      </c>
      <c r="DE34" s="17">
        <f t="shared" si="46"/>
        <v>305.60434119249533</v>
      </c>
      <c r="DF34" s="17">
        <f t="shared" si="46"/>
        <v>299.49225436864543</v>
      </c>
      <c r="DG34" s="17">
        <f t="shared" si="46"/>
        <v>293.50240928127249</v>
      </c>
      <c r="DH34" s="17">
        <f t="shared" si="46"/>
        <v>287.63236109564701</v>
      </c>
      <c r="DI34" s="17">
        <f t="shared" si="46"/>
        <v>281.87971387373409</v>
      </c>
      <c r="DJ34" s="17">
        <f t="shared" si="46"/>
        <v>276.24211959625939</v>
      </c>
      <c r="DK34" s="17">
        <f t="shared" si="46"/>
        <v>270.71727720433421</v>
      </c>
      <c r="DL34" s="17">
        <f t="shared" si="46"/>
        <v>265.30293166024751</v>
      </c>
      <c r="DM34" s="17">
        <f t="shared" si="46"/>
        <v>259.99687302704257</v>
      </c>
      <c r="DN34" s="17">
        <f t="shared" si="46"/>
        <v>254.7969355665017</v>
      </c>
      <c r="DO34" s="17">
        <f t="shared" si="46"/>
        <v>249.70099685517167</v>
      </c>
      <c r="DP34" s="17">
        <f t="shared" si="46"/>
        <v>244.70697691806822</v>
      </c>
      <c r="DQ34" s="17">
        <f t="shared" si="46"/>
        <v>239.81283737970685</v>
      </c>
      <c r="DR34" s="17">
        <f t="shared" si="46"/>
        <v>235.01658063211272</v>
      </c>
    </row>
    <row r="35" spans="1:122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122" x14ac:dyDescent="0.15">
      <c r="A36" s="3" t="s">
        <v>17</v>
      </c>
      <c r="B36" s="23">
        <f>IFERROR(B21/B19,0)</f>
        <v>0.71885871019534386</v>
      </c>
      <c r="C36" s="23">
        <f>IFERROR(C21/C19,0)</f>
        <v>0.73982219295357265</v>
      </c>
      <c r="D36" s="23">
        <f>IFERROR(D21/D19,0)</f>
        <v>0.74549726752716527</v>
      </c>
      <c r="E36" s="23">
        <f>IFERROR(E21/E19,0)</f>
        <v>0.71885599692927138</v>
      </c>
      <c r="F36" s="23">
        <f>IFERROR(F21/F19,0)</f>
        <v>0.71885599692927138</v>
      </c>
      <c r="G36" s="23">
        <f>IFERROR(G21/G19,0)</f>
        <v>0.71885599692927138</v>
      </c>
      <c r="H36" s="23">
        <f>IFERROR(H21/H19,0)</f>
        <v>0.71885599692927138</v>
      </c>
      <c r="I36" s="23">
        <f>IFERROR(I21/I19,0)</f>
        <v>0.71885599692927138</v>
      </c>
      <c r="J36" s="23">
        <f>IFERROR(J21/J19,0)</f>
        <v>0.71885599692927149</v>
      </c>
      <c r="K36" s="23">
        <f>IFERROR(K21/K19,0)</f>
        <v>0.71885599692927149</v>
      </c>
      <c r="L36" s="23">
        <f>IFERROR(L21/L19,0)</f>
        <v>0.71885599692927149</v>
      </c>
      <c r="M36" s="23">
        <f>IFERROR(M21/M19,0)</f>
        <v>0.71885599692927149</v>
      </c>
      <c r="N36" s="23">
        <f>IFERROR(N21/N19,0)</f>
        <v>0.71885599692927149</v>
      </c>
      <c r="O36" s="23">
        <f>IFERROR(O21/O19,0)</f>
        <v>0.71885599692927149</v>
      </c>
      <c r="P36" s="23">
        <f>IFERROR(P21/P19,0)</f>
        <v>0.71885599692927149</v>
      </c>
      <c r="Q36" s="23">
        <f>IFERROR(Q21/Q19,0)</f>
        <v>0.71885599692927149</v>
      </c>
      <c r="R36" s="23"/>
      <c r="S36" s="23"/>
      <c r="T36" s="23"/>
      <c r="U36" s="23"/>
      <c r="V36" s="23"/>
    </row>
    <row r="37" spans="1:122" x14ac:dyDescent="0.15">
      <c r="A37" s="3" t="s">
        <v>18</v>
      </c>
      <c r="B37" s="22">
        <f>IFERROR(B25/B19,0)</f>
        <v>0.16043952368209793</v>
      </c>
      <c r="C37" s="22">
        <f>IFERROR(C25/C19,0)</f>
        <v>0.16920645373724069</v>
      </c>
      <c r="D37" s="22">
        <f>IFERROR(D25/D19,0)</f>
        <v>0.13860122908116615</v>
      </c>
      <c r="E37" s="22">
        <f>IFERROR(E25/E19,0)</f>
        <v>0.1634144621916542</v>
      </c>
      <c r="F37" s="22">
        <f>IFERROR(F25/F19,0)</f>
        <v>0.14158257223374604</v>
      </c>
      <c r="G37" s="22">
        <f>IFERROR(G25/G19,0)</f>
        <v>0.12180567067644824</v>
      </c>
      <c r="H37" s="22">
        <f>IFERROR(H25/H19,0)</f>
        <v>0.10457229568608918</v>
      </c>
      <c r="I37" s="22">
        <f>IFERROR(I25/I19,0)</f>
        <v>9.0345703009355474E-2</v>
      </c>
      <c r="J37" s="22">
        <f>IFERROR(J25/J19,0)</f>
        <v>7.9536223680002807E-2</v>
      </c>
      <c r="K37" s="22">
        <f>IFERROR(K25/K19,0)</f>
        <v>0.1221575418966208</v>
      </c>
      <c r="L37" s="22">
        <f>IFERROR(L25/L19,0)</f>
        <v>0.1619374388987975</v>
      </c>
      <c r="M37" s="22">
        <f>IFERROR(M25/M19,0)</f>
        <v>0.19906534276749588</v>
      </c>
      <c r="N37" s="22">
        <f>IFERROR(N25/N19,0)</f>
        <v>0.23371805304494753</v>
      </c>
      <c r="O37" s="22">
        <f>IFERROR(O25/O19,0)</f>
        <v>0.26606058263723587</v>
      </c>
      <c r="P37" s="22">
        <f>IFERROR(P25/P19,0)</f>
        <v>0.29624694359003828</v>
      </c>
      <c r="Q37" s="22">
        <f>IFERROR(Q25/Q19,0)</f>
        <v>0.32442088047932044</v>
      </c>
      <c r="R37" s="22"/>
      <c r="S37" s="22"/>
      <c r="T37" s="22"/>
      <c r="U37" s="22"/>
      <c r="V37" s="22"/>
    </row>
    <row r="38" spans="1:122" x14ac:dyDescent="0.15">
      <c r="A38" s="3" t="s">
        <v>19</v>
      </c>
      <c r="B38" s="22">
        <f t="shared" ref="B38:Q38" si="47">IFERROR(B28/B27,0)</f>
        <v>0.28809944101206236</v>
      </c>
      <c r="C38" s="22">
        <f t="shared" si="47"/>
        <v>0.38930404249572342</v>
      </c>
      <c r="D38" s="22">
        <f t="shared" si="47"/>
        <v>0.36268590781917243</v>
      </c>
      <c r="E38" s="22">
        <f>IFERROR(E28/E27,0)</f>
        <v>0.15795754994124558</v>
      </c>
      <c r="F38" s="22">
        <f t="shared" si="47"/>
        <v>0.3</v>
      </c>
      <c r="G38" s="22">
        <f t="shared" si="47"/>
        <v>0.3</v>
      </c>
      <c r="H38" s="22">
        <f t="shared" si="47"/>
        <v>0.29999999999999993</v>
      </c>
      <c r="I38" s="22">
        <f t="shared" si="47"/>
        <v>0.3</v>
      </c>
      <c r="J38" s="22">
        <f t="shared" si="47"/>
        <v>0.3</v>
      </c>
      <c r="K38" s="22">
        <f t="shared" si="47"/>
        <v>0.3</v>
      </c>
      <c r="L38" s="22">
        <f t="shared" si="47"/>
        <v>0.3</v>
      </c>
      <c r="M38" s="22">
        <f t="shared" si="47"/>
        <v>0.3</v>
      </c>
      <c r="N38" s="22">
        <f t="shared" si="47"/>
        <v>0.3</v>
      </c>
      <c r="O38" s="22">
        <f t="shared" si="47"/>
        <v>0.3</v>
      </c>
      <c r="P38" s="22">
        <f t="shared" si="47"/>
        <v>0.3</v>
      </c>
      <c r="Q38" s="22">
        <f t="shared" si="47"/>
        <v>0.3</v>
      </c>
      <c r="R38" s="22"/>
      <c r="S38" s="22"/>
      <c r="T38" s="22"/>
      <c r="U38" s="22"/>
      <c r="V38" s="22"/>
    </row>
    <row r="39" spans="1:122" x14ac:dyDescent="0.1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122" x14ac:dyDescent="0.15">
      <c r="A40" s="2" t="s">
        <v>16</v>
      </c>
      <c r="B40" s="12"/>
      <c r="C40" s="21">
        <f>C19/B19-1</f>
        <v>0.26981870484345727</v>
      </c>
      <c r="D40" s="21">
        <f>D19/C19-1</f>
        <v>0.23877510701350024</v>
      </c>
      <c r="E40" s="21">
        <f>E19/D19-1</f>
        <v>0.35727348119165581</v>
      </c>
      <c r="F40" s="21">
        <f>F19/E19-1</f>
        <v>0.22020962422742185</v>
      </c>
      <c r="G40" s="21">
        <f>G19/F19-1</f>
        <v>0.22781753411958672</v>
      </c>
      <c r="H40" s="21">
        <f>H19/G19-1</f>
        <v>0.23586665554713471</v>
      </c>
      <c r="I40" s="21">
        <f>I19/H19-1</f>
        <v>0.24432215491264575</v>
      </c>
      <c r="J40" s="21">
        <f>J19/I19-1</f>
        <v>0.25313120687964674</v>
      </c>
      <c r="K40" s="21">
        <f>K19/J19-1</f>
        <v>5.0000000000000044E-2</v>
      </c>
      <c r="L40" s="21">
        <f>L19/K19-1</f>
        <v>5.0000000000000044E-2</v>
      </c>
      <c r="M40" s="21">
        <f>M19/L19-1</f>
        <v>5.0000000000000044E-2</v>
      </c>
      <c r="N40" s="21">
        <f>N19/M19-1</f>
        <v>5.0000000000000044E-2</v>
      </c>
      <c r="O40" s="21">
        <f>O19/N19-1</f>
        <v>5.0000000000000044E-2</v>
      </c>
      <c r="P40" s="21">
        <f>P19/O19-1</f>
        <v>5.0000000000000044E-2</v>
      </c>
      <c r="Q40" s="21">
        <f>Q19/P19-1</f>
        <v>5.0000000000000044E-2</v>
      </c>
      <c r="R40" s="21"/>
      <c r="S40" s="21"/>
      <c r="T40" s="21"/>
      <c r="U40" s="21"/>
      <c r="V40" s="21"/>
    </row>
    <row r="41" spans="1:122" x14ac:dyDescent="0.15">
      <c r="A41" s="3" t="s">
        <v>56</v>
      </c>
      <c r="B41" s="6"/>
      <c r="C41" s="22">
        <f>C22/B22-1</f>
        <v>0.17964384174055592</v>
      </c>
      <c r="D41" s="22">
        <f>D22/C22-1</f>
        <v>0.18500505305709947</v>
      </c>
      <c r="E41" s="22">
        <f>E22/D22-1</f>
        <v>0.20297425510367262</v>
      </c>
      <c r="F41" s="22">
        <f>F22/E22-1</f>
        <v>0.19999999999999996</v>
      </c>
      <c r="G41" s="22">
        <f>G22/F22-1</f>
        <v>0.19999999999999996</v>
      </c>
      <c r="H41" s="22">
        <f>H22/G22-1</f>
        <v>0.19999999999999996</v>
      </c>
      <c r="I41" s="22">
        <f>I22/H22-1</f>
        <v>0.19999999999999996</v>
      </c>
      <c r="J41" s="22">
        <f>J22/I22-1</f>
        <v>0.19999999999999996</v>
      </c>
      <c r="K41" s="22">
        <f>K22/J22-1</f>
        <v>-2.0000000000000018E-2</v>
      </c>
      <c r="L41" s="22">
        <f>L22/K22-1</f>
        <v>-2.0000000000000018E-2</v>
      </c>
      <c r="M41" s="22">
        <f>M22/L22-1</f>
        <v>-2.0000000000000018E-2</v>
      </c>
      <c r="N41" s="22">
        <f>N22/M22-1</f>
        <v>-2.0000000000000018E-2</v>
      </c>
      <c r="O41" s="22">
        <f>O22/N22-1</f>
        <v>-2.0000000000000018E-2</v>
      </c>
      <c r="P41" s="22">
        <f>P22/O22-1</f>
        <v>-2.0000000000000018E-2</v>
      </c>
      <c r="Q41" s="22">
        <f>Q22/P22-1</f>
        <v>-2.0000000000000018E-2</v>
      </c>
      <c r="R41" s="22"/>
      <c r="S41" s="22"/>
      <c r="T41" s="22"/>
      <c r="U41" s="22"/>
      <c r="V41" s="22"/>
    </row>
    <row r="42" spans="1:122" x14ac:dyDescent="0.15">
      <c r="A42" s="3" t="s">
        <v>113</v>
      </c>
      <c r="B42" s="6"/>
      <c r="C42" s="22">
        <f>C23/B23-1</f>
        <v>0.37680288461538458</v>
      </c>
      <c r="D42" s="22">
        <f>D23/C23-1</f>
        <v>0.39386003200931174</v>
      </c>
      <c r="E42" s="22">
        <f>E23/D23-1</f>
        <v>0.26140396659707732</v>
      </c>
      <c r="F42" s="22">
        <f>F23/E23-1</f>
        <v>0.30000000000000004</v>
      </c>
      <c r="G42" s="22">
        <f>G23/F23-1</f>
        <v>0.30000000000000004</v>
      </c>
      <c r="H42" s="22">
        <f>H23/G23-1</f>
        <v>0.30000000000000004</v>
      </c>
      <c r="I42" s="22">
        <f>I23/H23-1</f>
        <v>0.30000000000000004</v>
      </c>
      <c r="J42" s="22">
        <f>J23/I23-1</f>
        <v>0.30000000000000004</v>
      </c>
      <c r="K42" s="22">
        <f>K23/J23-1</f>
        <v>-2.0000000000000018E-2</v>
      </c>
      <c r="L42" s="22">
        <f>L23/K23-1</f>
        <v>-1.9999999999999907E-2</v>
      </c>
      <c r="M42" s="22">
        <f>M23/L23-1</f>
        <v>-2.0000000000000018E-2</v>
      </c>
      <c r="N42" s="22">
        <f>N23/M23-1</f>
        <v>-2.0000000000000018E-2</v>
      </c>
      <c r="O42" s="22">
        <f>O23/N23-1</f>
        <v>-2.0000000000000129E-2</v>
      </c>
      <c r="P42" s="22">
        <f>P23/O23-1</f>
        <v>-2.0000000000000018E-2</v>
      </c>
      <c r="Q42" s="22">
        <f>Q23/P23-1</f>
        <v>-2.0000000000000018E-2</v>
      </c>
      <c r="R42" s="22"/>
      <c r="S42" s="22"/>
      <c r="T42" s="22"/>
      <c r="U42" s="22"/>
      <c r="V42" s="22"/>
    </row>
    <row r="43" spans="1:122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122" x14ac:dyDescent="0.15">
      <c r="A44" s="2" t="s">
        <v>31</v>
      </c>
      <c r="B44" s="6"/>
      <c r="C44" s="6"/>
      <c r="D44" s="17">
        <f>D45-D46</f>
        <v>54874</v>
      </c>
      <c r="E44" s="17">
        <f>E45-E46</f>
        <v>105282</v>
      </c>
      <c r="F44" s="51">
        <f>E44+F29</f>
        <v>122193.80161053447</v>
      </c>
      <c r="G44" s="51">
        <f>F44+G29</f>
        <v>140211.67957793729</v>
      </c>
      <c r="H44" s="51">
        <f>G44+H29</f>
        <v>159476.7586561667</v>
      </c>
      <c r="I44" s="51">
        <f>H44+I29</f>
        <v>180309.85973528906</v>
      </c>
      <c r="J44" s="51">
        <f>I44+J29</f>
        <v>203354.17679525135</v>
      </c>
      <c r="K44" s="51">
        <f>J44+K29</f>
        <v>239293.02202824655</v>
      </c>
      <c r="L44" s="51">
        <f>K44+L29</f>
        <v>288704.59603974654</v>
      </c>
      <c r="M44" s="51">
        <f>L44+M29</f>
        <v>352199.69646776561</v>
      </c>
      <c r="N44" s="51">
        <f>M44+N29</f>
        <v>430423.30708524882</v>
      </c>
      <c r="O44" s="51">
        <f>N44+O29</f>
        <v>524056.26763443626</v>
      </c>
      <c r="P44" s="51">
        <f>O44+P29</f>
        <v>633817.02841073065</v>
      </c>
      <c r="Q44" s="51">
        <f>P44+Q29</f>
        <v>760463.49381494382</v>
      </c>
      <c r="R44" s="18"/>
      <c r="S44" s="18"/>
      <c r="T44" s="18"/>
      <c r="U44" s="18"/>
      <c r="V44" s="18"/>
    </row>
    <row r="45" spans="1:122" x14ac:dyDescent="0.15">
      <c r="A45" s="3" t="s">
        <v>32</v>
      </c>
      <c r="B45" s="6"/>
      <c r="C45" s="6"/>
      <c r="D45" s="53">
        <f>'Reports RUB'!M34</f>
        <v>72708</v>
      </c>
      <c r="E45" s="53">
        <f>'Reports RUB'!Q34</f>
        <v>105282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8"/>
      <c r="S45" s="8"/>
      <c r="T45" s="8"/>
      <c r="U45" s="8"/>
      <c r="V45" s="8"/>
    </row>
    <row r="46" spans="1:122" x14ac:dyDescent="0.15">
      <c r="A46" s="3" t="s">
        <v>33</v>
      </c>
      <c r="B46" s="6"/>
      <c r="C46" s="6"/>
      <c r="D46" s="53">
        <f>'Reports RUB'!M35</f>
        <v>17834</v>
      </c>
      <c r="E46" s="53">
        <f>'Reports RUB'!Q35</f>
        <v>0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8"/>
      <c r="S46" s="8"/>
      <c r="T46" s="8"/>
      <c r="U46" s="8"/>
      <c r="V46" s="8"/>
    </row>
    <row r="47" spans="1:122" x14ac:dyDescent="0.15">
      <c r="B47" s="6"/>
      <c r="C47" s="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5"/>
      <c r="V47" s="25"/>
    </row>
    <row r="48" spans="1:122" x14ac:dyDescent="0.15">
      <c r="A48" s="3" t="s">
        <v>70</v>
      </c>
      <c r="B48" s="6"/>
      <c r="C48" s="6"/>
      <c r="D48" s="53">
        <f>'Reports RUB'!M37</f>
        <v>14351</v>
      </c>
      <c r="E48" s="53">
        <f>'Reports RUB'!Q37</f>
        <v>65615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71</v>
      </c>
      <c r="B49" s="6"/>
      <c r="C49" s="6"/>
      <c r="D49" s="53">
        <f>'Reports RUB'!M38</f>
        <v>130544</v>
      </c>
      <c r="E49" s="53">
        <f>'Reports RUB'!Q38</f>
        <v>243106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A50" s="3" t="s">
        <v>72</v>
      </c>
      <c r="B50" s="6"/>
      <c r="C50" s="6"/>
      <c r="D50" s="53">
        <f>'Reports RUB'!M39</f>
        <v>47718</v>
      </c>
      <c r="E50" s="53">
        <f>'Reports RUB'!Q39</f>
        <v>38658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</row>
    <row r="51" spans="1:122" x14ac:dyDescent="0.15">
      <c r="B51" s="6"/>
      <c r="C51" s="6"/>
    </row>
    <row r="52" spans="1:122" x14ac:dyDescent="0.15">
      <c r="A52" s="3" t="s">
        <v>73</v>
      </c>
      <c r="B52" s="6"/>
      <c r="C52" s="6"/>
      <c r="D52" s="54">
        <f>D49-D48-D45</f>
        <v>43485</v>
      </c>
      <c r="E52" s="54">
        <f>E49-E48-E45</f>
        <v>72209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</row>
    <row r="53" spans="1:122" x14ac:dyDescent="0.15">
      <c r="A53" s="3" t="s">
        <v>74</v>
      </c>
      <c r="B53" s="6"/>
      <c r="C53" s="6"/>
      <c r="D53" s="54">
        <f>D49-D50</f>
        <v>82826</v>
      </c>
      <c r="E53" s="54">
        <f>E49-E50</f>
        <v>204448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</row>
    <row r="54" spans="1:122" x14ac:dyDescent="0.15">
      <c r="B54" s="6"/>
      <c r="C54" s="6"/>
    </row>
    <row r="55" spans="1:122" x14ac:dyDescent="0.15">
      <c r="A55" s="26" t="s">
        <v>76</v>
      </c>
      <c r="B55" s="6"/>
      <c r="C55" s="6"/>
      <c r="D55" s="27">
        <f>D29/D53</f>
        <v>0.10450824620288315</v>
      </c>
      <c r="E55" s="27">
        <f>E29/E53</f>
        <v>0.22431620754421663</v>
      </c>
    </row>
    <row r="56" spans="1:122" x14ac:dyDescent="0.15">
      <c r="A56" s="26" t="s">
        <v>77</v>
      </c>
      <c r="B56" s="6"/>
      <c r="C56" s="6"/>
      <c r="D56" s="27">
        <f>D29/D49</f>
        <v>6.6307145483515142E-2</v>
      </c>
      <c r="E56" s="27">
        <f>E29/E49</f>
        <v>0.18864610499123838</v>
      </c>
    </row>
    <row r="57" spans="1:122" x14ac:dyDescent="0.15">
      <c r="A57" s="26" t="s">
        <v>78</v>
      </c>
      <c r="B57" s="6"/>
      <c r="C57" s="6"/>
      <c r="D57" s="27">
        <f>D29/(D53-D48)</f>
        <v>0.12641109894121944</v>
      </c>
      <c r="E57" s="27">
        <f>E29/(E53-E48)</f>
        <v>0.33033212564736048</v>
      </c>
    </row>
    <row r="58" spans="1:122" x14ac:dyDescent="0.15">
      <c r="A58" s="26" t="s">
        <v>79</v>
      </c>
      <c r="B58" s="6"/>
      <c r="C58" s="6"/>
      <c r="D58" s="27">
        <f>D29/D52</f>
        <v>0.19905714614234793</v>
      </c>
      <c r="E58" s="27">
        <f>E29/E52</f>
        <v>0.63511473639020066</v>
      </c>
    </row>
    <row r="60" spans="1:122" x14ac:dyDescent="0.15">
      <c r="A60" s="6" t="s">
        <v>97</v>
      </c>
      <c r="C60" s="27">
        <f>C12/B12-1</f>
        <v>0.22712823963433015</v>
      </c>
      <c r="D60" s="27">
        <f t="shared" ref="D60:E60" si="48">D12/C12-1</f>
        <v>0.23182952654666455</v>
      </c>
      <c r="E60" s="27">
        <f t="shared" si="48"/>
        <v>0.20793872507636335</v>
      </c>
      <c r="F60" s="27">
        <f t="shared" ref="F60:J60" si="49">F12/E12-1</f>
        <v>0.19999999999999996</v>
      </c>
      <c r="G60" s="27">
        <f t="shared" si="49"/>
        <v>0.19999999999999996</v>
      </c>
      <c r="H60" s="27">
        <f t="shared" si="49"/>
        <v>0.19999999999999996</v>
      </c>
      <c r="I60" s="27">
        <f t="shared" si="49"/>
        <v>0.19999999999999996</v>
      </c>
      <c r="J60" s="27">
        <f t="shared" si="49"/>
        <v>0.19999999999999996</v>
      </c>
    </row>
    <row r="61" spans="1:122" x14ac:dyDescent="0.15">
      <c r="A61" s="6" t="s">
        <v>98</v>
      </c>
      <c r="C61" s="27">
        <f t="shared" ref="C61:E61" si="50">C13/B13-1</f>
        <v>0.3030904639004699</v>
      </c>
      <c r="D61" s="27">
        <f t="shared" si="50"/>
        <v>0.13000863338581081</v>
      </c>
      <c r="E61" s="27">
        <f t="shared" si="50"/>
        <v>8.044582265965583E-2</v>
      </c>
      <c r="F61" s="27">
        <f t="shared" ref="F61:I61" si="51">F13/E13-1</f>
        <v>0.10000000000000009</v>
      </c>
      <c r="G61" s="27">
        <f t="shared" si="51"/>
        <v>0.10000000000000009</v>
      </c>
      <c r="H61" s="27">
        <f t="shared" si="51"/>
        <v>0.10000000000000009</v>
      </c>
      <c r="I61" s="27">
        <f t="shared" si="51"/>
        <v>0.10000000000000009</v>
      </c>
      <c r="J61" s="27">
        <f>J13/I13-1</f>
        <v>0.10000000000000009</v>
      </c>
    </row>
    <row r="62" spans="1:122" x14ac:dyDescent="0.15">
      <c r="A62" s="6" t="s">
        <v>109</v>
      </c>
      <c r="C62" s="27">
        <f t="shared" ref="C62:E62" si="52">C14/B14-1</f>
        <v>1.1150442477876106</v>
      </c>
      <c r="D62" s="27">
        <f t="shared" si="52"/>
        <v>0.98864315600717267</v>
      </c>
      <c r="E62" s="27">
        <f t="shared" si="52"/>
        <v>2.7451157198677487</v>
      </c>
      <c r="F62" s="27">
        <f t="shared" ref="F62:J62" si="53">F14/E14-1</f>
        <v>0.39999999999999991</v>
      </c>
      <c r="G62" s="27">
        <f>G14/F14-1</f>
        <v>0.39999999999999991</v>
      </c>
      <c r="H62" s="27">
        <f t="shared" si="53"/>
        <v>0.39999999999999991</v>
      </c>
      <c r="I62" s="27">
        <f t="shared" si="53"/>
        <v>0.39999999999999991</v>
      </c>
      <c r="J62" s="27">
        <f t="shared" si="53"/>
        <v>0.39999999999999991</v>
      </c>
    </row>
    <row r="64" spans="1:122" s="27" customFormat="1" x14ac:dyDescent="0.15">
      <c r="A64" s="27" t="s">
        <v>85</v>
      </c>
    </row>
    <row r="65" spans="1:1" s="27" customFormat="1" x14ac:dyDescent="0.15">
      <c r="A65" s="27" t="s">
        <v>86</v>
      </c>
    </row>
  </sheetData>
  <hyperlinks>
    <hyperlink ref="A4" r:id="rId1"/>
    <hyperlink ref="A1" r:id="rId2"/>
    <hyperlink ref="A7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pane xSplit="1" ySplit="2" topLeftCell="J17" activePane="bottomRight" state="frozen"/>
      <selection pane="topRight" activeCell="B1" sqref="B1"/>
      <selection pane="bottomLeft" activeCell="A3" sqref="A3"/>
      <selection pane="bottomRight" activeCell="K39" sqref="K39"/>
    </sheetView>
  </sheetViews>
  <sheetFormatPr baseColWidth="10" defaultRowHeight="13" x14ac:dyDescent="0.15"/>
  <cols>
    <col min="1" max="1" width="18.1640625" style="6" bestFit="1" customWidth="1"/>
    <col min="2" max="5" width="10.83203125" style="28" customWidth="1"/>
    <col min="6" max="6" width="10.83203125" style="29" customWidth="1"/>
    <col min="7" max="8" width="10.83203125" style="28" customWidth="1"/>
    <col min="9" max="9" width="10.83203125" style="28"/>
    <col min="10" max="10" width="10.83203125" style="29"/>
    <col min="11" max="13" width="10.83203125" style="28"/>
    <col min="14" max="14" width="10.83203125" style="29"/>
    <col min="15" max="17" width="10.83203125" style="28"/>
    <col min="18" max="18" width="10.83203125" style="29"/>
    <col min="19" max="21" width="10.83203125" style="28"/>
    <col min="22" max="16384" width="10.83203125" style="6"/>
  </cols>
  <sheetData>
    <row r="1" spans="1:21" x14ac:dyDescent="0.15">
      <c r="A1" s="1" t="s">
        <v>57</v>
      </c>
      <c r="B1" s="28" t="s">
        <v>48</v>
      </c>
      <c r="C1" s="28" t="s">
        <v>49</v>
      </c>
      <c r="D1" s="28" t="s">
        <v>50</v>
      </c>
      <c r="E1" s="28" t="s">
        <v>51</v>
      </c>
      <c r="F1" s="29" t="s">
        <v>20</v>
      </c>
      <c r="G1" s="28" t="s">
        <v>21</v>
      </c>
      <c r="H1" s="28" t="s">
        <v>22</v>
      </c>
      <c r="I1" s="28" t="s">
        <v>23</v>
      </c>
      <c r="J1" s="30" t="s">
        <v>0</v>
      </c>
      <c r="K1" s="31" t="s">
        <v>1</v>
      </c>
      <c r="L1" s="31" t="s">
        <v>2</v>
      </c>
      <c r="M1" s="31" t="s">
        <v>3</v>
      </c>
      <c r="N1" s="30" t="s">
        <v>40</v>
      </c>
      <c r="O1" s="31" t="s">
        <v>41</v>
      </c>
      <c r="P1" s="31" t="s">
        <v>42</v>
      </c>
      <c r="Q1" s="31" t="s">
        <v>43</v>
      </c>
      <c r="R1" s="30" t="s">
        <v>65</v>
      </c>
      <c r="S1" s="31" t="s">
        <v>66</v>
      </c>
      <c r="T1" s="31" t="s">
        <v>67</v>
      </c>
      <c r="U1" s="31" t="s">
        <v>68</v>
      </c>
    </row>
    <row r="2" spans="1:21" s="28" customFormat="1" x14ac:dyDescent="0.15">
      <c r="A2" s="1"/>
      <c r="B2" s="28" t="s">
        <v>52</v>
      </c>
      <c r="C2" s="28" t="s">
        <v>53</v>
      </c>
      <c r="D2" s="28" t="s">
        <v>54</v>
      </c>
      <c r="E2" s="28" t="s">
        <v>55</v>
      </c>
      <c r="F2" s="29" t="s">
        <v>27</v>
      </c>
      <c r="G2" s="28" t="s">
        <v>26</v>
      </c>
      <c r="H2" s="28" t="s">
        <v>25</v>
      </c>
      <c r="I2" s="28" t="s">
        <v>30</v>
      </c>
      <c r="J2" s="29" t="s">
        <v>29</v>
      </c>
      <c r="K2" s="28" t="s">
        <v>28</v>
      </c>
      <c r="L2" s="28" t="s">
        <v>24</v>
      </c>
      <c r="M2" s="28" t="s">
        <v>34</v>
      </c>
      <c r="N2" s="29" t="s">
        <v>44</v>
      </c>
      <c r="O2" s="28" t="s">
        <v>45</v>
      </c>
      <c r="P2" s="28" t="s">
        <v>46</v>
      </c>
      <c r="Q2" s="28" t="s">
        <v>47</v>
      </c>
      <c r="R2" s="29"/>
    </row>
    <row r="3" spans="1:21" x14ac:dyDescent="0.15">
      <c r="A3" s="6" t="s">
        <v>95</v>
      </c>
      <c r="B3" s="31">
        <v>8969</v>
      </c>
      <c r="C3" s="31">
        <v>10110</v>
      </c>
      <c r="D3" s="31">
        <v>11137</v>
      </c>
      <c r="E3" s="31">
        <v>12883</v>
      </c>
      <c r="F3" s="30">
        <v>11404</v>
      </c>
      <c r="G3" s="31">
        <v>12562</v>
      </c>
      <c r="H3" s="31">
        <v>13435</v>
      </c>
      <c r="I3" s="31">
        <v>15487</v>
      </c>
      <c r="J3" s="30">
        <v>14356</v>
      </c>
      <c r="K3" s="31">
        <v>15531</v>
      </c>
      <c r="L3" s="31">
        <v>16330</v>
      </c>
      <c r="M3" s="31">
        <v>18932</v>
      </c>
      <c r="N3" s="30">
        <v>17475</v>
      </c>
      <c r="O3" s="31">
        <v>18863</v>
      </c>
      <c r="P3" s="31">
        <v>19965</v>
      </c>
      <c r="Q3" s="31">
        <v>22393</v>
      </c>
    </row>
    <row r="4" spans="1:21" x14ac:dyDescent="0.15">
      <c r="A4" s="6" t="s">
        <v>96</v>
      </c>
      <c r="B4" s="31">
        <v>3094</v>
      </c>
      <c r="C4" s="31">
        <v>3451</v>
      </c>
      <c r="D4" s="31">
        <v>3931</v>
      </c>
      <c r="E4" s="31">
        <v>4635</v>
      </c>
      <c r="F4" s="30">
        <v>4428</v>
      </c>
      <c r="G4" s="31">
        <v>4740</v>
      </c>
      <c r="H4" s="31">
        <v>5005</v>
      </c>
      <c r="I4" s="31">
        <v>5518</v>
      </c>
      <c r="J4" s="30">
        <v>5159</v>
      </c>
      <c r="K4" s="31">
        <v>5403</v>
      </c>
      <c r="L4" s="31">
        <v>5551</v>
      </c>
      <c r="M4" s="31">
        <v>6138</v>
      </c>
      <c r="N4" s="30">
        <v>5365</v>
      </c>
      <c r="O4" s="31">
        <v>5619</v>
      </c>
      <c r="P4" s="31">
        <v>5952</v>
      </c>
      <c r="Q4" s="31">
        <v>7105</v>
      </c>
    </row>
    <row r="5" spans="1:21" x14ac:dyDescent="0.15">
      <c r="A5" s="6" t="s">
        <v>69</v>
      </c>
      <c r="B5" s="31">
        <v>276</v>
      </c>
      <c r="C5" s="31">
        <v>359</v>
      </c>
      <c r="D5" s="31">
        <v>371</v>
      </c>
      <c r="E5" s="31">
        <v>576</v>
      </c>
      <c r="F5" s="30">
        <v>641</v>
      </c>
      <c r="G5" s="31">
        <v>738</v>
      </c>
      <c r="H5" s="31">
        <v>853</v>
      </c>
      <c r="I5" s="31">
        <v>1114</v>
      </c>
      <c r="J5" s="30">
        <v>1137</v>
      </c>
      <c r="K5" s="31">
        <v>1170</v>
      </c>
      <c r="L5" s="31">
        <v>1557</v>
      </c>
      <c r="M5" s="31">
        <v>2790</v>
      </c>
      <c r="N5" s="30">
        <v>3733</v>
      </c>
      <c r="O5" s="31">
        <v>5190</v>
      </c>
      <c r="P5" s="31">
        <v>6653</v>
      </c>
      <c r="Q5" s="31">
        <v>9344</v>
      </c>
    </row>
    <row r="6" spans="1:21" x14ac:dyDescent="0.15">
      <c r="B6" s="31"/>
      <c r="C6" s="31"/>
      <c r="D6" s="31"/>
      <c r="E6" s="31"/>
      <c r="F6" s="30"/>
      <c r="G6" s="31"/>
      <c r="H6" s="31"/>
      <c r="I6" s="31"/>
      <c r="J6" s="30"/>
      <c r="K6" s="31"/>
      <c r="L6" s="31"/>
      <c r="M6" s="31"/>
      <c r="N6" s="30"/>
      <c r="O6" s="31"/>
      <c r="P6" s="31"/>
      <c r="Q6" s="31"/>
    </row>
    <row r="7" spans="1:21" s="8" customFormat="1" x14ac:dyDescent="0.15">
      <c r="A7" s="8" t="s">
        <v>83</v>
      </c>
      <c r="B7" s="31"/>
      <c r="C7" s="31"/>
      <c r="D7" s="31"/>
      <c r="E7" s="31"/>
      <c r="F7" s="30"/>
      <c r="G7" s="31"/>
      <c r="H7" s="31"/>
      <c r="I7" s="31"/>
      <c r="J7" s="30"/>
      <c r="K7" s="31"/>
      <c r="L7" s="31"/>
      <c r="M7" s="31"/>
      <c r="N7" s="30"/>
      <c r="O7" s="31"/>
      <c r="P7" s="31"/>
      <c r="Q7" s="31"/>
      <c r="R7" s="30"/>
      <c r="S7" s="31"/>
      <c r="T7" s="31"/>
      <c r="U7" s="31"/>
    </row>
    <row r="8" spans="1:21" s="4" customFormat="1" x14ac:dyDescent="0.15">
      <c r="A8" s="4" t="s">
        <v>84</v>
      </c>
      <c r="B8" s="63"/>
      <c r="C8" s="63"/>
      <c r="D8" s="63"/>
      <c r="E8" s="63"/>
      <c r="F8" s="64"/>
      <c r="G8" s="63"/>
      <c r="H8" s="63"/>
      <c r="I8" s="63"/>
      <c r="J8" s="64"/>
      <c r="K8" s="63"/>
      <c r="L8" s="63"/>
      <c r="M8" s="63"/>
      <c r="N8" s="64"/>
      <c r="O8" s="63"/>
      <c r="P8" s="63"/>
      <c r="Q8" s="63"/>
      <c r="R8" s="64"/>
      <c r="S8" s="63"/>
      <c r="T8" s="63"/>
      <c r="U8" s="63"/>
    </row>
    <row r="9" spans="1:21" x14ac:dyDescent="0.15">
      <c r="B9" s="31"/>
      <c r="F9" s="30"/>
      <c r="I9" s="31"/>
    </row>
    <row r="10" spans="1:21" s="12" customFormat="1" x14ac:dyDescent="0.15">
      <c r="A10" s="12" t="s">
        <v>4</v>
      </c>
      <c r="B10" s="34">
        <f>SUM(B3:B5)</f>
        <v>12339</v>
      </c>
      <c r="C10" s="33">
        <f>SUM(C3:C5)</f>
        <v>13920</v>
      </c>
      <c r="D10" s="33">
        <f>SUM(D3:D5)</f>
        <v>15439</v>
      </c>
      <c r="E10" s="33">
        <f>SUM(E3:E5)</f>
        <v>18094</v>
      </c>
      <c r="F10" s="34">
        <f>SUM(F3:F5)</f>
        <v>16473</v>
      </c>
      <c r="G10" s="33">
        <f>SUM(G3:G5)</f>
        <v>18040</v>
      </c>
      <c r="H10" s="33">
        <f>SUM(H3:H5)</f>
        <v>19293</v>
      </c>
      <c r="I10" s="33">
        <f>SUM(I3:I5)</f>
        <v>22119</v>
      </c>
      <c r="J10" s="34">
        <f>SUM(J3:J5)</f>
        <v>20652</v>
      </c>
      <c r="K10" s="33">
        <f>SUM(K3:K5)</f>
        <v>22104</v>
      </c>
      <c r="L10" s="33">
        <f>SUM(L3:L5)</f>
        <v>23438</v>
      </c>
      <c r="M10" s="33">
        <f>SUM(M3:M5)</f>
        <v>27860</v>
      </c>
      <c r="N10" s="34">
        <f>SUM(N3:N5)</f>
        <v>26573</v>
      </c>
      <c r="O10" s="33">
        <f>SUM(O3:O5)</f>
        <v>29672</v>
      </c>
      <c r="P10" s="33">
        <f>SUM(P3:P5)</f>
        <v>32570</v>
      </c>
      <c r="Q10" s="33">
        <f>SUM(Q3:Q5)</f>
        <v>38842</v>
      </c>
      <c r="R10" s="55"/>
      <c r="S10" s="36"/>
      <c r="T10" s="36"/>
      <c r="U10" s="36"/>
    </row>
    <row r="11" spans="1:21" x14ac:dyDescent="0.15">
      <c r="A11" s="6" t="s">
        <v>5</v>
      </c>
      <c r="B11" s="31">
        <v>3713</v>
      </c>
      <c r="C11" s="31">
        <v>3982</v>
      </c>
      <c r="D11" s="31">
        <v>4318</v>
      </c>
      <c r="E11" s="31">
        <v>4797</v>
      </c>
      <c r="F11" s="30">
        <v>4504</v>
      </c>
      <c r="G11" s="31">
        <v>4696</v>
      </c>
      <c r="H11" s="31">
        <v>4918</v>
      </c>
      <c r="I11" s="31">
        <v>5636</v>
      </c>
      <c r="J11" s="30">
        <v>5348</v>
      </c>
      <c r="K11" s="31">
        <v>5747</v>
      </c>
      <c r="L11" s="31">
        <v>6045</v>
      </c>
      <c r="M11" s="31">
        <v>6797</v>
      </c>
      <c r="N11" s="30">
        <v>6712</v>
      </c>
      <c r="O11" s="31">
        <v>8252</v>
      </c>
      <c r="P11" s="31">
        <v>9070</v>
      </c>
      <c r="Q11" s="31">
        <v>11856</v>
      </c>
    </row>
    <row r="12" spans="1:21" x14ac:dyDescent="0.15">
      <c r="A12" s="6" t="s">
        <v>6</v>
      </c>
      <c r="B12" s="37">
        <f>B10-B11</f>
        <v>8626</v>
      </c>
      <c r="C12" s="37">
        <f>C10-C11</f>
        <v>9938</v>
      </c>
      <c r="D12" s="37">
        <f>D10-D11</f>
        <v>11121</v>
      </c>
      <c r="E12" s="37">
        <f>E10-E11</f>
        <v>13297</v>
      </c>
      <c r="F12" s="38">
        <f>F10-F11</f>
        <v>11969</v>
      </c>
      <c r="G12" s="37">
        <f t="shared" ref="G12:L12" si="0">G10-G11</f>
        <v>13344</v>
      </c>
      <c r="H12" s="37">
        <f t="shared" si="0"/>
        <v>14375</v>
      </c>
      <c r="I12" s="37">
        <f t="shared" si="0"/>
        <v>16483</v>
      </c>
      <c r="J12" s="38">
        <f t="shared" si="0"/>
        <v>15304</v>
      </c>
      <c r="K12" s="37">
        <f t="shared" si="0"/>
        <v>16357</v>
      </c>
      <c r="L12" s="37">
        <f t="shared" si="0"/>
        <v>17393</v>
      </c>
      <c r="M12" s="37">
        <f t="shared" ref="M12" si="1">M10-M11</f>
        <v>21063</v>
      </c>
      <c r="N12" s="38">
        <f>N10-N11</f>
        <v>19861</v>
      </c>
      <c r="O12" s="37">
        <f>O10-O11</f>
        <v>21420</v>
      </c>
      <c r="P12" s="37">
        <f t="shared" ref="P12:Q12" si="2">P10-P11</f>
        <v>23500</v>
      </c>
      <c r="Q12" s="37">
        <f t="shared" si="2"/>
        <v>26986</v>
      </c>
    </row>
    <row r="13" spans="1:21" x14ac:dyDescent="0.15">
      <c r="A13" s="6" t="s">
        <v>7</v>
      </c>
      <c r="B13" s="31">
        <v>3347</v>
      </c>
      <c r="C13" s="31">
        <v>3300</v>
      </c>
      <c r="D13" s="31">
        <v>3168</v>
      </c>
      <c r="E13" s="31">
        <v>3606</v>
      </c>
      <c r="F13" s="30">
        <v>3877</v>
      </c>
      <c r="G13" s="31">
        <v>3794</v>
      </c>
      <c r="H13" s="31">
        <v>3858</v>
      </c>
      <c r="I13" s="31">
        <v>4303</v>
      </c>
      <c r="J13" s="30">
        <v>4518</v>
      </c>
      <c r="K13" s="31">
        <v>4473</v>
      </c>
      <c r="L13" s="31">
        <v>4569</v>
      </c>
      <c r="M13" s="31">
        <v>5201</v>
      </c>
      <c r="N13" s="30">
        <v>5803</v>
      </c>
      <c r="O13" s="31">
        <v>5370</v>
      </c>
      <c r="P13" s="31">
        <v>5542</v>
      </c>
      <c r="Q13" s="31">
        <v>5854</v>
      </c>
    </row>
    <row r="14" spans="1:21" x14ac:dyDescent="0.15">
      <c r="A14" s="6" t="s">
        <v>107</v>
      </c>
      <c r="B14" s="31">
        <f>2303+1490</f>
        <v>3793</v>
      </c>
      <c r="C14" s="31">
        <f>2568+1874</f>
        <v>4442</v>
      </c>
      <c r="D14" s="31">
        <f>2618+2152</f>
        <v>4770</v>
      </c>
      <c r="E14" s="31">
        <f>4112+2275+576</f>
        <v>6963</v>
      </c>
      <c r="F14" s="30">
        <f>3258+2394</f>
        <v>5652</v>
      </c>
      <c r="G14" s="31">
        <f>3717+2316</f>
        <v>6033</v>
      </c>
      <c r="H14" s="31">
        <f>4475+2489</f>
        <v>6964</v>
      </c>
      <c r="I14" s="31">
        <f>6435+2408</f>
        <v>8843</v>
      </c>
      <c r="J14" s="30">
        <f>4948+2463</f>
        <v>7411</v>
      </c>
      <c r="K14" s="31">
        <f>6064+2823</f>
        <v>8887</v>
      </c>
      <c r="L14" s="31">
        <f>8047+2930</f>
        <v>10977</v>
      </c>
      <c r="M14" s="31">
        <f>8022+3023</f>
        <v>11045</v>
      </c>
      <c r="N14" s="30">
        <f>8009+2890</f>
        <v>10899</v>
      </c>
      <c r="O14" s="31">
        <f>8776+2926</f>
        <v>11702</v>
      </c>
      <c r="P14" s="31">
        <f>8957+3118</f>
        <v>12075</v>
      </c>
      <c r="Q14" s="31">
        <f>10458+3203</f>
        <v>13661</v>
      </c>
    </row>
    <row r="15" spans="1:21" x14ac:dyDescent="0.15">
      <c r="A15" s="6" t="s">
        <v>8</v>
      </c>
      <c r="B15" s="37">
        <f>SUM(B13:B14)</f>
        <v>7140</v>
      </c>
      <c r="C15" s="37">
        <f>SUM(C13:C14)</f>
        <v>7742</v>
      </c>
      <c r="D15" s="37">
        <f>SUM(D13:D14)</f>
        <v>7938</v>
      </c>
      <c r="E15" s="37">
        <f>SUM(E13:E14)</f>
        <v>10569</v>
      </c>
      <c r="F15" s="38">
        <f>SUM(F13:F14)</f>
        <v>9529</v>
      </c>
      <c r="G15" s="37">
        <f>SUM(G13:G14)</f>
        <v>9827</v>
      </c>
      <c r="H15" s="37">
        <f>SUM(H13:H14)</f>
        <v>10822</v>
      </c>
      <c r="I15" s="37">
        <f>SUM(I13:I14)</f>
        <v>13146</v>
      </c>
      <c r="J15" s="38">
        <f>SUM(J13:J14)</f>
        <v>11929</v>
      </c>
      <c r="K15" s="37">
        <f>SUM(K13:K14)</f>
        <v>13360</v>
      </c>
      <c r="L15" s="37">
        <f>SUM(L13:L14)</f>
        <v>15546</v>
      </c>
      <c r="M15" s="37">
        <f>SUM(M13:M14)</f>
        <v>16246</v>
      </c>
      <c r="N15" s="38">
        <f>SUM(N13:N14)</f>
        <v>16702</v>
      </c>
      <c r="O15" s="37">
        <f>SUM(O13:O14)</f>
        <v>17072</v>
      </c>
      <c r="P15" s="37">
        <f>SUM(P13:P14)</f>
        <v>17617</v>
      </c>
      <c r="Q15" s="37">
        <f>SUM(Q13:Q14)</f>
        <v>19515</v>
      </c>
    </row>
    <row r="16" spans="1:21" x14ac:dyDescent="0.15">
      <c r="A16" s="6" t="s">
        <v>9</v>
      </c>
      <c r="B16" s="37">
        <f>B12-B15</f>
        <v>1486</v>
      </c>
      <c r="C16" s="37">
        <f>C12-C15</f>
        <v>2196</v>
      </c>
      <c r="D16" s="37">
        <f>D12-D15</f>
        <v>3183</v>
      </c>
      <c r="E16" s="37">
        <f>E12-E15</f>
        <v>2728</v>
      </c>
      <c r="F16" s="38">
        <f>F12-F15</f>
        <v>2440</v>
      </c>
      <c r="G16" s="37">
        <f>G12-G15</f>
        <v>3517</v>
      </c>
      <c r="H16" s="37">
        <f>H12-H15</f>
        <v>3553</v>
      </c>
      <c r="I16" s="37">
        <f>I12-I15</f>
        <v>3337</v>
      </c>
      <c r="J16" s="38">
        <f>J12-J15</f>
        <v>3375</v>
      </c>
      <c r="K16" s="37">
        <f>K12-K15</f>
        <v>2997</v>
      </c>
      <c r="L16" s="37">
        <f>L12-L15</f>
        <v>1847</v>
      </c>
      <c r="M16" s="37">
        <f>M12-M15</f>
        <v>4817</v>
      </c>
      <c r="N16" s="38">
        <f>N12-N15</f>
        <v>3159</v>
      </c>
      <c r="O16" s="37">
        <f>O12-O15</f>
        <v>4348</v>
      </c>
      <c r="P16" s="37">
        <f>P12-P15</f>
        <v>5883</v>
      </c>
      <c r="Q16" s="37">
        <f>Q12-Q15</f>
        <v>7471</v>
      </c>
    </row>
    <row r="17" spans="1:21" x14ac:dyDescent="0.15">
      <c r="A17" s="6" t="s">
        <v>10</v>
      </c>
      <c r="B17" s="31">
        <f>484+833</f>
        <v>1317</v>
      </c>
      <c r="C17" s="31">
        <f>356-1787</f>
        <v>-1431</v>
      </c>
      <c r="D17" s="31">
        <f>415+2076</f>
        <v>2491</v>
      </c>
      <c r="E17" s="31">
        <f>489+1137</f>
        <v>1626</v>
      </c>
      <c r="F17" s="30">
        <f>523-1181</f>
        <v>-658</v>
      </c>
      <c r="G17" s="31">
        <f>437-842</f>
        <v>-405</v>
      </c>
      <c r="H17" s="31">
        <f>351-218</f>
        <v>133</v>
      </c>
      <c r="I17" s="31">
        <f>344-1154</f>
        <v>-810</v>
      </c>
      <c r="J17" s="30">
        <f>709-228-2255</f>
        <v>-1774</v>
      </c>
      <c r="K17" s="31">
        <f>688-217+1389</f>
        <v>1860</v>
      </c>
      <c r="L17" s="31">
        <f>732-226-626</f>
        <v>-120</v>
      </c>
      <c r="M17" s="31">
        <f>780-226+26</f>
        <v>580</v>
      </c>
      <c r="N17" s="30">
        <f>708-221-400</f>
        <v>87</v>
      </c>
      <c r="O17" s="31">
        <f>817-243+30668</f>
        <v>31242</v>
      </c>
      <c r="P17" s="31">
        <f>928-260+627</f>
        <v>1295</v>
      </c>
      <c r="Q17" s="31">
        <f>929-221+271</f>
        <v>979</v>
      </c>
    </row>
    <row r="18" spans="1:21" x14ac:dyDescent="0.15">
      <c r="A18" s="6" t="s">
        <v>11</v>
      </c>
      <c r="B18" s="37">
        <f>B16+B17</f>
        <v>2803</v>
      </c>
      <c r="C18" s="37">
        <f>C16+C17</f>
        <v>765</v>
      </c>
      <c r="D18" s="37">
        <f>D16+D17</f>
        <v>5674</v>
      </c>
      <c r="E18" s="37">
        <f>E16+E17</f>
        <v>4354</v>
      </c>
      <c r="F18" s="38">
        <f>F16+F17</f>
        <v>1782</v>
      </c>
      <c r="G18" s="37">
        <f t="shared" ref="G18:I18" si="3">G16+G17</f>
        <v>3112</v>
      </c>
      <c r="H18" s="37">
        <f t="shared" si="3"/>
        <v>3686</v>
      </c>
      <c r="I18" s="37">
        <f t="shared" si="3"/>
        <v>2527</v>
      </c>
      <c r="J18" s="38">
        <f t="shared" ref="J18:K18" si="4">J16+J17</f>
        <v>1601</v>
      </c>
      <c r="K18" s="37">
        <f t="shared" si="4"/>
        <v>4857</v>
      </c>
      <c r="L18" s="37">
        <f t="shared" ref="L18:N18" si="5">L16+L17</f>
        <v>1727</v>
      </c>
      <c r="M18" s="37">
        <f>M16+M17</f>
        <v>5397</v>
      </c>
      <c r="N18" s="38">
        <f t="shared" si="5"/>
        <v>3246</v>
      </c>
      <c r="O18" s="37">
        <f t="shared" ref="O18" si="6">O16+O17</f>
        <v>35590</v>
      </c>
      <c r="P18" s="37">
        <f>P16+P17</f>
        <v>7178</v>
      </c>
      <c r="Q18" s="37">
        <f>Q16+Q17</f>
        <v>8450</v>
      </c>
    </row>
    <row r="19" spans="1:21" x14ac:dyDescent="0.15">
      <c r="A19" s="6" t="s">
        <v>12</v>
      </c>
      <c r="B19" s="31">
        <v>676</v>
      </c>
      <c r="C19" s="31">
        <v>342</v>
      </c>
      <c r="D19" s="31">
        <v>1396</v>
      </c>
      <c r="E19" s="31">
        <v>1503</v>
      </c>
      <c r="F19" s="30">
        <v>713</v>
      </c>
      <c r="G19" s="31">
        <v>1054</v>
      </c>
      <c r="H19" s="31">
        <v>1243</v>
      </c>
      <c r="I19" s="31">
        <v>1314</v>
      </c>
      <c r="J19" s="30">
        <v>782</v>
      </c>
      <c r="K19" s="31">
        <v>1373</v>
      </c>
      <c r="L19" s="31">
        <v>874</v>
      </c>
      <c r="M19" s="31">
        <v>1897</v>
      </c>
      <c r="N19" s="30">
        <v>1395</v>
      </c>
      <c r="O19" s="31">
        <v>2259</v>
      </c>
      <c r="P19" s="31">
        <v>2410</v>
      </c>
      <c r="Q19" s="31">
        <v>2539</v>
      </c>
    </row>
    <row r="20" spans="1:21" s="14" customFormat="1" x14ac:dyDescent="0.15">
      <c r="A20" s="14" t="s">
        <v>82</v>
      </c>
      <c r="B20" s="56"/>
      <c r="C20" s="56"/>
      <c r="D20" s="56"/>
      <c r="E20" s="56"/>
      <c r="F20" s="57"/>
      <c r="G20" s="56"/>
      <c r="H20" s="56"/>
      <c r="I20" s="56"/>
      <c r="J20" s="57"/>
      <c r="K20" s="56"/>
      <c r="L20" s="56"/>
      <c r="M20" s="56"/>
      <c r="N20" s="57"/>
      <c r="O20" s="56"/>
      <c r="P20" s="56"/>
      <c r="Q20" s="56"/>
      <c r="R20" s="58"/>
      <c r="S20" s="59"/>
      <c r="T20" s="59"/>
      <c r="U20" s="59"/>
    </row>
    <row r="21" spans="1:21" s="12" customFormat="1" x14ac:dyDescent="0.15">
      <c r="A21" s="12" t="s">
        <v>13</v>
      </c>
      <c r="B21" s="33">
        <f>B18-B19</f>
        <v>2127</v>
      </c>
      <c r="C21" s="33">
        <f>C18-C19</f>
        <v>423</v>
      </c>
      <c r="D21" s="33">
        <f>D18-D19</f>
        <v>4278</v>
      </c>
      <c r="E21" s="33">
        <f>E18-E19</f>
        <v>2851</v>
      </c>
      <c r="F21" s="34">
        <f>F18-F19</f>
        <v>1069</v>
      </c>
      <c r="G21" s="33">
        <f t="shared" ref="G21:H21" si="7">G18-G19</f>
        <v>2058</v>
      </c>
      <c r="H21" s="33">
        <f t="shared" si="7"/>
        <v>2443</v>
      </c>
      <c r="I21" s="33">
        <f t="shared" ref="I21:O21" si="8">I18-I19</f>
        <v>1213</v>
      </c>
      <c r="J21" s="34">
        <f>J18-J19</f>
        <v>819</v>
      </c>
      <c r="K21" s="33">
        <f>K18-K19</f>
        <v>3484</v>
      </c>
      <c r="L21" s="33">
        <f t="shared" si="8"/>
        <v>853</v>
      </c>
      <c r="M21" s="33">
        <f t="shared" si="8"/>
        <v>3500</v>
      </c>
      <c r="N21" s="34">
        <f t="shared" si="8"/>
        <v>1851</v>
      </c>
      <c r="O21" s="33">
        <f t="shared" si="8"/>
        <v>33331</v>
      </c>
      <c r="P21" s="33">
        <f>P18-P19</f>
        <v>4768</v>
      </c>
      <c r="Q21" s="33">
        <f>Q18-Q19</f>
        <v>5911</v>
      </c>
      <c r="R21" s="35"/>
      <c r="S21" s="36"/>
      <c r="T21" s="36"/>
      <c r="U21" s="36"/>
    </row>
    <row r="22" spans="1:21" x14ac:dyDescent="0.15">
      <c r="A22" s="6" t="s">
        <v>14</v>
      </c>
      <c r="B22" s="40">
        <f t="shared" ref="B22:C22" si="9">IFERROR(B21/B23,0)</f>
        <v>6.6080344397209609</v>
      </c>
      <c r="C22" s="39">
        <f t="shared" si="9"/>
        <v>1.3074384848801972</v>
      </c>
      <c r="D22" s="39">
        <f t="shared" ref="D22:H22" si="10">IFERROR(D21/D23,0)</f>
        <v>13.280838774314681</v>
      </c>
      <c r="E22" s="39">
        <f>IFERROR(E21/E23,0)</f>
        <v>8.82451692850168</v>
      </c>
      <c r="F22" s="40">
        <f t="shared" si="10"/>
        <v>3.3099065844662152</v>
      </c>
      <c r="G22" s="39">
        <f t="shared" si="10"/>
        <v>6.296733357537919</v>
      </c>
      <c r="H22" s="39">
        <f t="shared" si="10"/>
        <v>7.4749382348423836</v>
      </c>
      <c r="I22" s="39">
        <f t="shared" ref="I22:L22" si="11">IFERROR(I21/I23,0)</f>
        <v>3.7093302517697664</v>
      </c>
      <c r="J22" s="40">
        <f t="shared" si="11"/>
        <v>2.4934728552872749</v>
      </c>
      <c r="K22" s="39">
        <f t="shared" si="11"/>
        <v>10.556394816886499</v>
      </c>
      <c r="L22" s="39">
        <f t="shared" si="11"/>
        <v>2.5771989834004456</v>
      </c>
      <c r="M22" s="39">
        <f t="shared" ref="M22" si="12">IFERROR(M21/M23,0)</f>
        <v>10.527461968874391</v>
      </c>
      <c r="N22" s="40">
        <f>IFERROR(N21/N23,0)</f>
        <v>5.5214194848220908</v>
      </c>
      <c r="O22" s="39">
        <f>IFERROR(O21/O23,0)</f>
        <v>99.119717229238987</v>
      </c>
      <c r="P22" s="39">
        <f>IFERROR(P21/P23,0)</f>
        <v>14.253335265505259</v>
      </c>
      <c r="Q22" s="39">
        <f>IFERROR(Q21/Q23,0)</f>
        <v>17.821634455411598</v>
      </c>
    </row>
    <row r="23" spans="1:21" s="8" customFormat="1" x14ac:dyDescent="0.15">
      <c r="A23" s="8" t="s">
        <v>15</v>
      </c>
      <c r="B23" s="31">
        <v>321.88088900000002</v>
      </c>
      <c r="C23" s="31">
        <v>323.53338600000001</v>
      </c>
      <c r="D23" s="31">
        <v>322.11820899999998</v>
      </c>
      <c r="E23" s="31">
        <v>323.07717500000001</v>
      </c>
      <c r="F23" s="30">
        <v>322.96983999999998</v>
      </c>
      <c r="G23" s="31">
        <v>326.83613600000001</v>
      </c>
      <c r="H23" s="31">
        <v>326.82544300000001</v>
      </c>
      <c r="I23" s="31">
        <v>327.01321200000001</v>
      </c>
      <c r="J23" s="30">
        <v>328.45755600000001</v>
      </c>
      <c r="K23" s="31">
        <v>330.03691700000002</v>
      </c>
      <c r="L23" s="31">
        <v>330.979488</v>
      </c>
      <c r="M23" s="31">
        <v>332.46379899999999</v>
      </c>
      <c r="N23" s="30">
        <v>335.23987899999997</v>
      </c>
      <c r="O23" s="31">
        <v>336.270128</v>
      </c>
      <c r="P23" s="31">
        <v>334.51819599999999</v>
      </c>
      <c r="Q23" s="31">
        <v>331.67552699999999</v>
      </c>
      <c r="R23" s="30"/>
      <c r="S23" s="31"/>
      <c r="T23" s="31"/>
      <c r="U23" s="31"/>
    </row>
    <row r="24" spans="1:21" x14ac:dyDescent="0.15">
      <c r="B24" s="31"/>
      <c r="C24" s="31"/>
      <c r="D24" s="31"/>
      <c r="E24" s="31"/>
      <c r="F24" s="30"/>
      <c r="G24" s="31"/>
      <c r="H24" s="31"/>
      <c r="I24" s="31"/>
      <c r="J24" s="30"/>
      <c r="K24" s="31"/>
      <c r="L24" s="31"/>
      <c r="M24" s="31"/>
      <c r="Q24" s="31"/>
    </row>
    <row r="25" spans="1:21" x14ac:dyDescent="0.15">
      <c r="A25" s="6" t="s">
        <v>17</v>
      </c>
      <c r="B25" s="45">
        <f>IFERROR(B12/B10,0)</f>
        <v>0.69908420455466402</v>
      </c>
      <c r="C25" s="45">
        <f>IFERROR(C12/C10,0)</f>
        <v>0.71393678160919538</v>
      </c>
      <c r="D25" s="45">
        <f>IFERROR(D12/D10,0)</f>
        <v>0.72031867348921563</v>
      </c>
      <c r="E25" s="45">
        <f>IFERROR(E12/E10,0)</f>
        <v>0.73488449209682771</v>
      </c>
      <c r="F25" s="46">
        <f>IFERROR(F12/F10,0)</f>
        <v>0.72658289321920722</v>
      </c>
      <c r="G25" s="45">
        <f>IFERROR(G12/G10,0)</f>
        <v>0.73968957871396901</v>
      </c>
      <c r="H25" s="45">
        <f>IFERROR(H12/H10,0)</f>
        <v>0.74508889234437359</v>
      </c>
      <c r="I25" s="45">
        <f>IFERROR(I12/I10,0)</f>
        <v>0.7451964374519644</v>
      </c>
      <c r="J25" s="46">
        <f>IFERROR(J12/J10,0)</f>
        <v>0.74104202982761957</v>
      </c>
      <c r="K25" s="45">
        <f>IFERROR(K12/K10,0)</f>
        <v>0.74000180962721684</v>
      </c>
      <c r="L25" s="45">
        <f>IFERROR(L12/L10,0)</f>
        <v>0.74208550217595359</v>
      </c>
      <c r="M25" s="45">
        <f>IFERROR(M12/M10,0)</f>
        <v>0.75603015075376889</v>
      </c>
      <c r="N25" s="46">
        <f>IFERROR(N12/N10,0)</f>
        <v>0.74741278741579797</v>
      </c>
      <c r="O25" s="45">
        <f>IFERROR(O12/O10,0)</f>
        <v>0.72189269344836882</v>
      </c>
      <c r="P25" s="45">
        <f>IFERROR(P12/P10,0)</f>
        <v>0.72152287381025482</v>
      </c>
      <c r="Q25" s="45">
        <f>IFERROR(Q12/Q10,0)</f>
        <v>0.69476340044281959</v>
      </c>
    </row>
    <row r="26" spans="1:21" x14ac:dyDescent="0.15">
      <c r="A26" s="6" t="s">
        <v>18</v>
      </c>
      <c r="B26" s="47">
        <f>IFERROR(B16/B10,0)</f>
        <v>0.12043115325391036</v>
      </c>
      <c r="C26" s="47">
        <f>IFERROR(C16/C10,0)</f>
        <v>0.15775862068965518</v>
      </c>
      <c r="D26" s="47">
        <f>IFERROR(D16/D10,0)</f>
        <v>0.20616620247425352</v>
      </c>
      <c r="E26" s="47">
        <f>IFERROR(E16/E10,0)</f>
        <v>0.15076821045650493</v>
      </c>
      <c r="F26" s="48">
        <f>IFERROR(F16/F10,0)</f>
        <v>0.1481211679718327</v>
      </c>
      <c r="G26" s="47">
        <f>IFERROR(G16/G10,0)</f>
        <v>0.19495565410199556</v>
      </c>
      <c r="H26" s="47">
        <f>IFERROR(H16/H10,0)</f>
        <v>0.18416005805214328</v>
      </c>
      <c r="I26" s="47">
        <f>IFERROR(I16/I10,0)</f>
        <v>0.15086577150865771</v>
      </c>
      <c r="J26" s="48">
        <f>IFERROR(J16/J10,0)</f>
        <v>0.16342242882045321</v>
      </c>
      <c r="K26" s="47">
        <f>IFERROR(K16/K10,0)</f>
        <v>0.13558631921824105</v>
      </c>
      <c r="L26" s="47">
        <f>IFERROR(L16/L10,0)</f>
        <v>7.8803652188753306E-2</v>
      </c>
      <c r="M26" s="47">
        <f>IFERROR(M16/M10,0)</f>
        <v>0.17290021536252692</v>
      </c>
      <c r="N26" s="48">
        <f>IFERROR(N16/N10,0)</f>
        <v>0.11888006623264216</v>
      </c>
      <c r="O26" s="47">
        <f>IFERROR(O16/O10,0)</f>
        <v>0.1465354543003505</v>
      </c>
      <c r="P26" s="47">
        <f>IFERROR(P16/P10,0)</f>
        <v>0.18062634326066931</v>
      </c>
      <c r="Q26" s="47">
        <f>IFERROR(Q16/Q10,0)</f>
        <v>0.19234333968384737</v>
      </c>
    </row>
    <row r="27" spans="1:21" x14ac:dyDescent="0.15">
      <c r="A27" s="6" t="s">
        <v>19</v>
      </c>
      <c r="B27" s="47">
        <f t="shared" ref="B27:Q27" si="13">IFERROR(B19/B18,0)</f>
        <v>0.24117017481270067</v>
      </c>
      <c r="C27" s="47">
        <f t="shared" si="13"/>
        <v>0.44705882352941179</v>
      </c>
      <c r="D27" s="47">
        <f t="shared" si="13"/>
        <v>0.24603454353189991</v>
      </c>
      <c r="E27" s="47">
        <f t="shared" si="13"/>
        <v>0.34519981626090951</v>
      </c>
      <c r="F27" s="48">
        <f t="shared" si="13"/>
        <v>0.40011223344556679</v>
      </c>
      <c r="G27" s="47">
        <f t="shared" si="13"/>
        <v>0.33868894601542415</v>
      </c>
      <c r="H27" s="47">
        <f t="shared" si="13"/>
        <v>0.33722192078133478</v>
      </c>
      <c r="I27" s="47">
        <f t="shared" si="13"/>
        <v>0.51998417095370009</v>
      </c>
      <c r="J27" s="48">
        <f t="shared" si="13"/>
        <v>0.48844472204871953</v>
      </c>
      <c r="K27" s="47">
        <f t="shared" si="13"/>
        <v>0.28268478484661314</v>
      </c>
      <c r="L27" s="47">
        <f t="shared" si="13"/>
        <v>0.50607990735379271</v>
      </c>
      <c r="M27" s="47">
        <f t="shared" si="13"/>
        <v>0.35149156939040205</v>
      </c>
      <c r="N27" s="48">
        <f t="shared" si="13"/>
        <v>0.42975970425138632</v>
      </c>
      <c r="O27" s="47">
        <f t="shared" si="13"/>
        <v>6.347288564203428E-2</v>
      </c>
      <c r="P27" s="47">
        <f t="shared" si="13"/>
        <v>0.33574811925327391</v>
      </c>
      <c r="Q27" s="47">
        <f t="shared" si="13"/>
        <v>0.30047337278106506</v>
      </c>
    </row>
    <row r="28" spans="1:21" x14ac:dyDescent="0.15">
      <c r="B28" s="31"/>
      <c r="C28" s="31"/>
      <c r="D28" s="31"/>
      <c r="E28" s="31"/>
      <c r="F28" s="30"/>
      <c r="G28" s="31"/>
      <c r="H28" s="31"/>
      <c r="I28" s="31"/>
      <c r="J28" s="30"/>
      <c r="K28" s="31"/>
      <c r="L28" s="31"/>
      <c r="M28" s="31"/>
      <c r="Q28" s="31"/>
      <c r="R28" s="58"/>
    </row>
    <row r="29" spans="1:21" s="12" customFormat="1" x14ac:dyDescent="0.15">
      <c r="A29" s="12" t="s">
        <v>16</v>
      </c>
      <c r="B29" s="41"/>
      <c r="C29" s="41"/>
      <c r="D29" s="41"/>
      <c r="E29" s="41"/>
      <c r="F29" s="42">
        <f>IFERROR((F10/B10)-1,0)</f>
        <v>0.33503525407245327</v>
      </c>
      <c r="G29" s="41">
        <f>IFERROR((G10/C10)-1,0)</f>
        <v>0.29597701149425282</v>
      </c>
      <c r="H29" s="41">
        <f>IFERROR((H10/D10)-1,0)</f>
        <v>0.24962756655223783</v>
      </c>
      <c r="I29" s="41">
        <f>IFERROR((I10/E10)-1,0)</f>
        <v>0.22244943075052515</v>
      </c>
      <c r="J29" s="42">
        <f>IFERROR((J10/F10)-1,0)</f>
        <v>0.2536878528501183</v>
      </c>
      <c r="K29" s="41">
        <f>IFERROR((K10/G10)-1,0)</f>
        <v>0.22527716186252777</v>
      </c>
      <c r="L29" s="41">
        <f>IFERROR((L10/H10)-1,0)</f>
        <v>0.2148447623490386</v>
      </c>
      <c r="M29" s="41">
        <f>IFERROR((M10/I10)-1,0)</f>
        <v>0.25955061259550605</v>
      </c>
      <c r="N29" s="42">
        <f>IFERROR((N10/J10)-1,0)</f>
        <v>0.28670346697656401</v>
      </c>
      <c r="O29" s="41">
        <f>IFERROR((O10/K10)-1,0)</f>
        <v>0.34238146941729997</v>
      </c>
      <c r="P29" s="41">
        <f>IFERROR((P10/L10)-1,0)</f>
        <v>0.38962368802798863</v>
      </c>
      <c r="Q29" s="41">
        <f>IFERROR((Q10/M10)-1,0)</f>
        <v>0.39418521177315147</v>
      </c>
      <c r="R29" s="67"/>
      <c r="S29" s="36"/>
      <c r="T29" s="36"/>
      <c r="U29" s="36"/>
    </row>
    <row r="30" spans="1:21" s="12" customFormat="1" x14ac:dyDescent="0.15">
      <c r="A30" s="6" t="s">
        <v>56</v>
      </c>
      <c r="B30" s="43"/>
      <c r="C30" s="43"/>
      <c r="D30" s="43"/>
      <c r="E30" s="43"/>
      <c r="F30" s="44">
        <f>F13/B13-1</f>
        <v>0.15835076187630714</v>
      </c>
      <c r="G30" s="43">
        <f>G13/C13-1</f>
        <v>0.14969696969696966</v>
      </c>
      <c r="H30" s="43">
        <f>H13/D13-1</f>
        <v>0.21780303030303028</v>
      </c>
      <c r="I30" s="43">
        <f>I13/E13-1</f>
        <v>0.19328896283971164</v>
      </c>
      <c r="J30" s="44">
        <f>J13/F13-1</f>
        <v>0.16533402115037399</v>
      </c>
      <c r="K30" s="43">
        <f>K13/G13-1</f>
        <v>0.17896678966789659</v>
      </c>
      <c r="L30" s="43">
        <f>L13/H13-1</f>
        <v>0.18429237947122856</v>
      </c>
      <c r="M30" s="43">
        <f>M13/I13-1</f>
        <v>0.2086916105042993</v>
      </c>
      <c r="N30" s="44">
        <f>N13/J13-1</f>
        <v>0.28441788401947754</v>
      </c>
      <c r="O30" s="43">
        <f>O13/K13-1</f>
        <v>0.20053655264922865</v>
      </c>
      <c r="P30" s="43">
        <f>P13/L13-1</f>
        <v>0.21295688334427654</v>
      </c>
      <c r="Q30" s="43">
        <f>Q13/M13-1</f>
        <v>0.12555277831186307</v>
      </c>
      <c r="R30" s="35"/>
      <c r="S30" s="36"/>
      <c r="T30" s="36"/>
      <c r="U30" s="36"/>
    </row>
    <row r="31" spans="1:21" s="12" customFormat="1" x14ac:dyDescent="0.15">
      <c r="A31" s="6" t="s">
        <v>108</v>
      </c>
      <c r="B31" s="43"/>
      <c r="C31" s="43"/>
      <c r="D31" s="43"/>
      <c r="E31" s="43"/>
      <c r="F31" s="44">
        <f>F14/B14-1</f>
        <v>0.4901133667281834</v>
      </c>
      <c r="G31" s="43">
        <f>G14/C14-1</f>
        <v>0.35817199459702831</v>
      </c>
      <c r="H31" s="43">
        <f>H14/D14-1</f>
        <v>0.45995807127882604</v>
      </c>
      <c r="I31" s="43">
        <f>I14/E14-1</f>
        <v>0.26999856383742649</v>
      </c>
      <c r="J31" s="44">
        <f>J14/F14-1</f>
        <v>0.3112172682236376</v>
      </c>
      <c r="K31" s="43">
        <f>K14/G14-1</f>
        <v>0.47306481021050883</v>
      </c>
      <c r="L31" s="43">
        <f>L14/H14-1</f>
        <v>0.57624928202182657</v>
      </c>
      <c r="M31" s="43">
        <f>M14/I14-1</f>
        <v>0.2490105167929435</v>
      </c>
      <c r="N31" s="44">
        <f>N14/J14-1</f>
        <v>0.47065173390905413</v>
      </c>
      <c r="O31" s="43">
        <f>O14/K14-1</f>
        <v>0.31675481039720932</v>
      </c>
      <c r="P31" s="43">
        <f>P14/L14-1</f>
        <v>0.1000273298715495</v>
      </c>
      <c r="Q31" s="43">
        <f>Q14/M14-1</f>
        <v>0.23684925305568139</v>
      </c>
      <c r="R31" s="35"/>
      <c r="S31" s="36"/>
      <c r="T31" s="36"/>
      <c r="U31" s="36"/>
    </row>
    <row r="33" spans="1:21" s="12" customFormat="1" x14ac:dyDescent="0.15">
      <c r="A33" s="12" t="s">
        <v>31</v>
      </c>
      <c r="B33" s="31"/>
      <c r="C33" s="31"/>
      <c r="D33" s="31"/>
      <c r="E33" s="31"/>
      <c r="F33" s="30"/>
      <c r="G33" s="31"/>
      <c r="H33" s="31"/>
      <c r="I33" s="49"/>
      <c r="J33" s="30"/>
      <c r="K33" s="31"/>
      <c r="L33" s="31"/>
      <c r="M33" s="33">
        <f t="shared" ref="L33:P33" si="14">M34-M35</f>
        <v>54874</v>
      </c>
      <c r="N33" s="34">
        <f t="shared" si="14"/>
        <v>83852</v>
      </c>
      <c r="O33" s="33">
        <f t="shared" si="14"/>
        <v>114113</v>
      </c>
      <c r="P33" s="33">
        <f t="shared" si="14"/>
        <v>109471</v>
      </c>
      <c r="Q33" s="33">
        <f t="shared" ref="Q33" si="15">Q34-Q35</f>
        <v>105282</v>
      </c>
      <c r="R33" s="35"/>
      <c r="S33" s="36"/>
      <c r="T33" s="36"/>
      <c r="U33" s="36"/>
    </row>
    <row r="34" spans="1:21" x14ac:dyDescent="0.15">
      <c r="A34" s="6" t="s">
        <v>32</v>
      </c>
      <c r="B34" s="31"/>
      <c r="C34" s="31"/>
      <c r="D34" s="31"/>
      <c r="E34" s="31"/>
      <c r="F34" s="30"/>
      <c r="G34" s="31"/>
      <c r="H34" s="31"/>
      <c r="I34" s="31"/>
      <c r="J34" s="30"/>
      <c r="K34" s="31"/>
      <c r="L34" s="31"/>
      <c r="M34" s="31">
        <f>42662+23040+5005+2001</f>
        <v>72708</v>
      </c>
      <c r="N34" s="30">
        <f>46443+44667+4077+6568</f>
        <v>101755</v>
      </c>
      <c r="O34" s="31">
        <f>35930+60121+998+36873</f>
        <v>133922</v>
      </c>
      <c r="P34" s="31">
        <f>49388+44077+36910</f>
        <v>130375</v>
      </c>
      <c r="Q34" s="31">
        <f>68798+36484</f>
        <v>105282</v>
      </c>
    </row>
    <row r="35" spans="1:21" x14ac:dyDescent="0.15">
      <c r="A35" s="6" t="s">
        <v>33</v>
      </c>
      <c r="B35" s="31"/>
      <c r="C35" s="31"/>
      <c r="D35" s="31"/>
      <c r="E35" s="31"/>
      <c r="F35" s="30"/>
      <c r="G35" s="31"/>
      <c r="H35" s="31"/>
      <c r="I35" s="31"/>
      <c r="J35" s="30"/>
      <c r="K35" s="31"/>
      <c r="L35" s="31"/>
      <c r="M35" s="31">
        <v>17834</v>
      </c>
      <c r="N35" s="30">
        <v>17903</v>
      </c>
      <c r="O35" s="31">
        <v>19809</v>
      </c>
      <c r="P35" s="31">
        <v>20904</v>
      </c>
      <c r="Q35" s="31">
        <v>0</v>
      </c>
    </row>
    <row r="37" spans="1:21" x14ac:dyDescent="0.15">
      <c r="A37" s="26" t="s">
        <v>70</v>
      </c>
      <c r="B37" s="31"/>
      <c r="C37" s="31"/>
      <c r="D37" s="31"/>
      <c r="E37" s="49"/>
      <c r="F37" s="30"/>
      <c r="G37" s="31"/>
      <c r="H37" s="31"/>
      <c r="I37" s="49"/>
      <c r="J37" s="30"/>
      <c r="K37" s="31"/>
      <c r="L37" s="31"/>
      <c r="M37" s="49">
        <f>9328+5023</f>
        <v>14351</v>
      </c>
      <c r="N37" s="30">
        <f>12184+51471</f>
        <v>63655</v>
      </c>
      <c r="O37" s="31">
        <f>11974+51639</f>
        <v>63613</v>
      </c>
      <c r="P37" s="31">
        <f>11191+52667</f>
        <v>63858</v>
      </c>
      <c r="Q37" s="31">
        <f>11545+54070</f>
        <v>65615</v>
      </c>
    </row>
    <row r="38" spans="1:21" x14ac:dyDescent="0.15">
      <c r="A38" s="26" t="s">
        <v>71</v>
      </c>
      <c r="B38" s="31"/>
      <c r="C38" s="31"/>
      <c r="D38" s="31"/>
      <c r="E38" s="49"/>
      <c r="F38" s="30"/>
      <c r="G38" s="31"/>
      <c r="H38" s="31"/>
      <c r="I38" s="49"/>
      <c r="J38" s="30"/>
      <c r="K38" s="31"/>
      <c r="L38" s="31"/>
      <c r="M38" s="49">
        <v>130544</v>
      </c>
      <c r="N38" s="30">
        <v>212905</v>
      </c>
      <c r="O38" s="31">
        <v>250012</v>
      </c>
      <c r="P38" s="31">
        <v>252789</v>
      </c>
      <c r="Q38" s="31">
        <v>243106</v>
      </c>
    </row>
    <row r="39" spans="1:21" x14ac:dyDescent="0.15">
      <c r="A39" s="26" t="s">
        <v>72</v>
      </c>
      <c r="B39" s="31"/>
      <c r="C39" s="31"/>
      <c r="D39" s="31"/>
      <c r="E39" s="49"/>
      <c r="F39" s="30"/>
      <c r="G39" s="31"/>
      <c r="H39" s="31"/>
      <c r="I39" s="49"/>
      <c r="J39" s="30"/>
      <c r="K39" s="31"/>
      <c r="L39" s="31"/>
      <c r="M39" s="49">
        <f>37897+9821</f>
        <v>47718</v>
      </c>
      <c r="N39" s="30">
        <f>42580+6014</f>
        <v>48594</v>
      </c>
      <c r="O39" s="31">
        <f>41898+6639</f>
        <v>48537</v>
      </c>
      <c r="P39" s="31">
        <f>45570+7332</f>
        <v>52902</v>
      </c>
      <c r="Q39" s="31">
        <f>25878+12780</f>
        <v>38658</v>
      </c>
    </row>
    <row r="40" spans="1:21" x14ac:dyDescent="0.15">
      <c r="E40" s="50"/>
      <c r="I40" s="50"/>
      <c r="M40" s="50"/>
    </row>
    <row r="41" spans="1:21" x14ac:dyDescent="0.15">
      <c r="A41" s="26" t="s">
        <v>73</v>
      </c>
      <c r="E41" s="50"/>
      <c r="F41" s="30"/>
      <c r="G41" s="31"/>
      <c r="H41" s="31"/>
      <c r="I41" s="49"/>
      <c r="J41" s="30"/>
      <c r="K41" s="31"/>
      <c r="L41" s="31"/>
      <c r="M41" s="37">
        <f t="shared" ref="F41:O41" si="16">M38-M34-M37</f>
        <v>43485</v>
      </c>
      <c r="N41" s="38">
        <f t="shared" si="16"/>
        <v>47495</v>
      </c>
      <c r="O41" s="37">
        <f t="shared" si="16"/>
        <v>52477</v>
      </c>
      <c r="P41" s="37">
        <f>P38-P34-P37</f>
        <v>58556</v>
      </c>
      <c r="Q41" s="37">
        <f>Q38-Q34-Q37</f>
        <v>72209</v>
      </c>
    </row>
    <row r="42" spans="1:21" x14ac:dyDescent="0.15">
      <c r="A42" s="26" t="s">
        <v>74</v>
      </c>
      <c r="E42" s="50"/>
      <c r="F42" s="30"/>
      <c r="G42" s="31"/>
      <c r="H42" s="31"/>
      <c r="I42" s="49"/>
      <c r="M42" s="37">
        <f t="shared" ref="F42:P42" si="17">M38-M39</f>
        <v>82826</v>
      </c>
      <c r="N42" s="38">
        <f t="shared" si="17"/>
        <v>164311</v>
      </c>
      <c r="O42" s="37">
        <f t="shared" si="17"/>
        <v>201475</v>
      </c>
      <c r="P42" s="37">
        <f t="shared" si="17"/>
        <v>199887</v>
      </c>
      <c r="Q42" s="37">
        <f t="shared" ref="Q42" si="18">Q38-Q39</f>
        <v>204448</v>
      </c>
    </row>
    <row r="43" spans="1:21" x14ac:dyDescent="0.15">
      <c r="E43" s="50"/>
      <c r="I43" s="50"/>
      <c r="M43" s="50"/>
    </row>
    <row r="44" spans="1:21" s="12" customFormat="1" x14ac:dyDescent="0.15">
      <c r="A44" s="32" t="s">
        <v>75</v>
      </c>
      <c r="B44" s="36"/>
      <c r="C44" s="36"/>
      <c r="D44" s="36"/>
      <c r="E44" s="50"/>
      <c r="F44" s="29"/>
      <c r="G44" s="28"/>
      <c r="H44" s="28"/>
      <c r="I44" s="50"/>
      <c r="J44" s="29"/>
      <c r="K44" s="28"/>
      <c r="L44" s="28"/>
      <c r="M44" s="33">
        <f>SUM(J21:M21)</f>
        <v>8656</v>
      </c>
      <c r="N44" s="34">
        <f>SUM(K21:N21)</f>
        <v>9688</v>
      </c>
      <c r="O44" s="33">
        <f>SUM(L21:O21)</f>
        <v>39535</v>
      </c>
      <c r="P44" s="33">
        <f>SUM(M21:P21)</f>
        <v>43450</v>
      </c>
      <c r="Q44" s="33">
        <f>SUM(N21:Q21)</f>
        <v>45861</v>
      </c>
      <c r="R44" s="35"/>
      <c r="S44" s="36"/>
      <c r="T44" s="36"/>
      <c r="U44" s="36"/>
    </row>
    <row r="45" spans="1:21" x14ac:dyDescent="0.15">
      <c r="A45" s="26" t="s">
        <v>76</v>
      </c>
      <c r="E45" s="50"/>
      <c r="I45" s="50"/>
      <c r="M45" s="45">
        <f t="shared" ref="F45:O45" si="19">M44/M42</f>
        <v>0.10450824620288315</v>
      </c>
      <c r="N45" s="46">
        <f t="shared" si="19"/>
        <v>5.8961359860264982E-2</v>
      </c>
      <c r="O45" s="45">
        <f t="shared" si="19"/>
        <v>0.19622781982876286</v>
      </c>
      <c r="P45" s="45">
        <f>P44/P42</f>
        <v>0.21737281564083707</v>
      </c>
      <c r="Q45" s="45">
        <f>Q44/Q42</f>
        <v>0.22431620754421663</v>
      </c>
    </row>
    <row r="46" spans="1:21" x14ac:dyDescent="0.15">
      <c r="A46" s="26" t="s">
        <v>77</v>
      </c>
      <c r="E46" s="50"/>
      <c r="I46" s="50"/>
      <c r="M46" s="45">
        <f t="shared" ref="F46:O46" si="20">M44/M38</f>
        <v>6.6307145483515142E-2</v>
      </c>
      <c r="N46" s="46">
        <f t="shared" si="20"/>
        <v>4.5503863225382211E-2</v>
      </c>
      <c r="O46" s="45">
        <f t="shared" si="20"/>
        <v>0.15813240964433709</v>
      </c>
      <c r="P46" s="45">
        <f>P44/P38</f>
        <v>0.17188247906356685</v>
      </c>
      <c r="Q46" s="45">
        <f>Q44/Q38</f>
        <v>0.18864610499123838</v>
      </c>
    </row>
    <row r="47" spans="1:21" x14ac:dyDescent="0.15">
      <c r="A47" s="26" t="s">
        <v>78</v>
      </c>
      <c r="E47" s="50"/>
      <c r="I47" s="50"/>
      <c r="M47" s="45">
        <f t="shared" ref="F47:O47" si="21">M44/(M42-M37)</f>
        <v>0.12641109894121944</v>
      </c>
      <c r="N47" s="46">
        <f t="shared" si="21"/>
        <v>9.6248609124145609E-2</v>
      </c>
      <c r="O47" s="45">
        <f t="shared" si="21"/>
        <v>0.28677227952590273</v>
      </c>
      <c r="P47" s="45">
        <f>P44/(P42-P37)</f>
        <v>0.31941718310066236</v>
      </c>
      <c r="Q47" s="45">
        <f>Q44/(Q42-Q37)</f>
        <v>0.33033212564736048</v>
      </c>
    </row>
    <row r="48" spans="1:21" x14ac:dyDescent="0.15">
      <c r="A48" s="26" t="s">
        <v>79</v>
      </c>
      <c r="E48" s="50"/>
      <c r="I48" s="50"/>
      <c r="M48" s="45">
        <f t="shared" ref="F48:O48" si="22">M44/M41</f>
        <v>0.19905714614234793</v>
      </c>
      <c r="N48" s="46">
        <f t="shared" si="22"/>
        <v>0.20397936624907886</v>
      </c>
      <c r="O48" s="45">
        <f t="shared" si="22"/>
        <v>0.75337767021742863</v>
      </c>
      <c r="P48" s="45">
        <f>P44/P41</f>
        <v>0.74202472846505907</v>
      </c>
      <c r="Q48" s="45">
        <f>Q44/Q41</f>
        <v>0.63511473639020066</v>
      </c>
    </row>
    <row r="50" spans="1:21" x14ac:dyDescent="0.15">
      <c r="A50" s="6" t="s">
        <v>97</v>
      </c>
      <c r="F50" s="46">
        <f t="shared" ref="F50:Q51" si="23">F3/B3-1</f>
        <v>0.27149069015497829</v>
      </c>
      <c r="G50" s="45">
        <f t="shared" si="23"/>
        <v>0.24253214638971321</v>
      </c>
      <c r="H50" s="45">
        <f t="shared" si="23"/>
        <v>0.20633922959504347</v>
      </c>
      <c r="I50" s="45">
        <f t="shared" si="23"/>
        <v>0.20212683381200036</v>
      </c>
      <c r="J50" s="46">
        <f t="shared" si="23"/>
        <v>0.25885654156436333</v>
      </c>
      <c r="K50" s="45">
        <f t="shared" si="23"/>
        <v>0.23634771533195353</v>
      </c>
      <c r="L50" s="45">
        <f t="shared" si="23"/>
        <v>0.21548195013025673</v>
      </c>
      <c r="M50" s="45">
        <f t="shared" si="23"/>
        <v>0.22244463098082257</v>
      </c>
      <c r="N50" s="46">
        <f t="shared" si="23"/>
        <v>0.21726107550849827</v>
      </c>
      <c r="O50" s="45">
        <f t="shared" si="23"/>
        <v>0.21453866460627125</v>
      </c>
      <c r="P50" s="45">
        <f t="shared" si="23"/>
        <v>0.22259644825474578</v>
      </c>
      <c r="Q50" s="45">
        <f t="shared" si="23"/>
        <v>0.18281216987111759</v>
      </c>
      <c r="R50" s="62"/>
      <c r="S50" s="6"/>
      <c r="T50" s="6"/>
      <c r="U50" s="6"/>
    </row>
    <row r="51" spans="1:21" x14ac:dyDescent="0.15">
      <c r="A51" s="6" t="s">
        <v>98</v>
      </c>
      <c r="F51" s="46">
        <f t="shared" si="23"/>
        <v>0.43115707821590177</v>
      </c>
      <c r="G51" s="45">
        <f t="shared" si="23"/>
        <v>0.3735149232106636</v>
      </c>
      <c r="H51" s="45">
        <f t="shared" si="23"/>
        <v>0.27321292292037658</v>
      </c>
      <c r="I51" s="45">
        <f t="shared" si="23"/>
        <v>0.19050701186623509</v>
      </c>
      <c r="J51" s="46">
        <f t="shared" si="23"/>
        <v>0.16508581752484197</v>
      </c>
      <c r="K51" s="45">
        <f t="shared" si="23"/>
        <v>0.13987341772151907</v>
      </c>
      <c r="L51" s="45">
        <f t="shared" si="23"/>
        <v>0.10909090909090913</v>
      </c>
      <c r="M51" s="45">
        <f t="shared" si="23"/>
        <v>0.11235955056179781</v>
      </c>
      <c r="N51" s="46">
        <f t="shared" si="23"/>
        <v>3.9930219034696623E-2</v>
      </c>
      <c r="O51" s="45">
        <f t="shared" si="23"/>
        <v>3.9977790116601852E-2</v>
      </c>
      <c r="P51" s="45">
        <f t="shared" si="23"/>
        <v>7.2239236173662347E-2</v>
      </c>
      <c r="Q51" s="45">
        <f t="shared" si="23"/>
        <v>0.15754317367220594</v>
      </c>
      <c r="R51" s="62"/>
      <c r="S51" s="6"/>
      <c r="T51" s="6"/>
      <c r="U51" s="6"/>
    </row>
    <row r="52" spans="1:21" x14ac:dyDescent="0.15">
      <c r="A52" s="6" t="s">
        <v>109</v>
      </c>
      <c r="F52" s="46">
        <f t="shared" ref="F52" si="24">F5/B5-1</f>
        <v>1.3224637681159419</v>
      </c>
      <c r="G52" s="45">
        <f t="shared" ref="G52" si="25">G5/C5-1</f>
        <v>1.0557103064066853</v>
      </c>
      <c r="H52" s="45">
        <f t="shared" ref="H52" si="26">H5/D5-1</f>
        <v>1.299191374663073</v>
      </c>
      <c r="I52" s="45">
        <f t="shared" ref="I52" si="27">I5/E5-1</f>
        <v>0.93402777777777768</v>
      </c>
      <c r="J52" s="46">
        <f t="shared" ref="J52" si="28">J5/F5-1</f>
        <v>0.77379095163806544</v>
      </c>
      <c r="K52" s="45">
        <f t="shared" ref="K52" si="29">K5/G5-1</f>
        <v>0.58536585365853666</v>
      </c>
      <c r="L52" s="45">
        <f t="shared" ref="L52" si="30">L5/H5-1</f>
        <v>0.82532239155920273</v>
      </c>
      <c r="M52" s="45">
        <f t="shared" ref="M52" si="31">M5/I5-1</f>
        <v>1.504488330341113</v>
      </c>
      <c r="N52" s="46">
        <f t="shared" ref="N52" si="32">N5/J5-1</f>
        <v>2.2832014072119615</v>
      </c>
      <c r="O52" s="45">
        <f t="shared" ref="O52" si="33">O5/K5-1</f>
        <v>3.4358974358974361</v>
      </c>
      <c r="P52" s="45">
        <f t="shared" ref="P52" si="34">P5/L5-1</f>
        <v>3.2729608220937703</v>
      </c>
      <c r="Q52" s="45">
        <f t="shared" ref="Q52" si="35">Q5/M5-1</f>
        <v>2.3491039426523299</v>
      </c>
      <c r="R52" s="62"/>
      <c r="S52" s="6"/>
      <c r="T52" s="6"/>
      <c r="U52" s="6"/>
    </row>
    <row r="54" spans="1:21" s="23" customFormat="1" x14ac:dyDescent="0.15">
      <c r="A54" s="23" t="s">
        <v>85</v>
      </c>
      <c r="B54" s="45"/>
      <c r="C54" s="45"/>
      <c r="D54" s="45"/>
      <c r="E54" s="45"/>
      <c r="F54" s="46"/>
      <c r="G54" s="45"/>
      <c r="H54" s="45"/>
      <c r="I54" s="45"/>
      <c r="J54" s="46"/>
      <c r="K54" s="45"/>
      <c r="L54" s="45"/>
      <c r="M54" s="45"/>
      <c r="N54" s="46"/>
      <c r="O54" s="45"/>
      <c r="P54" s="45"/>
      <c r="Q54" s="45"/>
      <c r="R54" s="46"/>
      <c r="S54" s="45"/>
      <c r="T54" s="45"/>
      <c r="U54" s="45"/>
    </row>
    <row r="55" spans="1:21" s="23" customFormat="1" x14ac:dyDescent="0.15">
      <c r="A55" s="23" t="s">
        <v>86</v>
      </c>
      <c r="B55" s="45"/>
      <c r="C55" s="45"/>
      <c r="D55" s="45"/>
      <c r="E55" s="45"/>
      <c r="F55" s="46"/>
      <c r="G55" s="45"/>
      <c r="H55" s="45"/>
      <c r="I55" s="45"/>
      <c r="J55" s="46"/>
      <c r="K55" s="45"/>
      <c r="L55" s="45"/>
      <c r="M55" s="45"/>
      <c r="N55" s="46"/>
      <c r="O55" s="45"/>
      <c r="P55" s="45"/>
      <c r="Q55" s="45"/>
      <c r="R55" s="46"/>
      <c r="S55" s="45"/>
      <c r="T55" s="45"/>
      <c r="U55" s="45"/>
    </row>
    <row r="57" spans="1:21" s="8" customFormat="1" x14ac:dyDescent="0.15">
      <c r="A57" s="8" t="s">
        <v>99</v>
      </c>
      <c r="B57" s="31">
        <v>11620</v>
      </c>
      <c r="C57" s="31">
        <v>13107</v>
      </c>
      <c r="D57" s="31">
        <v>14505</v>
      </c>
      <c r="E57" s="31">
        <v>16673</v>
      </c>
      <c r="F57" s="30">
        <v>15147</v>
      </c>
      <c r="G57" s="31">
        <v>16532</v>
      </c>
      <c r="H57" s="31">
        <v>17482</v>
      </c>
      <c r="I57" s="31">
        <v>20095</v>
      </c>
      <c r="J57" s="30">
        <v>18671</v>
      </c>
      <c r="K57" s="31">
        <v>20166</v>
      </c>
      <c r="L57" s="31">
        <v>21159</v>
      </c>
      <c r="M57" s="31">
        <v>24172</v>
      </c>
      <c r="N57" s="30">
        <v>22285</v>
      </c>
      <c r="O57" s="31">
        <v>24682</v>
      </c>
      <c r="P57" s="31">
        <v>26675</v>
      </c>
      <c r="Q57" s="31">
        <v>30722</v>
      </c>
      <c r="R57" s="30"/>
      <c r="S57" s="31"/>
      <c r="T57" s="31"/>
      <c r="U57" s="31"/>
    </row>
    <row r="58" spans="1:21" s="8" customFormat="1" x14ac:dyDescent="0.15">
      <c r="A58" s="8" t="s">
        <v>100</v>
      </c>
      <c r="B58" s="31">
        <v>671</v>
      </c>
      <c r="C58" s="31">
        <v>730</v>
      </c>
      <c r="D58" s="31">
        <v>827</v>
      </c>
      <c r="E58" s="31">
        <v>1172</v>
      </c>
      <c r="F58" s="30">
        <v>1043</v>
      </c>
      <c r="G58" s="31">
        <v>1069</v>
      </c>
      <c r="H58" s="31">
        <v>1200</v>
      </c>
      <c r="I58" s="31">
        <v>1406</v>
      </c>
      <c r="J58" s="30">
        <v>1295</v>
      </c>
      <c r="K58" s="31">
        <v>1168</v>
      </c>
      <c r="L58" s="31">
        <v>1060</v>
      </c>
      <c r="M58" s="31">
        <v>1445</v>
      </c>
      <c r="N58" s="30">
        <v>1255</v>
      </c>
      <c r="O58" s="31">
        <v>442</v>
      </c>
      <c r="P58" s="31"/>
      <c r="Q58" s="31"/>
      <c r="R58" s="30"/>
      <c r="S58" s="31"/>
      <c r="T58" s="31"/>
      <c r="U58" s="31"/>
    </row>
    <row r="59" spans="1:21" s="8" customFormat="1" x14ac:dyDescent="0.15">
      <c r="A59" s="8" t="s">
        <v>101</v>
      </c>
      <c r="B59" s="31">
        <v>161</v>
      </c>
      <c r="C59" s="31">
        <v>194</v>
      </c>
      <c r="D59" s="31">
        <v>234</v>
      </c>
      <c r="E59" s="31">
        <v>395</v>
      </c>
      <c r="F59" s="30">
        <v>445</v>
      </c>
      <c r="G59" s="31">
        <v>528</v>
      </c>
      <c r="H59" s="31">
        <v>587</v>
      </c>
      <c r="I59" s="31">
        <v>753</v>
      </c>
      <c r="J59" s="30">
        <v>778</v>
      </c>
      <c r="K59" s="31">
        <v>772</v>
      </c>
      <c r="L59" s="31">
        <v>1150</v>
      </c>
      <c r="M59" s="31">
        <v>2191</v>
      </c>
      <c r="N59" s="30">
        <v>3116</v>
      </c>
      <c r="O59" s="31">
        <v>4064</v>
      </c>
      <c r="P59" s="31">
        <v>5109</v>
      </c>
      <c r="Q59" s="31">
        <v>6924</v>
      </c>
      <c r="R59" s="30"/>
      <c r="S59" s="31"/>
      <c r="T59" s="31"/>
      <c r="U59" s="31"/>
    </row>
    <row r="60" spans="1:21" s="8" customFormat="1" x14ac:dyDescent="0.15">
      <c r="A60" s="8" t="s">
        <v>102</v>
      </c>
      <c r="B60" s="31">
        <v>179</v>
      </c>
      <c r="C60" s="31">
        <v>211</v>
      </c>
      <c r="D60" s="31">
        <v>243</v>
      </c>
      <c r="E60" s="31">
        <v>261</v>
      </c>
      <c r="F60" s="30">
        <v>241</v>
      </c>
      <c r="G60" s="31">
        <v>313</v>
      </c>
      <c r="H60" s="31">
        <v>352</v>
      </c>
      <c r="I60" s="31">
        <v>398</v>
      </c>
      <c r="J60" s="30">
        <v>367</v>
      </c>
      <c r="K60" s="31">
        <v>456</v>
      </c>
      <c r="L60" s="31">
        <v>548</v>
      </c>
      <c r="M60" s="31">
        <v>688</v>
      </c>
      <c r="N60" s="30">
        <v>706</v>
      </c>
      <c r="O60" s="31">
        <v>915</v>
      </c>
      <c r="P60" s="31">
        <v>988</v>
      </c>
      <c r="Q60" s="31">
        <v>1108</v>
      </c>
      <c r="R60" s="30"/>
      <c r="S60" s="31"/>
      <c r="T60" s="31"/>
      <c r="U60" s="31"/>
    </row>
    <row r="61" spans="1:21" s="8" customFormat="1" x14ac:dyDescent="0.15">
      <c r="A61" s="8" t="s">
        <v>103</v>
      </c>
      <c r="B61" s="31"/>
      <c r="C61" s="31"/>
      <c r="D61" s="31"/>
      <c r="E61" s="31"/>
      <c r="F61" s="30"/>
      <c r="G61" s="31"/>
      <c r="H61" s="31"/>
      <c r="I61" s="31"/>
      <c r="J61" s="30">
        <v>244</v>
      </c>
      <c r="K61" s="31">
        <v>251</v>
      </c>
      <c r="L61" s="31">
        <v>290</v>
      </c>
      <c r="M61" s="31">
        <v>402</v>
      </c>
      <c r="N61" s="30">
        <v>421</v>
      </c>
      <c r="O61" s="31">
        <v>395</v>
      </c>
      <c r="P61" s="31">
        <v>414</v>
      </c>
      <c r="Q61" s="31">
        <v>679</v>
      </c>
      <c r="R61" s="30"/>
      <c r="S61" s="31"/>
      <c r="T61" s="31"/>
      <c r="U61" s="31"/>
    </row>
    <row r="62" spans="1:21" s="8" customFormat="1" x14ac:dyDescent="0.15">
      <c r="A62" s="8" t="s">
        <v>104</v>
      </c>
      <c r="B62" s="31">
        <v>99</v>
      </c>
      <c r="C62" s="31">
        <v>94</v>
      </c>
      <c r="D62" s="31">
        <v>106</v>
      </c>
      <c r="E62" s="31">
        <v>142</v>
      </c>
      <c r="F62" s="30">
        <v>185</v>
      </c>
      <c r="G62" s="31">
        <v>153</v>
      </c>
      <c r="H62" s="31">
        <v>210</v>
      </c>
      <c r="I62" s="31">
        <v>282</v>
      </c>
      <c r="J62" s="30">
        <v>66</v>
      </c>
      <c r="K62" s="31">
        <v>65</v>
      </c>
      <c r="L62" s="31">
        <v>92</v>
      </c>
      <c r="M62" s="31">
        <v>146</v>
      </c>
      <c r="N62" s="30">
        <v>182</v>
      </c>
      <c r="O62" s="31">
        <v>414</v>
      </c>
      <c r="P62" s="31">
        <v>706</v>
      </c>
      <c r="Q62" s="31">
        <v>1214</v>
      </c>
      <c r="R62" s="30"/>
      <c r="S62" s="31"/>
      <c r="T62" s="31"/>
      <c r="U62" s="31"/>
    </row>
    <row r="63" spans="1:21" s="8" customFormat="1" x14ac:dyDescent="0.15">
      <c r="A63" s="8" t="s">
        <v>105</v>
      </c>
      <c r="B63" s="31">
        <v>-391</v>
      </c>
      <c r="C63" s="31">
        <v>-416</v>
      </c>
      <c r="D63" s="31">
        <v>-476</v>
      </c>
      <c r="E63" s="31">
        <v>-549</v>
      </c>
      <c r="F63" s="30">
        <v>-588</v>
      </c>
      <c r="G63" s="31">
        <v>-555</v>
      </c>
      <c r="H63" s="31">
        <v>-538</v>
      </c>
      <c r="I63" s="31">
        <v>-815</v>
      </c>
      <c r="J63" s="30">
        <v>-769</v>
      </c>
      <c r="K63" s="31">
        <v>-774</v>
      </c>
      <c r="L63" s="31">
        <v>-861</v>
      </c>
      <c r="M63" s="31">
        <v>-1184</v>
      </c>
      <c r="N63" s="30">
        <v>-1392</v>
      </c>
      <c r="O63" s="31">
        <v>-1240</v>
      </c>
      <c r="P63" s="31">
        <v>-1332</v>
      </c>
      <c r="Q63" s="31">
        <v>-1805</v>
      </c>
      <c r="R63" s="30"/>
      <c r="S63" s="31"/>
      <c r="T63" s="31"/>
      <c r="U63" s="31"/>
    </row>
    <row r="64" spans="1:21" s="18" customFormat="1" x14ac:dyDescent="0.15">
      <c r="A64" s="18" t="s">
        <v>106</v>
      </c>
      <c r="B64" s="34">
        <f>SUM(B57:B63)</f>
        <v>12339</v>
      </c>
      <c r="C64" s="33">
        <f>SUM(C57:C63)</f>
        <v>13920</v>
      </c>
      <c r="D64" s="33">
        <f>SUM(D57:D63)</f>
        <v>15439</v>
      </c>
      <c r="E64" s="33">
        <f>SUM(E57:E63)</f>
        <v>18094</v>
      </c>
      <c r="F64" s="34">
        <f>SUM(F57:F63)</f>
        <v>16473</v>
      </c>
      <c r="G64" s="33">
        <f>SUM(G57:G63)</f>
        <v>18040</v>
      </c>
      <c r="H64" s="33">
        <f>SUM(H57:H63)</f>
        <v>19293</v>
      </c>
      <c r="I64" s="33">
        <f>SUM(I57:I63)</f>
        <v>22119</v>
      </c>
      <c r="J64" s="34">
        <f>SUM(J57:J63)</f>
        <v>20652</v>
      </c>
      <c r="K64" s="33">
        <f>SUM(K57:K63)</f>
        <v>22104</v>
      </c>
      <c r="L64" s="33">
        <f>SUM(L57:L63)</f>
        <v>23438</v>
      </c>
      <c r="M64" s="33">
        <f>SUM(M57:M63)</f>
        <v>27860</v>
      </c>
      <c r="N64" s="34">
        <f>SUM(N57:N63)</f>
        <v>26573</v>
      </c>
      <c r="O64" s="33">
        <f>SUM(O57:O63)</f>
        <v>29672</v>
      </c>
      <c r="P64" s="33">
        <f>SUM(P57:P63)</f>
        <v>32560</v>
      </c>
      <c r="Q64" s="33">
        <f>SUM(Q57:Q63)</f>
        <v>38842</v>
      </c>
      <c r="R64" s="55"/>
      <c r="S64" s="66"/>
      <c r="T64" s="66"/>
      <c r="U64" s="66"/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5" sqref="C25"/>
    </sheetView>
  </sheetViews>
  <sheetFormatPr baseColWidth="10" defaultRowHeight="13" x14ac:dyDescent="0.15"/>
  <cols>
    <col min="1" max="1" width="15" style="3" bestFit="1" customWidth="1"/>
    <col min="2" max="2" width="24" style="3" bestFit="1" customWidth="1"/>
    <col min="3" max="3" width="17" style="3" bestFit="1" customWidth="1"/>
    <col min="4" max="16384" width="10.83203125" style="3"/>
  </cols>
  <sheetData>
    <row r="1" spans="1:2" x14ac:dyDescent="0.15">
      <c r="A1" s="3" t="s">
        <v>120</v>
      </c>
      <c r="B1" s="3" t="s">
        <v>121</v>
      </c>
    </row>
    <row r="2" spans="1:2" x14ac:dyDescent="0.15">
      <c r="A2" s="3" t="s">
        <v>114</v>
      </c>
      <c r="B2" s="3" t="s">
        <v>115</v>
      </c>
    </row>
    <row r="3" spans="1:2" x14ac:dyDescent="0.15">
      <c r="A3" s="3" t="s">
        <v>116</v>
      </c>
      <c r="B3" s="3" t="s">
        <v>117</v>
      </c>
    </row>
    <row r="4" spans="1:2" x14ac:dyDescent="0.15">
      <c r="A4" s="3" t="s">
        <v>118</v>
      </c>
      <c r="B4" s="3" t="s">
        <v>119</v>
      </c>
    </row>
    <row r="5" spans="1:2" x14ac:dyDescent="0.15">
      <c r="A5" s="3" t="s">
        <v>122</v>
      </c>
    </row>
    <row r="6" spans="1:2" x14ac:dyDescent="0.15">
      <c r="A6" s="3" t="s">
        <v>123</v>
      </c>
      <c r="B6" s="3" t="s">
        <v>124</v>
      </c>
    </row>
    <row r="7" spans="1:2" x14ac:dyDescent="0.15">
      <c r="A7" s="3" t="s">
        <v>125</v>
      </c>
      <c r="B7" s="3" t="s">
        <v>126</v>
      </c>
    </row>
    <row r="8" spans="1:2" x14ac:dyDescent="0.15">
      <c r="A8" s="3" t="s">
        <v>127</v>
      </c>
      <c r="B8" s="3" t="s">
        <v>128</v>
      </c>
    </row>
    <row r="9" spans="1:2" x14ac:dyDescent="0.15">
      <c r="A9" s="3" t="s">
        <v>129</v>
      </c>
    </row>
    <row r="10" spans="1:2" x14ac:dyDescent="0.15">
      <c r="A10" s="3" t="s">
        <v>130</v>
      </c>
    </row>
    <row r="11" spans="1:2" x14ac:dyDescent="0.15">
      <c r="A11" s="3" t="s">
        <v>131</v>
      </c>
    </row>
    <row r="12" spans="1:2" x14ac:dyDescent="0.15">
      <c r="A12" s="3" t="s">
        <v>132</v>
      </c>
    </row>
    <row r="13" spans="1:2" x14ac:dyDescent="0.15">
      <c r="A13" s="3" t="s">
        <v>133</v>
      </c>
      <c r="B13" s="3" t="s">
        <v>134</v>
      </c>
    </row>
    <row r="14" spans="1:2" x14ac:dyDescent="0.15">
      <c r="A14" s="3" t="s">
        <v>135</v>
      </c>
    </row>
    <row r="15" spans="1:2" x14ac:dyDescent="0.15">
      <c r="A15" s="3" t="s">
        <v>136</v>
      </c>
    </row>
    <row r="16" spans="1:2" x14ac:dyDescent="0.15">
      <c r="A16" s="3" t="s">
        <v>137</v>
      </c>
    </row>
    <row r="17" spans="1:3" x14ac:dyDescent="0.15">
      <c r="A17" s="3" t="s">
        <v>138</v>
      </c>
    </row>
    <row r="18" spans="1:3" s="2" customFormat="1" x14ac:dyDescent="0.15">
      <c r="A18" s="2" t="s">
        <v>139</v>
      </c>
      <c r="B18" s="2" t="s">
        <v>141</v>
      </c>
      <c r="C18" s="2" t="s">
        <v>140</v>
      </c>
    </row>
    <row r="19" spans="1:3" s="2" customFormat="1" x14ac:dyDescent="0.15">
      <c r="A19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RUB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2018-01-04T19:16:18Z</dcterms:created>
  <dcterms:modified xsi:type="dcterms:W3CDTF">2019-03-24T16:26:08Z</dcterms:modified>
</cp:coreProperties>
</file>