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90BB084-DF44-E34F-AE51-0644274E6982}" xr6:coauthVersionLast="45" xr6:coauthVersionMax="45" xr10:uidLastSave="{00000000-0000-0000-0000-000000000000}"/>
  <bookViews>
    <workbookView xWindow="0" yWindow="460" windowWidth="2114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C5" i="2"/>
  <c r="C3" i="2"/>
  <c r="H10" i="2"/>
  <c r="I10" i="2" s="1"/>
  <c r="J10" i="2" s="1"/>
  <c r="K10" i="2" s="1"/>
  <c r="G10" i="2"/>
  <c r="X62" i="1"/>
  <c r="X61" i="1"/>
  <c r="X60" i="1"/>
  <c r="X55" i="1"/>
  <c r="X54" i="1"/>
  <c r="X53" i="1"/>
  <c r="X52" i="1"/>
  <c r="X51" i="1"/>
  <c r="X49" i="1"/>
  <c r="X48" i="1"/>
  <c r="X44" i="1"/>
  <c r="X42" i="1"/>
  <c r="X40" i="1" s="1"/>
  <c r="X41" i="1"/>
  <c r="X38" i="1"/>
  <c r="X37" i="1"/>
  <c r="X36" i="1"/>
  <c r="X35" i="1"/>
  <c r="X33" i="1"/>
  <c r="X32" i="1"/>
  <c r="X31" i="1"/>
  <c r="X27" i="1"/>
  <c r="X28" i="1" s="1"/>
  <c r="X25" i="1"/>
  <c r="X24" i="1"/>
  <c r="X22" i="1"/>
  <c r="X23" i="1" s="1"/>
  <c r="X18" i="1"/>
  <c r="X16" i="1"/>
  <c r="W62" i="1"/>
  <c r="W61" i="1"/>
  <c r="W60" i="1"/>
  <c r="W49" i="1"/>
  <c r="W53" i="1"/>
  <c r="W51" i="1"/>
  <c r="W54" i="1"/>
  <c r="W48" i="1"/>
  <c r="W55" i="1" s="1"/>
  <c r="W44" i="1"/>
  <c r="W42" i="1"/>
  <c r="W40" i="1" s="1"/>
  <c r="W41" i="1"/>
  <c r="W38" i="1"/>
  <c r="W37" i="1"/>
  <c r="W36" i="1"/>
  <c r="W35" i="1"/>
  <c r="W33" i="1"/>
  <c r="W32" i="1"/>
  <c r="W31" i="1"/>
  <c r="W28" i="1"/>
  <c r="W24" i="1"/>
  <c r="W22" i="1"/>
  <c r="W16" i="1"/>
  <c r="W18" i="1" s="1"/>
  <c r="W23" i="1" s="1"/>
  <c r="W25" i="1" s="1"/>
  <c r="W27" i="1" s="1"/>
  <c r="W52" i="1" l="1"/>
  <c r="C64" i="2"/>
  <c r="D64" i="2"/>
  <c r="E64" i="2"/>
  <c r="F64" i="2"/>
  <c r="F11" i="2"/>
  <c r="G11" i="2" s="1"/>
  <c r="H11" i="2" s="1"/>
  <c r="I11" i="2" s="1"/>
  <c r="J11" i="2" s="1"/>
  <c r="K11" i="2" s="1"/>
  <c r="G12" i="2"/>
  <c r="H12" i="2" s="1"/>
  <c r="I12" i="2" s="1"/>
  <c r="J12" i="2" s="1"/>
  <c r="K12" i="2" s="1"/>
  <c r="F4" i="2"/>
  <c r="U9" i="2"/>
  <c r="T9" i="2"/>
  <c r="S9" i="2"/>
  <c r="R9" i="2"/>
  <c r="F54" i="2"/>
  <c r="F53" i="2"/>
  <c r="F57" i="2" s="1"/>
  <c r="F52" i="2"/>
  <c r="F50" i="2"/>
  <c r="F49" i="2"/>
  <c r="F48" i="2" s="1"/>
  <c r="F36" i="2"/>
  <c r="F33" i="2"/>
  <c r="F31" i="2"/>
  <c r="F28" i="2"/>
  <c r="G28" i="2" s="1"/>
  <c r="H28" i="2" s="1"/>
  <c r="I28" i="2" s="1"/>
  <c r="J28" i="2" s="1"/>
  <c r="K28" i="2" s="1"/>
  <c r="F27" i="2"/>
  <c r="G27" i="2" s="1"/>
  <c r="H27" i="2" s="1"/>
  <c r="I27" i="2" s="1"/>
  <c r="J27" i="2" s="1"/>
  <c r="K27" i="2" s="1"/>
  <c r="F26" i="2"/>
  <c r="F24" i="2"/>
  <c r="F12" i="2"/>
  <c r="F10" i="2"/>
  <c r="F69" i="2" s="1"/>
  <c r="E28" i="2"/>
  <c r="E27" i="2"/>
  <c r="E26" i="2"/>
  <c r="E24" i="2"/>
  <c r="E12" i="2"/>
  <c r="E11" i="2"/>
  <c r="E10" i="2"/>
  <c r="E23" i="2" s="1"/>
  <c r="V61" i="1"/>
  <c r="V44" i="1"/>
  <c r="V42" i="1"/>
  <c r="V41" i="1"/>
  <c r="V24" i="1"/>
  <c r="V21" i="1"/>
  <c r="V16" i="1"/>
  <c r="V62" i="1"/>
  <c r="V60" i="1"/>
  <c r="V49" i="1"/>
  <c r="V48" i="1"/>
  <c r="V40" i="1"/>
  <c r="V38" i="1"/>
  <c r="V37" i="1"/>
  <c r="V36" i="1"/>
  <c r="V22" i="1"/>
  <c r="V18" i="1"/>
  <c r="U61" i="1"/>
  <c r="U62" i="1"/>
  <c r="U60" i="1"/>
  <c r="U44" i="1"/>
  <c r="U42" i="1"/>
  <c r="U41" i="1"/>
  <c r="U53" i="1"/>
  <c r="U51" i="1"/>
  <c r="U49" i="1"/>
  <c r="U52" i="1" s="1"/>
  <c r="U40" i="1"/>
  <c r="U35" i="1"/>
  <c r="U38" i="1"/>
  <c r="U37" i="1"/>
  <c r="U36" i="1"/>
  <c r="U33" i="1"/>
  <c r="U32" i="1"/>
  <c r="U31" i="1"/>
  <c r="U27" i="1"/>
  <c r="U28" i="1" s="1"/>
  <c r="U25" i="1"/>
  <c r="U24" i="1"/>
  <c r="U22" i="1"/>
  <c r="U23" i="1" s="1"/>
  <c r="U18" i="1"/>
  <c r="U16" i="1"/>
  <c r="T61" i="1"/>
  <c r="J58" i="1"/>
  <c r="J57" i="1"/>
  <c r="K58" i="1"/>
  <c r="K57" i="1"/>
  <c r="L58" i="1"/>
  <c r="L57" i="1"/>
  <c r="M57" i="1"/>
  <c r="T44" i="1"/>
  <c r="T41" i="1"/>
  <c r="T40" i="1" s="1"/>
  <c r="Q16" i="1"/>
  <c r="P16" i="1"/>
  <c r="R16" i="1"/>
  <c r="S16" i="1"/>
  <c r="T24" i="1"/>
  <c r="T16" i="1"/>
  <c r="B16" i="1"/>
  <c r="T62" i="1"/>
  <c r="T60" i="1"/>
  <c r="T49" i="1"/>
  <c r="T38" i="1"/>
  <c r="T37" i="1"/>
  <c r="T36" i="1"/>
  <c r="T22" i="1"/>
  <c r="S62" i="1"/>
  <c r="R62" i="1"/>
  <c r="S60" i="1"/>
  <c r="R60" i="1"/>
  <c r="Q3" i="1"/>
  <c r="O14" i="1"/>
  <c r="O16" i="1" s="1"/>
  <c r="N14" i="1"/>
  <c r="N16" i="1" s="1"/>
  <c r="S44" i="1"/>
  <c r="S48" i="1" s="1"/>
  <c r="S49" i="1"/>
  <c r="S41" i="1"/>
  <c r="S40" i="1"/>
  <c r="S38" i="1"/>
  <c r="S37" i="1"/>
  <c r="S36" i="1"/>
  <c r="S24" i="1"/>
  <c r="S22" i="1"/>
  <c r="M14" i="1"/>
  <c r="L14" i="1"/>
  <c r="L16" i="1" s="1"/>
  <c r="K14" i="1"/>
  <c r="J14" i="1"/>
  <c r="I14" i="1"/>
  <c r="H14" i="1"/>
  <c r="G14" i="1"/>
  <c r="F14" i="1"/>
  <c r="F16" i="1" s="1"/>
  <c r="E14" i="1"/>
  <c r="E16" i="1" s="1"/>
  <c r="D16" i="1"/>
  <c r="C16" i="1"/>
  <c r="G16" i="1"/>
  <c r="M16" i="1"/>
  <c r="K16" i="1"/>
  <c r="J16" i="1"/>
  <c r="I16" i="1"/>
  <c r="H16" i="1"/>
  <c r="F56" i="2" l="1"/>
  <c r="G26" i="2"/>
  <c r="G29" i="2" s="1"/>
  <c r="F70" i="2"/>
  <c r="G69" i="2"/>
  <c r="G70" i="2"/>
  <c r="G71" i="2"/>
  <c r="F71" i="2"/>
  <c r="F29" i="2"/>
  <c r="F23" i="2"/>
  <c r="H69" i="2"/>
  <c r="V35" i="1"/>
  <c r="V31" i="1"/>
  <c r="V23" i="1"/>
  <c r="U54" i="1"/>
  <c r="U48" i="1"/>
  <c r="U55" i="1" s="1"/>
  <c r="T48" i="1"/>
  <c r="S18" i="1"/>
  <c r="S31" i="1" s="1"/>
  <c r="S35" i="1"/>
  <c r="G42" i="2" l="1"/>
  <c r="H26" i="2"/>
  <c r="F38" i="2"/>
  <c r="F25" i="2"/>
  <c r="F44" i="2" s="1"/>
  <c r="G25" i="2" s="1"/>
  <c r="G38" i="2"/>
  <c r="H70" i="2"/>
  <c r="H23" i="2"/>
  <c r="H71" i="2"/>
  <c r="I70" i="2"/>
  <c r="V32" i="1"/>
  <c r="V25" i="1"/>
  <c r="T35" i="1"/>
  <c r="T18" i="1"/>
  <c r="S23" i="1"/>
  <c r="S32" i="1" s="1"/>
  <c r="I26" i="2" l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H29" i="2"/>
  <c r="H42" i="2" s="1"/>
  <c r="I23" i="2"/>
  <c r="I69" i="2"/>
  <c r="F30" i="2"/>
  <c r="F32" i="2" s="1"/>
  <c r="I71" i="2"/>
  <c r="K70" i="2"/>
  <c r="J70" i="2"/>
  <c r="V33" i="1"/>
  <c r="V27" i="1"/>
  <c r="T31" i="1"/>
  <c r="T23" i="1"/>
  <c r="S25" i="1"/>
  <c r="S33" i="1" s="1"/>
  <c r="K23" i="2" l="1"/>
  <c r="J23" i="2"/>
  <c r="J69" i="2"/>
  <c r="K71" i="2"/>
  <c r="J71" i="2"/>
  <c r="V55" i="1"/>
  <c r="V54" i="1"/>
  <c r="V28" i="1"/>
  <c r="V53" i="1"/>
  <c r="V52" i="1"/>
  <c r="V51" i="1"/>
  <c r="T32" i="1"/>
  <c r="T25" i="1"/>
  <c r="S27" i="1"/>
  <c r="S28" i="1"/>
  <c r="S53" i="1"/>
  <c r="S55" i="1"/>
  <c r="S52" i="1"/>
  <c r="S54" i="1"/>
  <c r="L23" i="2" l="1"/>
  <c r="M23" i="2" s="1"/>
  <c r="N23" i="2" s="1"/>
  <c r="O23" i="2" s="1"/>
  <c r="P23" i="2" s="1"/>
  <c r="Q23" i="2" s="1"/>
  <c r="R23" i="2" s="1"/>
  <c r="S23" i="2" s="1"/>
  <c r="T23" i="2" s="1"/>
  <c r="U23" i="2" s="1"/>
  <c r="K69" i="2"/>
  <c r="T33" i="1"/>
  <c r="T27" i="1"/>
  <c r="T55" i="1" l="1"/>
  <c r="T54" i="1"/>
  <c r="T28" i="1"/>
  <c r="T53" i="1"/>
  <c r="T52" i="1"/>
  <c r="R44" i="1" l="1"/>
  <c r="R41" i="1"/>
  <c r="R24" i="1"/>
  <c r="R21" i="1"/>
  <c r="R22" i="1" s="1"/>
  <c r="R49" i="1"/>
  <c r="R48" i="1"/>
  <c r="R40" i="1"/>
  <c r="R37" i="1"/>
  <c r="R36" i="1"/>
  <c r="E54" i="2"/>
  <c r="E53" i="2"/>
  <c r="E52" i="2"/>
  <c r="E50" i="2"/>
  <c r="E36" i="2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Q44" i="1"/>
  <c r="Q49" i="1"/>
  <c r="Q41" i="1"/>
  <c r="E49" i="2" s="1"/>
  <c r="Q24" i="1"/>
  <c r="Q21" i="1"/>
  <c r="Q22" i="1" s="1"/>
  <c r="E33" i="2"/>
  <c r="D54" i="2"/>
  <c r="D53" i="2"/>
  <c r="D57" i="2" s="1"/>
  <c r="D50" i="2"/>
  <c r="C54" i="2"/>
  <c r="C53" i="2"/>
  <c r="C50" i="2"/>
  <c r="B50" i="2"/>
  <c r="D20" i="2"/>
  <c r="C20" i="2"/>
  <c r="B20" i="2"/>
  <c r="D36" i="2"/>
  <c r="D33" i="2"/>
  <c r="D27" i="2"/>
  <c r="D26" i="2"/>
  <c r="E39" i="2" s="1"/>
  <c r="D24" i="2"/>
  <c r="D18" i="2"/>
  <c r="D17" i="2"/>
  <c r="D16" i="2"/>
  <c r="D12" i="2"/>
  <c r="D15" i="2"/>
  <c r="D14" i="2"/>
  <c r="C36" i="2"/>
  <c r="C33" i="2"/>
  <c r="C27" i="2"/>
  <c r="C26" i="2"/>
  <c r="C24" i="2"/>
  <c r="C18" i="2"/>
  <c r="C17" i="2"/>
  <c r="C16" i="2"/>
  <c r="C12" i="2"/>
  <c r="C15" i="2"/>
  <c r="C14" i="2"/>
  <c r="B36" i="2"/>
  <c r="B33" i="2"/>
  <c r="B27" i="2"/>
  <c r="B26" i="2"/>
  <c r="B24" i="2"/>
  <c r="B18" i="2"/>
  <c r="B17" i="2"/>
  <c r="B16" i="2"/>
  <c r="B12" i="2"/>
  <c r="B15" i="2"/>
  <c r="Q37" i="1"/>
  <c r="Q36" i="1"/>
  <c r="M18" i="1"/>
  <c r="I44" i="1"/>
  <c r="I41" i="1"/>
  <c r="C49" i="2" s="1"/>
  <c r="I57" i="1"/>
  <c r="I49" i="1"/>
  <c r="M24" i="1"/>
  <c r="M21" i="1"/>
  <c r="M22" i="1" s="1"/>
  <c r="M37" i="1"/>
  <c r="M36" i="1"/>
  <c r="N41" i="1"/>
  <c r="N48" i="1" s="1"/>
  <c r="N24" i="1"/>
  <c r="N21" i="1"/>
  <c r="N22" i="1" s="1"/>
  <c r="N57" i="1"/>
  <c r="N49" i="1"/>
  <c r="N37" i="1"/>
  <c r="N36" i="1"/>
  <c r="J18" i="1"/>
  <c r="J31" i="1" s="1"/>
  <c r="O44" i="1"/>
  <c r="O41" i="1"/>
  <c r="O40" i="1" s="1"/>
  <c r="L18" i="1"/>
  <c r="O24" i="1"/>
  <c r="O21" i="1"/>
  <c r="O22" i="1" s="1"/>
  <c r="O57" i="1"/>
  <c r="O49" i="1"/>
  <c r="O37" i="1"/>
  <c r="O36" i="1"/>
  <c r="M44" i="1"/>
  <c r="M41" i="1"/>
  <c r="M40" i="1" s="1"/>
  <c r="K18" i="1"/>
  <c r="M49" i="1"/>
  <c r="P49" i="1"/>
  <c r="P44" i="1"/>
  <c r="P41" i="1"/>
  <c r="P48" i="1" s="1"/>
  <c r="P24" i="1"/>
  <c r="P21" i="1"/>
  <c r="P22" i="1" s="1"/>
  <c r="P37" i="1"/>
  <c r="P36" i="1"/>
  <c r="E7" i="1"/>
  <c r="I58" i="1" s="1"/>
  <c r="L21" i="1"/>
  <c r="L22" i="1" s="1"/>
  <c r="L24" i="1"/>
  <c r="L41" i="1"/>
  <c r="L40" i="1" s="1"/>
  <c r="E41" i="1"/>
  <c r="B49" i="2" s="1"/>
  <c r="J24" i="1"/>
  <c r="K24" i="1"/>
  <c r="J21" i="1"/>
  <c r="K21" i="1"/>
  <c r="C4" i="2"/>
  <c r="B24" i="1"/>
  <c r="B21" i="1"/>
  <c r="C24" i="1"/>
  <c r="C21" i="1"/>
  <c r="C22" i="1" s="1"/>
  <c r="D24" i="1"/>
  <c r="D21" i="1"/>
  <c r="D22" i="1" s="1"/>
  <c r="F41" i="1"/>
  <c r="F40" i="1" s="1"/>
  <c r="G41" i="1"/>
  <c r="G40" i="1" s="1"/>
  <c r="H41" i="1"/>
  <c r="H40" i="1" s="1"/>
  <c r="E24" i="1"/>
  <c r="E21" i="1"/>
  <c r="E22" i="1" s="1"/>
  <c r="I24" i="1"/>
  <c r="I21" i="1"/>
  <c r="J41" i="1"/>
  <c r="J40" i="1" s="1"/>
  <c r="F24" i="1"/>
  <c r="F21" i="1"/>
  <c r="K41" i="1"/>
  <c r="K40" i="1" s="1"/>
  <c r="G24" i="1"/>
  <c r="G21" i="1"/>
  <c r="G22" i="1" s="1"/>
  <c r="G18" i="1"/>
  <c r="H24" i="1"/>
  <c r="H21" i="1"/>
  <c r="B18" i="1"/>
  <c r="B31" i="1" s="1"/>
  <c r="C18" i="1"/>
  <c r="D18" i="1"/>
  <c r="D31" i="1" s="1"/>
  <c r="J35" i="1"/>
  <c r="L36" i="1"/>
  <c r="L37" i="1"/>
  <c r="J36" i="1"/>
  <c r="K36" i="1"/>
  <c r="J37" i="1"/>
  <c r="K37" i="1"/>
  <c r="I18" i="1"/>
  <c r="I31" i="1" s="1"/>
  <c r="I36" i="1"/>
  <c r="G37" i="1"/>
  <c r="H37" i="1"/>
  <c r="I37" i="1"/>
  <c r="F37" i="1"/>
  <c r="G36" i="1"/>
  <c r="H36" i="1"/>
  <c r="F36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B48" i="2" l="1"/>
  <c r="D40" i="2"/>
  <c r="D21" i="2"/>
  <c r="C21" i="2"/>
  <c r="E57" i="2"/>
  <c r="C48" i="2"/>
  <c r="C39" i="2"/>
  <c r="H38" i="1"/>
  <c r="L23" i="1"/>
  <c r="L25" i="1" s="1"/>
  <c r="N58" i="1"/>
  <c r="H22" i="1"/>
  <c r="B14" i="2"/>
  <c r="B21" i="2" s="1"/>
  <c r="E18" i="1"/>
  <c r="E23" i="1" s="1"/>
  <c r="E25" i="1" s="1"/>
  <c r="I40" i="1"/>
  <c r="O58" i="1"/>
  <c r="C23" i="1"/>
  <c r="C25" i="1" s="1"/>
  <c r="O38" i="1"/>
  <c r="C57" i="2"/>
  <c r="M23" i="1"/>
  <c r="M25" i="1" s="1"/>
  <c r="M31" i="1"/>
  <c r="M48" i="1"/>
  <c r="Q38" i="1"/>
  <c r="M35" i="1"/>
  <c r="L35" i="1"/>
  <c r="G38" i="1"/>
  <c r="F18" i="1"/>
  <c r="F31" i="1" s="1"/>
  <c r="O48" i="1"/>
  <c r="B31" i="2"/>
  <c r="J38" i="1"/>
  <c r="C31" i="2"/>
  <c r="C40" i="2"/>
  <c r="P18" i="1"/>
  <c r="P35" i="1"/>
  <c r="O18" i="1"/>
  <c r="O35" i="1"/>
  <c r="D52" i="2"/>
  <c r="D56" i="2" s="1"/>
  <c r="E31" i="2"/>
  <c r="D31" i="2"/>
  <c r="M38" i="1"/>
  <c r="H35" i="1"/>
  <c r="E40" i="1"/>
  <c r="I38" i="1"/>
  <c r="D23" i="1"/>
  <c r="D32" i="1" s="1"/>
  <c r="I48" i="1"/>
  <c r="F22" i="1"/>
  <c r="L38" i="1"/>
  <c r="I35" i="1"/>
  <c r="K22" i="1"/>
  <c r="K23" i="1" s="1"/>
  <c r="F35" i="1"/>
  <c r="D49" i="2"/>
  <c r="D48" i="2" s="1"/>
  <c r="D28" i="2"/>
  <c r="D29" i="2" s="1"/>
  <c r="J22" i="1"/>
  <c r="J23" i="1" s="1"/>
  <c r="B28" i="2"/>
  <c r="B29" i="2" s="1"/>
  <c r="E48" i="2"/>
  <c r="C6" i="2"/>
  <c r="C7" i="2" s="1"/>
  <c r="E40" i="2"/>
  <c r="D66" i="2"/>
  <c r="F40" i="2"/>
  <c r="D39" i="2"/>
  <c r="C66" i="2"/>
  <c r="F39" i="2"/>
  <c r="G23" i="1"/>
  <c r="G31" i="1"/>
  <c r="H40" i="2"/>
  <c r="L32" i="1"/>
  <c r="K31" i="1"/>
  <c r="Q18" i="1"/>
  <c r="Q35" i="1"/>
  <c r="R38" i="1"/>
  <c r="B22" i="1"/>
  <c r="B23" i="1" s="1"/>
  <c r="E29" i="2"/>
  <c r="E56" i="2"/>
  <c r="C31" i="1"/>
  <c r="Q48" i="1"/>
  <c r="H18" i="1"/>
  <c r="P38" i="1"/>
  <c r="N38" i="1"/>
  <c r="G35" i="1"/>
  <c r="F38" i="1"/>
  <c r="P40" i="1"/>
  <c r="M58" i="1"/>
  <c r="N40" i="1"/>
  <c r="I22" i="1"/>
  <c r="I23" i="1" s="1"/>
  <c r="L31" i="1"/>
  <c r="C52" i="2"/>
  <c r="C56" i="2" s="1"/>
  <c r="K35" i="1"/>
  <c r="G40" i="2"/>
  <c r="K38" i="1"/>
  <c r="C28" i="2"/>
  <c r="Q40" i="1"/>
  <c r="E42" i="2" l="1"/>
  <c r="F42" i="2"/>
  <c r="D42" i="2"/>
  <c r="B23" i="2"/>
  <c r="B25" i="2" s="1"/>
  <c r="E32" i="1"/>
  <c r="C32" i="1"/>
  <c r="C67" i="2"/>
  <c r="E31" i="1"/>
  <c r="F23" i="1"/>
  <c r="F32" i="1" s="1"/>
  <c r="M32" i="1"/>
  <c r="C23" i="2"/>
  <c r="C38" i="2" s="1"/>
  <c r="O23" i="1"/>
  <c r="O31" i="1"/>
  <c r="P23" i="1"/>
  <c r="P31" i="1"/>
  <c r="D25" i="1"/>
  <c r="D27" i="1" s="1"/>
  <c r="D28" i="1" s="1"/>
  <c r="F25" i="1"/>
  <c r="D67" i="2"/>
  <c r="M27" i="1"/>
  <c r="M33" i="1"/>
  <c r="D23" i="2"/>
  <c r="E38" i="2" s="1"/>
  <c r="Q23" i="1"/>
  <c r="Q31" i="1"/>
  <c r="K32" i="1"/>
  <c r="K25" i="1"/>
  <c r="G25" i="1"/>
  <c r="G32" i="1"/>
  <c r="J32" i="1"/>
  <c r="J25" i="1"/>
  <c r="H23" i="1"/>
  <c r="H31" i="1"/>
  <c r="E25" i="2"/>
  <c r="C41" i="2"/>
  <c r="C29" i="2"/>
  <c r="C42" i="2" s="1"/>
  <c r="N18" i="1"/>
  <c r="N35" i="1"/>
  <c r="G39" i="2"/>
  <c r="I32" i="1"/>
  <c r="I25" i="1"/>
  <c r="E41" i="2"/>
  <c r="R35" i="1"/>
  <c r="R18" i="1"/>
  <c r="I40" i="2"/>
  <c r="C27" i="1"/>
  <c r="C28" i="1" s="1"/>
  <c r="C33" i="1"/>
  <c r="D41" i="2"/>
  <c r="B25" i="1"/>
  <c r="B32" i="1"/>
  <c r="E33" i="1"/>
  <c r="E27" i="1"/>
  <c r="E28" i="1" s="1"/>
  <c r="L27" i="1"/>
  <c r="L33" i="1"/>
  <c r="B44" i="2" l="1"/>
  <c r="B30" i="2"/>
  <c r="B45" i="2" s="1"/>
  <c r="C25" i="2"/>
  <c r="D25" i="2"/>
  <c r="P32" i="1"/>
  <c r="P25" i="1"/>
  <c r="D38" i="2"/>
  <c r="M53" i="1"/>
  <c r="M55" i="1"/>
  <c r="M54" i="1"/>
  <c r="M52" i="1"/>
  <c r="M28" i="1"/>
  <c r="D33" i="1"/>
  <c r="O25" i="1"/>
  <c r="O32" i="1"/>
  <c r="F33" i="1"/>
  <c r="F27" i="1"/>
  <c r="J27" i="1"/>
  <c r="M51" i="1" s="1"/>
  <c r="J33" i="1"/>
  <c r="F41" i="2"/>
  <c r="I33" i="1"/>
  <c r="I27" i="1"/>
  <c r="G27" i="1"/>
  <c r="G33" i="1"/>
  <c r="D44" i="2"/>
  <c r="D30" i="2"/>
  <c r="J40" i="2"/>
  <c r="B32" i="2"/>
  <c r="B27" i="1"/>
  <c r="B28" i="1" s="1"/>
  <c r="B33" i="1"/>
  <c r="H39" i="2"/>
  <c r="N23" i="1"/>
  <c r="N31" i="1"/>
  <c r="C44" i="2"/>
  <c r="C30" i="2"/>
  <c r="K27" i="1"/>
  <c r="K33" i="1"/>
  <c r="L28" i="1"/>
  <c r="E30" i="2"/>
  <c r="E44" i="2"/>
  <c r="H25" i="1"/>
  <c r="H32" i="1"/>
  <c r="R31" i="1"/>
  <c r="R23" i="1"/>
  <c r="Q32" i="1"/>
  <c r="Q25" i="1"/>
  <c r="F28" i="1" l="1"/>
  <c r="O27" i="1"/>
  <c r="O33" i="1"/>
  <c r="P33" i="1"/>
  <c r="P27" i="1"/>
  <c r="I28" i="1"/>
  <c r="I53" i="1"/>
  <c r="I52" i="1"/>
  <c r="I55" i="1"/>
  <c r="I54" i="1"/>
  <c r="D45" i="2"/>
  <c r="D32" i="2"/>
  <c r="Q27" i="1"/>
  <c r="Q33" i="1"/>
  <c r="K40" i="2"/>
  <c r="L27" i="2"/>
  <c r="M27" i="2" s="1"/>
  <c r="N27" i="2" s="1"/>
  <c r="O27" i="2" s="1"/>
  <c r="P27" i="2" s="1"/>
  <c r="Q27" i="2" s="1"/>
  <c r="R27" i="2" s="1"/>
  <c r="S27" i="2" s="1"/>
  <c r="T27" i="2" s="1"/>
  <c r="U27" i="2" s="1"/>
  <c r="C45" i="2"/>
  <c r="C32" i="2"/>
  <c r="G28" i="1"/>
  <c r="N25" i="1"/>
  <c r="N32" i="1"/>
  <c r="R32" i="1"/>
  <c r="R25" i="1"/>
  <c r="E45" i="2"/>
  <c r="E32" i="2"/>
  <c r="G41" i="2"/>
  <c r="K28" i="1"/>
  <c r="H33" i="1"/>
  <c r="H27" i="1"/>
  <c r="H28" i="1" s="1"/>
  <c r="I39" i="2"/>
  <c r="B34" i="2"/>
  <c r="B35" i="2" s="1"/>
  <c r="B46" i="2"/>
  <c r="J28" i="1"/>
  <c r="P53" i="1" l="1"/>
  <c r="P52" i="1"/>
  <c r="P55" i="1"/>
  <c r="P54" i="1"/>
  <c r="P28" i="1"/>
  <c r="O53" i="1"/>
  <c r="O55" i="1"/>
  <c r="O52" i="1"/>
  <c r="O54" i="1"/>
  <c r="O28" i="1"/>
  <c r="I51" i="1"/>
  <c r="Q55" i="1"/>
  <c r="Q54" i="1"/>
  <c r="Q52" i="1"/>
  <c r="Q53" i="1"/>
  <c r="R33" i="1"/>
  <c r="R27" i="1"/>
  <c r="N33" i="1"/>
  <c r="N27" i="1"/>
  <c r="F45" i="2"/>
  <c r="C46" i="2"/>
  <c r="C34" i="2"/>
  <c r="L40" i="2"/>
  <c r="Q28" i="1"/>
  <c r="R51" i="1"/>
  <c r="J39" i="2"/>
  <c r="H41" i="2"/>
  <c r="E34" i="2"/>
  <c r="E46" i="2"/>
  <c r="D34" i="2"/>
  <c r="D46" i="2"/>
  <c r="H38" i="2"/>
  <c r="G24" i="2" l="1"/>
  <c r="G44" i="2"/>
  <c r="H25" i="2" s="1"/>
  <c r="E62" i="2"/>
  <c r="E61" i="2"/>
  <c r="E60" i="2"/>
  <c r="E59" i="2"/>
  <c r="D35" i="2"/>
  <c r="D60" i="2"/>
  <c r="D59" i="2"/>
  <c r="D62" i="2"/>
  <c r="D61" i="2"/>
  <c r="C35" i="2"/>
  <c r="C62" i="2"/>
  <c r="C61" i="2"/>
  <c r="C60" i="2"/>
  <c r="C59" i="2"/>
  <c r="S51" i="1"/>
  <c r="T51" i="1"/>
  <c r="N55" i="1"/>
  <c r="N53" i="1"/>
  <c r="N54" i="1"/>
  <c r="N52" i="1"/>
  <c r="R28" i="1"/>
  <c r="R54" i="1"/>
  <c r="R52" i="1"/>
  <c r="R55" i="1"/>
  <c r="R53" i="1"/>
  <c r="K39" i="2"/>
  <c r="F46" i="2"/>
  <c r="G30" i="2"/>
  <c r="Q51" i="1"/>
  <c r="N28" i="1"/>
  <c r="P51" i="1"/>
  <c r="O51" i="1"/>
  <c r="N51" i="1"/>
  <c r="E35" i="2"/>
  <c r="I41" i="2"/>
  <c r="I29" i="2"/>
  <c r="I42" i="2" s="1"/>
  <c r="I38" i="2"/>
  <c r="M40" i="2"/>
  <c r="F34" i="2" l="1"/>
  <c r="H30" i="2"/>
  <c r="H44" i="2"/>
  <c r="I25" i="2" s="1"/>
  <c r="H24" i="2"/>
  <c r="L39" i="2"/>
  <c r="J38" i="2"/>
  <c r="G45" i="2"/>
  <c r="N40" i="2"/>
  <c r="J41" i="2"/>
  <c r="J29" i="2"/>
  <c r="J42" i="2" s="1"/>
  <c r="F59" i="2" l="1"/>
  <c r="F61" i="2"/>
  <c r="F60" i="2"/>
  <c r="F62" i="2"/>
  <c r="F35" i="2"/>
  <c r="O40" i="2"/>
  <c r="K38" i="2"/>
  <c r="M39" i="2"/>
  <c r="K41" i="2"/>
  <c r="L28" i="2"/>
  <c r="M28" i="2" s="1"/>
  <c r="N28" i="2" s="1"/>
  <c r="O28" i="2" s="1"/>
  <c r="P28" i="2" s="1"/>
  <c r="Q28" i="2" s="1"/>
  <c r="R28" i="2" s="1"/>
  <c r="S28" i="2" s="1"/>
  <c r="T28" i="2" s="1"/>
  <c r="U28" i="2" s="1"/>
  <c r="K29" i="2"/>
  <c r="K42" i="2" s="1"/>
  <c r="I44" i="2"/>
  <c r="J25" i="2" s="1"/>
  <c r="I30" i="2"/>
  <c r="I24" i="2"/>
  <c r="G31" i="2"/>
  <c r="G32" i="2" s="1"/>
  <c r="H45" i="2"/>
  <c r="J30" i="2" l="1"/>
  <c r="J44" i="2"/>
  <c r="K25" i="2" s="1"/>
  <c r="J24" i="2"/>
  <c r="I45" i="2"/>
  <c r="L38" i="2"/>
  <c r="P40" i="2"/>
  <c r="L41" i="2"/>
  <c r="L29" i="2"/>
  <c r="L42" i="2" s="1"/>
  <c r="N39" i="2"/>
  <c r="G33" i="2"/>
  <c r="G46" i="2" s="1"/>
  <c r="Q40" i="2" l="1"/>
  <c r="G34" i="2"/>
  <c r="K44" i="2"/>
  <c r="L25" i="2" s="1"/>
  <c r="K30" i="2"/>
  <c r="K24" i="2"/>
  <c r="M41" i="2"/>
  <c r="M29" i="2"/>
  <c r="M42" i="2" s="1"/>
  <c r="M38" i="2"/>
  <c r="O39" i="2"/>
  <c r="J45" i="2"/>
  <c r="G48" i="2" l="1"/>
  <c r="R40" i="2"/>
  <c r="P39" i="2"/>
  <c r="N41" i="2"/>
  <c r="N29" i="2"/>
  <c r="N42" i="2" s="1"/>
  <c r="K45" i="2"/>
  <c r="G35" i="2"/>
  <c r="N38" i="2"/>
  <c r="L30" i="2"/>
  <c r="L44" i="2"/>
  <c r="M25" i="2" s="1"/>
  <c r="L24" i="2"/>
  <c r="S40" i="2" l="1"/>
  <c r="R39" i="2"/>
  <c r="O41" i="2"/>
  <c r="O29" i="2"/>
  <c r="O42" i="2" s="1"/>
  <c r="O38" i="2"/>
  <c r="L45" i="2"/>
  <c r="Q39" i="2"/>
  <c r="H31" i="2"/>
  <c r="H32" i="2" s="1"/>
  <c r="M44" i="2"/>
  <c r="N25" i="2" s="1"/>
  <c r="M30" i="2"/>
  <c r="M24" i="2"/>
  <c r="T40" i="2" l="1"/>
  <c r="U40" i="2"/>
  <c r="S39" i="2"/>
  <c r="N30" i="2"/>
  <c r="N44" i="2"/>
  <c r="O25" i="2" s="1"/>
  <c r="N24" i="2"/>
  <c r="H33" i="2"/>
  <c r="H46" i="2" s="1"/>
  <c r="P41" i="2"/>
  <c r="P29" i="2"/>
  <c r="P42" i="2" s="1"/>
  <c r="M45" i="2"/>
  <c r="P38" i="2"/>
  <c r="R38" i="2" l="1"/>
  <c r="R41" i="2"/>
  <c r="R29" i="2"/>
  <c r="T39" i="2"/>
  <c r="H34" i="2"/>
  <c r="O44" i="2"/>
  <c r="P25" i="2" s="1"/>
  <c r="O30" i="2"/>
  <c r="O24" i="2"/>
  <c r="Q38" i="2"/>
  <c r="Q41" i="2"/>
  <c r="Q29" i="2"/>
  <c r="Q42" i="2" s="1"/>
  <c r="H35" i="2"/>
  <c r="N45" i="2"/>
  <c r="H48" i="2" l="1"/>
  <c r="R42" i="2"/>
  <c r="S41" i="2"/>
  <c r="S29" i="2"/>
  <c r="S42" i="2" s="1"/>
  <c r="S38" i="2"/>
  <c r="U39" i="2"/>
  <c r="O45" i="2"/>
  <c r="I31" i="2"/>
  <c r="I32" i="2" s="1"/>
  <c r="P30" i="2"/>
  <c r="P44" i="2"/>
  <c r="Q25" i="2" s="1"/>
  <c r="P24" i="2"/>
  <c r="U38" i="2" l="1"/>
  <c r="T38" i="2"/>
  <c r="T41" i="2"/>
  <c r="T29" i="2"/>
  <c r="T42" i="2" s="1"/>
  <c r="Q44" i="2"/>
  <c r="R25" i="2" s="1"/>
  <c r="Q30" i="2"/>
  <c r="Q24" i="2"/>
  <c r="P45" i="2"/>
  <c r="I33" i="2"/>
  <c r="I46" i="2" s="1"/>
  <c r="U41" i="2" l="1"/>
  <c r="U29" i="2"/>
  <c r="U42" i="2" s="1"/>
  <c r="R24" i="2"/>
  <c r="R44" i="2"/>
  <c r="S25" i="2" s="1"/>
  <c r="R30" i="2"/>
  <c r="I34" i="2"/>
  <c r="Q45" i="2"/>
  <c r="I35" i="2" l="1"/>
  <c r="I48" i="2"/>
  <c r="J31" i="2" s="1"/>
  <c r="J32" i="2" s="1"/>
  <c r="S30" i="2"/>
  <c r="S44" i="2"/>
  <c r="T25" i="2" s="1"/>
  <c r="S24" i="2"/>
  <c r="R45" i="2"/>
  <c r="T44" i="2" l="1"/>
  <c r="U25" i="2" s="1"/>
  <c r="T24" i="2"/>
  <c r="T30" i="2"/>
  <c r="S45" i="2"/>
  <c r="J33" i="2"/>
  <c r="J46" i="2" s="1"/>
  <c r="J34" i="2" l="1"/>
  <c r="T45" i="2"/>
  <c r="U44" i="2"/>
  <c r="U24" i="2"/>
  <c r="U30" i="2"/>
  <c r="J35" i="2"/>
  <c r="J48" i="2"/>
  <c r="U45" i="2" l="1"/>
  <c r="K31" i="2"/>
  <c r="K32" i="2" s="1"/>
  <c r="K33" i="2" l="1"/>
  <c r="K46" i="2" s="1"/>
  <c r="K34" i="2" l="1"/>
  <c r="K35" i="2" l="1"/>
  <c r="K48" i="2"/>
  <c r="L31" i="2" l="1"/>
  <c r="L32" i="2" s="1"/>
  <c r="L33" i="2" l="1"/>
  <c r="L46" i="2" s="1"/>
  <c r="L34" i="2"/>
  <c r="L35" i="2" l="1"/>
  <c r="L48" i="2"/>
  <c r="M31" i="2" l="1"/>
  <c r="M32" i="2" s="1"/>
  <c r="M33" i="2" l="1"/>
  <c r="M46" i="2" s="1"/>
  <c r="M34" i="2" l="1"/>
  <c r="M35" i="2" s="1"/>
  <c r="M48" i="2"/>
  <c r="N31" i="2" l="1"/>
  <c r="N32" i="2" s="1"/>
  <c r="N33" i="2" l="1"/>
  <c r="N46" i="2" s="1"/>
  <c r="N34" i="2" l="1"/>
  <c r="N35" i="2" s="1"/>
  <c r="N48" i="2"/>
  <c r="O31" i="2" l="1"/>
  <c r="O32" i="2" s="1"/>
  <c r="O33" i="2" l="1"/>
  <c r="O46" i="2" s="1"/>
  <c r="O34" i="2"/>
  <c r="O35" i="2" l="1"/>
  <c r="O48" i="2"/>
  <c r="P31" i="2" l="1"/>
  <c r="P32" i="2" s="1"/>
  <c r="P33" i="2" l="1"/>
  <c r="P46" i="2" s="1"/>
  <c r="P34" i="2"/>
  <c r="P35" i="2" l="1"/>
  <c r="P48" i="2"/>
  <c r="Q31" i="2" l="1"/>
  <c r="Q32" i="2" s="1"/>
  <c r="Q33" i="2" l="1"/>
  <c r="Q46" i="2" s="1"/>
  <c r="Q34" i="2"/>
  <c r="Q35" i="2" l="1"/>
  <c r="Q48" i="2"/>
  <c r="R31" i="2" l="1"/>
  <c r="R32" i="2" s="1"/>
  <c r="R33" i="2" l="1"/>
  <c r="R46" i="2" s="1"/>
  <c r="R34" i="2"/>
  <c r="R35" i="2" l="1"/>
  <c r="R48" i="2"/>
  <c r="S31" i="2" l="1"/>
  <c r="S32" i="2" s="1"/>
  <c r="S33" i="2" l="1"/>
  <c r="S46" i="2" s="1"/>
  <c r="S34" i="2"/>
  <c r="S35" i="2" l="1"/>
  <c r="S48" i="2"/>
  <c r="T31" i="2" l="1"/>
  <c r="T32" i="2" s="1"/>
  <c r="T33" i="2" l="1"/>
  <c r="T46" i="2" s="1"/>
  <c r="T34" i="2" l="1"/>
  <c r="T35" i="2" l="1"/>
  <c r="T48" i="2"/>
  <c r="U31" i="2" l="1"/>
  <c r="U32" i="2" s="1"/>
  <c r="U33" i="2" l="1"/>
  <c r="U46" i="2" s="1"/>
  <c r="U34" i="2"/>
  <c r="V34" i="2" s="1"/>
  <c r="W34" i="2" l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U35" i="2"/>
  <c r="U48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<sst xmlns="http://schemas.openxmlformats.org/spreadsheetml/2006/main" count="198" uniqueCount="141">
  <si>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</si>
  <si>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</si>
  <si>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</si>
  <si>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</si>
  <si>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</si>
  <si>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</si>
  <si>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</si>
  <si>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</si>
  <si>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</si>
  <si>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</si>
  <si>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</si>
  <si>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</si>
  <si>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</si>
  <si>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</si>
  <si>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</si>
  <si>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</si>
  <si>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</si>
  <si>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</si>
  <si>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</si>
  <si>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</si>
  <si>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</si>
  <si>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</si>
  <si>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</si>
  <si>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</si>
  <si>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</si>
  <si>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</si>
  <si>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</si>
  <si>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</si>
  <si>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</si>
  <si>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</si>
  <si>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</si>
  <si>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</si>
  <si>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</si>
  <si>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</si>
  <si>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</si>
  <si>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</si>
  <si>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</si>
  <si>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</si>
  <si>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</si>
  <si>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</si>
  <si>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30/9/2016</t>
  </si>
  <si>
    <t>30/9/2017</t>
  </si>
  <si>
    <t>31/3/2017</t>
  </si>
  <si>
    <t>30/6/2016</t>
  </si>
  <si>
    <t>31/3/2016</t>
  </si>
  <si>
    <t>31/12/2015</t>
  </si>
  <si>
    <t>30/9/2015</t>
  </si>
  <si>
    <t>Q115</t>
  </si>
  <si>
    <t>Q215</t>
  </si>
  <si>
    <t>Q315</t>
  </si>
  <si>
    <t>Q415</t>
  </si>
  <si>
    <t>30/6/2015</t>
  </si>
  <si>
    <t>31/3/2015</t>
  </si>
  <si>
    <t>Premier agent</t>
  </si>
  <si>
    <t>Other real estate</t>
  </si>
  <si>
    <t>Mortgages</t>
  </si>
  <si>
    <t>Display</t>
  </si>
  <si>
    <t>MAU</t>
  </si>
  <si>
    <t>Zillow Group Inc (ZG)</t>
  </si>
  <si>
    <t>EDGAR</t>
  </si>
  <si>
    <t>Investor Relations</t>
  </si>
  <si>
    <t>CEO</t>
  </si>
  <si>
    <t>Founder</t>
  </si>
  <si>
    <t>Rich Barton</t>
  </si>
  <si>
    <t>Lloyd Frink</t>
  </si>
  <si>
    <t>Price</t>
  </si>
  <si>
    <t>Q318</t>
  </si>
  <si>
    <t>Expected return on invested capital (innovation grade)</t>
  </si>
  <si>
    <t>Market Cap</t>
  </si>
  <si>
    <t>EV</t>
  </si>
  <si>
    <t>per share</t>
  </si>
  <si>
    <t>ARPU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</si>
  <si>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</si>
  <si>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</si>
  <si>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</si>
  <si>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</si>
  <si>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</si>
  <si>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</si>
  <si>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</si>
  <si>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</si>
  <si>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</si>
  <si>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</si>
  <si>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MAU y/y</t>
  </si>
  <si>
    <t>ARPU y/y</t>
  </si>
  <si>
    <t>Mortgages y/y</t>
  </si>
  <si>
    <t>Q118</t>
  </si>
  <si>
    <t>Q218</t>
  </si>
  <si>
    <t>Q418</t>
  </si>
  <si>
    <t>Q119</t>
  </si>
  <si>
    <t>Q219</t>
  </si>
  <si>
    <t>Q319</t>
  </si>
  <si>
    <t>Q419</t>
  </si>
  <si>
    <t>31/3/2018</t>
  </si>
  <si>
    <t>30/6/2018</t>
  </si>
  <si>
    <t>30/9/2018</t>
  </si>
  <si>
    <t>31/12/2018</t>
  </si>
  <si>
    <t>StreetEasy</t>
  </si>
  <si>
    <t>Rentals</t>
  </si>
  <si>
    <t>Other</t>
  </si>
  <si>
    <t>Homes</t>
  </si>
  <si>
    <t>Homes y/y</t>
  </si>
  <si>
    <t>Trulia</t>
  </si>
  <si>
    <t>HotPads</t>
  </si>
  <si>
    <t>Naked Apartments</t>
  </si>
  <si>
    <t>31/3/2019</t>
  </si>
  <si>
    <t>Risk-free rate + market premium (opportunity cost)</t>
  </si>
  <si>
    <t>http://www.worldgovernmentbonds.com/country/united-states/</t>
  </si>
  <si>
    <t>Net present value on future net income (terminal value)</t>
  </si>
  <si>
    <t>Products</t>
  </si>
  <si>
    <t>Zillow</t>
  </si>
  <si>
    <t>30/6/2019</t>
  </si>
  <si>
    <t>30/9/2019</t>
  </si>
  <si>
    <t>31/12/2019</t>
  </si>
  <si>
    <t>340-357</t>
  </si>
  <si>
    <t>IMT</t>
  </si>
  <si>
    <t>IMT y/y</t>
  </si>
  <si>
    <t>https://www.zillow.com/</t>
  </si>
  <si>
    <t>https://streeteasy.com/</t>
  </si>
  <si>
    <t>https://www.trulia.com/</t>
  </si>
  <si>
    <t>Brands</t>
  </si>
  <si>
    <t>https://hotpads.com/</t>
  </si>
  <si>
    <t>https://www.nakedapartments.com/</t>
  </si>
  <si>
    <t>Mortech</t>
  </si>
  <si>
    <t>Real estate pricing software</t>
  </si>
  <si>
    <t>Real estate listings</t>
  </si>
  <si>
    <t>Rentals in NYC</t>
  </si>
  <si>
    <t>No fee owner rentals in NYC</t>
  </si>
  <si>
    <t>https://www.mortech.com/</t>
  </si>
  <si>
    <t>dotloop</t>
  </si>
  <si>
    <t>Real estate transaction management</t>
  </si>
  <si>
    <t>https://www.dotloop.com/</t>
  </si>
  <si>
    <t>Bridge Interactive</t>
  </si>
  <si>
    <t>Marketing software</t>
  </si>
  <si>
    <t>https://www.bridgeinteractive.com/</t>
  </si>
  <si>
    <t>1 307-1 324</t>
  </si>
  <si>
    <t>OE y/y</t>
  </si>
  <si>
    <t>BADWILL</t>
  </si>
  <si>
    <t>KPI changed</t>
  </si>
  <si>
    <t>Q220</t>
  </si>
  <si>
    <t>Q320</t>
  </si>
  <si>
    <t>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</si>
</sst>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/>
    <xf numFmtId="3" fontId="7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4" fontId="6" fillId="0" borderId="0" xfId="0" applyNumberFormat="1" applyFont="1" applyBorder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4" fontId="6" fillId="2" borderId="0" xfId="0" applyNumberFormat="1" applyFont="1" applyFill="1" applyBorder="1"/>
    <xf numFmtId="0" fontId="8" fillId="0" borderId="0" xfId="0" applyFont="1" applyBorder="1"/>
    <xf numFmtId="4" fontId="6" fillId="2" borderId="0" xfId="0" applyNumberFormat="1" applyFont="1" applyFill="1"/>
    <xf numFmtId="9" fontId="6" fillId="0" borderId="0" xfId="0" applyNumberFormat="1" applyFont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right"/>
    </xf>
    <xf numFmtId="0" fontId="6" fillId="0" borderId="1" xfId="0" applyFont="1" applyBorder="1"/>
    <xf numFmtId="3" fontId="6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4" fontId="6" fillId="0" borderId="0" xfId="0" applyNumberFormat="1" applyFont="1"/>
    <xf numFmtId="3" fontId="6" fillId="0" borderId="0" xfId="0" applyNumberFormat="1" applyFont="1" applyFill="1" applyBorder="1" applyAlignment="1">
      <alignment horizontal="right"/>
    </xf>
    <xf numFmtId="0" fontId="5" fillId="0" borderId="0" xfId="4" applyFont="1"/>
    <xf numFmtId="9" fontId="7" fillId="0" borderId="0" xfId="1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right"/>
    </xf>
    <xf numFmtId="3" fontId="6" fillId="0" borderId="1" xfId="0" applyNumberFormat="1" applyFont="1" applyBorder="1"/>
    <xf numFmtId="4" fontId="6" fillId="0" borderId="1" xfId="0" applyNumberFormat="1" applyFont="1" applyBorder="1"/>
    <xf numFmtId="3" fontId="8" fillId="0" borderId="0" xfId="0" applyNumberFormat="1" applyFont="1" applyBorder="1" applyAlignment="1">
      <alignment horizontal="left"/>
    </xf>
    <xf numFmtId="0" fontId="5" fillId="0" borderId="0" xfId="4"/>
    <xf numFmtId="0" fontId="9" fillId="0" borderId="0" xfId="0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3" fontId="8" fillId="0" borderId="0" xfId="0" applyNumberFormat="1" applyFont="1" applyAlignment="1">
      <alignment horizontal="left"/>
    </xf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3" fontId="7" fillId="0" borderId="0" xfId="0" applyNumberFormat="1" applyFont="1"/>
    <xf numFmtId="14" fontId="6" fillId="0" borderId="0" xfId="0" applyNumberFormat="1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8</xdr:row>
      <xdr:rowOff>12700</xdr:rowOff>
    </xdr:from>
    <xdr:to>
      <xdr:col>6</xdr:col>
      <xdr:colOff>177800</xdr:colOff>
      <xdr:row>71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89600" y="1333500"/>
          <a:ext cx="0" cy="10045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229306</xdr:colOff>
      <xdr:row>1</xdr:row>
      <xdr:rowOff>14111</xdr:rowOff>
    </xdr:from>
    <xdr:to>
      <xdr:col>24</xdr:col>
      <xdr:colOff>229306</xdr:colOff>
      <xdr:row>63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97473" y="183444"/>
          <a:ext cx="0" cy="1048455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ich_Barton" TargetMode="External"/><Relationship Id="rId2" Type="http://schemas.openxmlformats.org/officeDocument/2006/relationships/hyperlink" Target="https://investors.zillowgroup.com/investors/overview/default.aspx" TargetMode="External"/><Relationship Id="rId1" Type="http://schemas.openxmlformats.org/officeDocument/2006/relationships/hyperlink" Target="https://en.wikipedia.org/wiki/Rich_Barto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worldgovernmentbonds.com/country/united-stat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17640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dgeinteractive.com/" TargetMode="External"/><Relationship Id="rId3" Type="http://schemas.openxmlformats.org/officeDocument/2006/relationships/hyperlink" Target="https://www.trulia.com/" TargetMode="External"/><Relationship Id="rId7" Type="http://schemas.openxmlformats.org/officeDocument/2006/relationships/hyperlink" Target="https://www.dotloop.com/" TargetMode="External"/><Relationship Id="rId2" Type="http://schemas.openxmlformats.org/officeDocument/2006/relationships/hyperlink" Target="https://streeteasy.com/" TargetMode="External"/><Relationship Id="rId1" Type="http://schemas.openxmlformats.org/officeDocument/2006/relationships/hyperlink" Target="https://www.zillow.com/" TargetMode="External"/><Relationship Id="rId6" Type="http://schemas.openxmlformats.org/officeDocument/2006/relationships/hyperlink" Target="https://www.mortech.com/" TargetMode="External"/><Relationship Id="rId5" Type="http://schemas.openxmlformats.org/officeDocument/2006/relationships/hyperlink" Target="https://www.nakedapartments.com/" TargetMode="External"/><Relationship Id="rId4" Type="http://schemas.openxmlformats.org/officeDocument/2006/relationships/hyperlink" Target="https://hotpa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71"/>
  <sheetViews>
    <sheetView tabSelected="1" zoomScale="120" zoomScaleNormal="120" workbookViewId="0">
      <pane xSplit="1" ySplit="9" topLeftCell="F10" activePane="bottomRight" state="frozen"/>
      <selection pane="topRight" activeCell="B1" sqref="B1"/>
      <selection pane="bottomLeft" activeCell="A11" sqref="A11"/>
      <selection pane="bottomRight" activeCell="K19" sqref="K19"/>
    </sheetView>
  </sheetViews>
  <sheetFormatPr baseColWidth="10" defaultRowHeight="13" x14ac:dyDescent="0.15"/>
  <cols>
    <col min="1" max="1" width="18.1640625" style="4" bestFit="1" customWidth="1"/>
    <col min="2" max="16384" width="10.83203125" style="4"/>
  </cols>
  <sheetData>
    <row r="1" spans="1:122" x14ac:dyDescent="0.15">
      <c r="A1" s="56" t="s">
        <v>60</v>
      </c>
      <c r="B1" s="9" t="s">
        <v>58</v>
      </c>
    </row>
    <row r="2" spans="1:122" x14ac:dyDescent="0.15">
      <c r="B2" s="4" t="s">
        <v>65</v>
      </c>
      <c r="C2" s="24">
        <v>107.21</v>
      </c>
      <c r="D2" s="72">
        <v>44152</v>
      </c>
      <c r="E2" s="25" t="s">
        <v>29</v>
      </c>
      <c r="F2" s="26">
        <v>-0.01</v>
      </c>
      <c r="I2" s="47"/>
    </row>
    <row r="3" spans="1:122" x14ac:dyDescent="0.15">
      <c r="A3" s="9" t="s">
        <v>61</v>
      </c>
      <c r="B3" s="4" t="s">
        <v>17</v>
      </c>
      <c r="C3" s="27">
        <f>Reports!X29</f>
        <v>242.63200000000001</v>
      </c>
      <c r="D3" s="4" t="s">
        <v>139</v>
      </c>
      <c r="E3" s="25" t="s">
        <v>30</v>
      </c>
      <c r="F3" s="26">
        <v>0.02</v>
      </c>
      <c r="G3" s="28" t="s">
        <v>67</v>
      </c>
      <c r="I3" s="47"/>
    </row>
    <row r="4" spans="1:122" x14ac:dyDescent="0.15">
      <c r="A4" s="56" t="s">
        <v>63</v>
      </c>
      <c r="B4" s="4" t="s">
        <v>68</v>
      </c>
      <c r="C4" s="29">
        <f>C2*C3</f>
        <v>26012.576719999997</v>
      </c>
      <c r="E4" s="25" t="s">
        <v>31</v>
      </c>
      <c r="F4" s="26">
        <f>6%</f>
        <v>0.06</v>
      </c>
      <c r="G4" s="28" t="s">
        <v>105</v>
      </c>
      <c r="I4" s="36"/>
      <c r="L4" s="56" t="s">
        <v>106</v>
      </c>
    </row>
    <row r="5" spans="1:122" x14ac:dyDescent="0.15">
      <c r="B5" s="4" t="s">
        <v>26</v>
      </c>
      <c r="C5" s="27">
        <f>Reports!X40</f>
        <v>1712</v>
      </c>
      <c r="D5" s="4" t="s">
        <v>139</v>
      </c>
      <c r="E5" s="25" t="s">
        <v>32</v>
      </c>
      <c r="F5" s="30">
        <f>NPV(F4,G34:DR34)</f>
        <v>39820.062339191674</v>
      </c>
      <c r="G5" s="28" t="s">
        <v>107</v>
      </c>
      <c r="I5" s="36"/>
    </row>
    <row r="6" spans="1:122" x14ac:dyDescent="0.15">
      <c r="A6" s="9" t="s">
        <v>62</v>
      </c>
      <c r="B6" s="4" t="s">
        <v>69</v>
      </c>
      <c r="C6" s="29">
        <f>C4-C5</f>
        <v>24300.576719999997</v>
      </c>
      <c r="E6" s="31" t="s">
        <v>33</v>
      </c>
      <c r="F6" s="32">
        <f>F5+C5</f>
        <v>41532.062339191674</v>
      </c>
      <c r="I6" s="36"/>
    </row>
    <row r="7" spans="1:122" x14ac:dyDescent="0.15">
      <c r="A7" s="56" t="s">
        <v>63</v>
      </c>
      <c r="B7" s="28" t="s">
        <v>70</v>
      </c>
      <c r="C7" s="33">
        <f>C6/C3</f>
        <v>100.15404695176233</v>
      </c>
      <c r="E7" s="34" t="s">
        <v>70</v>
      </c>
      <c r="F7" s="35">
        <f>F6/C3</f>
        <v>171.17306183517292</v>
      </c>
      <c r="G7" s="36">
        <f>F7/C2-1</f>
        <v>0.59661469858383476</v>
      </c>
    </row>
    <row r="8" spans="1:122" x14ac:dyDescent="0.15">
      <c r="A8" s="4" t="s">
        <v>64</v>
      </c>
    </row>
    <row r="9" spans="1:122" x14ac:dyDescent="0.15">
      <c r="B9" s="2">
        <v>2015</v>
      </c>
      <c r="C9" s="2">
        <v>2016</v>
      </c>
      <c r="D9" s="2">
        <v>2017</v>
      </c>
      <c r="E9" s="2">
        <f>D9+1</f>
        <v>2018</v>
      </c>
      <c r="F9" s="2">
        <f t="shared" ref="F9:U9" si="0">E9+1</f>
        <v>2019</v>
      </c>
      <c r="G9" s="2">
        <f t="shared" si="0"/>
        <v>2020</v>
      </c>
      <c r="H9" s="2">
        <f t="shared" si="0"/>
        <v>2021</v>
      </c>
      <c r="I9" s="2">
        <f t="shared" si="0"/>
        <v>2022</v>
      </c>
      <c r="J9" s="2">
        <f t="shared" si="0"/>
        <v>2023</v>
      </c>
      <c r="K9" s="2">
        <f t="shared" si="0"/>
        <v>2024</v>
      </c>
      <c r="L9" s="2">
        <f t="shared" si="0"/>
        <v>2025</v>
      </c>
      <c r="M9" s="2">
        <f t="shared" si="0"/>
        <v>2026</v>
      </c>
      <c r="N9" s="2">
        <f t="shared" si="0"/>
        <v>2027</v>
      </c>
      <c r="O9" s="2">
        <f t="shared" si="0"/>
        <v>2028</v>
      </c>
      <c r="P9" s="2">
        <f t="shared" si="0"/>
        <v>2029</v>
      </c>
      <c r="Q9" s="2">
        <f t="shared" si="0"/>
        <v>2030</v>
      </c>
      <c r="R9" s="2">
        <f t="shared" si="0"/>
        <v>2031</v>
      </c>
      <c r="S9" s="2">
        <f t="shared" si="0"/>
        <v>2032</v>
      </c>
      <c r="T9" s="2">
        <f t="shared" si="0"/>
        <v>2033</v>
      </c>
      <c r="U9" s="2">
        <f t="shared" si="0"/>
        <v>2034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spans="1:122" x14ac:dyDescent="0.15">
      <c r="A10" s="4" t="s">
        <v>114</v>
      </c>
      <c r="B10" s="2"/>
      <c r="C10" s="2"/>
      <c r="D10" s="2"/>
      <c r="E10" s="3">
        <f>SUM(Reports!N3:Q3)</f>
        <v>1202</v>
      </c>
      <c r="F10" s="3">
        <f>SUM(Reports!R3:U3)</f>
        <v>1277</v>
      </c>
      <c r="G10" s="3">
        <f>F10*1.1</f>
        <v>1404.7</v>
      </c>
      <c r="H10" s="3">
        <f t="shared" ref="H10:K10" si="1">G10*1.1</f>
        <v>1545.17</v>
      </c>
      <c r="I10" s="3">
        <f t="shared" si="1"/>
        <v>1699.6870000000001</v>
      </c>
      <c r="J10" s="3">
        <f t="shared" si="1"/>
        <v>1869.6557000000003</v>
      </c>
      <c r="K10" s="3">
        <f t="shared" si="1"/>
        <v>2056.6212700000005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spans="1:122" x14ac:dyDescent="0.15">
      <c r="A11" s="4" t="s">
        <v>99</v>
      </c>
      <c r="B11" s="6"/>
      <c r="C11" s="6"/>
      <c r="D11" s="3"/>
      <c r="E11" s="3">
        <f>SUM(Reports!N4:Q4)</f>
        <v>52.347000000000001</v>
      </c>
      <c r="F11" s="3">
        <f>SUM(Reports!R4:U4)</f>
        <v>1365</v>
      </c>
      <c r="G11" s="3">
        <f>F11*1.5</f>
        <v>2047.5</v>
      </c>
      <c r="H11" s="3">
        <f>G11*1.4</f>
        <v>2866.5</v>
      </c>
      <c r="I11" s="3">
        <f>H11*1.35</f>
        <v>3869.7750000000001</v>
      </c>
      <c r="J11" s="3">
        <f>I11*1.3</f>
        <v>5030.7075000000004</v>
      </c>
      <c r="K11" s="3">
        <f>J11*1.25</f>
        <v>6288.3843750000005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spans="1:122" x14ac:dyDescent="0.15">
      <c r="A12" s="4" t="s">
        <v>55</v>
      </c>
      <c r="B12" s="6">
        <f>SUM(Reports!B5:E5)</f>
        <v>41.231999999999999</v>
      </c>
      <c r="C12" s="6">
        <f>SUM(Reports!F5:I5)</f>
        <v>71.13300000000001</v>
      </c>
      <c r="D12" s="3">
        <f>SUM(Reports!J5:M5)</f>
        <v>80.591000000000008</v>
      </c>
      <c r="E12" s="3">
        <f>SUM(Reports!N5:Q5)</f>
        <v>79.28</v>
      </c>
      <c r="F12" s="3">
        <f>SUM(Reports!R5:U5)</f>
        <v>100</v>
      </c>
      <c r="G12" s="3">
        <f>F12*1.2</f>
        <v>120</v>
      </c>
      <c r="H12" s="3">
        <f t="shared" ref="H12:K12" si="2">G12*1.2</f>
        <v>144</v>
      </c>
      <c r="I12" s="3">
        <f t="shared" si="2"/>
        <v>172.79999999999998</v>
      </c>
      <c r="J12" s="3">
        <f t="shared" si="2"/>
        <v>207.35999999999999</v>
      </c>
      <c r="K12" s="3">
        <f t="shared" si="2"/>
        <v>248.83199999999997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x14ac:dyDescent="0.15">
      <c r="B13" s="6"/>
      <c r="C13" s="6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spans="1:122" x14ac:dyDescent="0.15">
      <c r="A14" s="4" t="s">
        <v>53</v>
      </c>
      <c r="B14" s="6">
        <f>SUM(Reports!B7:E7)</f>
        <v>469.93300000000005</v>
      </c>
      <c r="C14" s="6">
        <f>SUM(Reports!F7:I7)</f>
        <v>604.29200000000003</v>
      </c>
      <c r="D14" s="3">
        <f>SUM(Reports!J7:M7)</f>
        <v>761.59399999999994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spans="1:122" x14ac:dyDescent="0.15">
      <c r="A15" s="4" t="s">
        <v>97</v>
      </c>
      <c r="B15" s="6">
        <f>SUM(Reports!B8:E8)</f>
        <v>0</v>
      </c>
      <c r="C15" s="6">
        <f>SUM(Reports!F8:I8)</f>
        <v>0</v>
      </c>
      <c r="D15" s="3">
        <f>SUM(Reports!J8:M8)</f>
        <v>73.692999999999998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spans="1:122" x14ac:dyDescent="0.15">
      <c r="A16" s="4" t="s">
        <v>98</v>
      </c>
      <c r="B16" s="6">
        <f>SUM(Reports!B9:E9)</f>
        <v>0</v>
      </c>
      <c r="C16" s="6">
        <f>SUM(Reports!F9:I9)</f>
        <v>0</v>
      </c>
      <c r="D16" s="3">
        <f>SUM(Reports!J9:M9)</f>
        <v>96.616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spans="1:122" x14ac:dyDescent="0.15">
      <c r="A17" s="28" t="s">
        <v>54</v>
      </c>
      <c r="B17" s="6">
        <f>SUM(Reports!B10:E10)</f>
        <v>44.739000000000004</v>
      </c>
      <c r="C17" s="6">
        <f>SUM(Reports!F10:I10)</f>
        <v>102.63500000000001</v>
      </c>
      <c r="D17" s="3">
        <f>SUM(Reports!J10:M10)</f>
        <v>47.564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spans="1:122" x14ac:dyDescent="0.15">
      <c r="A18" s="28" t="s">
        <v>56</v>
      </c>
      <c r="B18" s="6">
        <f>SUM(Reports!B11:E11)</f>
        <v>88.77300000000001</v>
      </c>
      <c r="C18" s="6">
        <f>SUM(Reports!F11:I11)</f>
        <v>68.529000000000011</v>
      </c>
      <c r="D18" s="3">
        <f>SUM(Reports!J11:M11)</f>
        <v>16.736000000000001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spans="1:122" x14ac:dyDescent="0.15">
      <c r="A19" s="28"/>
      <c r="B19" s="6"/>
      <c r="C19" s="6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s="47" customFormat="1" x14ac:dyDescent="0.15">
      <c r="A20" s="47" t="s">
        <v>57</v>
      </c>
      <c r="B20" s="6">
        <f>Reports!E13</f>
        <v>124</v>
      </c>
      <c r="C20" s="6">
        <f>Reports!I13</f>
        <v>140.1</v>
      </c>
      <c r="D20" s="3">
        <f>Reports!M13</f>
        <v>151.6</v>
      </c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</row>
    <row r="21" spans="1:122" s="54" customFormat="1" x14ac:dyDescent="0.15">
      <c r="A21" s="54" t="s">
        <v>71</v>
      </c>
      <c r="B21" s="50">
        <f>SUM(B10:B18)/B20</f>
        <v>5.1990080645161303</v>
      </c>
      <c r="C21" s="50">
        <f>SUM(C10:C18)/C20</f>
        <v>6.042748037116346</v>
      </c>
      <c r="D21" s="50">
        <f>SUM(D10:D18)/D20</f>
        <v>7.1028627968337741</v>
      </c>
      <c r="E21" s="2"/>
      <c r="F21" s="2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</row>
    <row r="22" spans="1:122" s="58" customFormat="1" x14ac:dyDescent="0.15">
      <c r="E22" s="58" t="s">
        <v>134</v>
      </c>
    </row>
    <row r="23" spans="1:122" x14ac:dyDescent="0.15">
      <c r="A23" s="9" t="s">
        <v>4</v>
      </c>
      <c r="B23" s="37">
        <f>B20*B21</f>
        <v>644.67700000000013</v>
      </c>
      <c r="C23" s="37">
        <f>C20*C21</f>
        <v>846.58900000000006</v>
      </c>
      <c r="D23" s="37">
        <f>D20*D21</f>
        <v>1076.7940000000001</v>
      </c>
      <c r="E23" s="37">
        <f>SUM(E10:E12)</f>
        <v>1333.627</v>
      </c>
      <c r="F23" s="37">
        <f>SUM(F10:F12)</f>
        <v>2742</v>
      </c>
      <c r="G23" s="10">
        <f>SUM(G10:G12)</f>
        <v>3572.2</v>
      </c>
      <c r="H23" s="10">
        <f t="shared" ref="H23:J23" si="3">SUM(H10:H12)</f>
        <v>4555.67</v>
      </c>
      <c r="I23" s="10">
        <f t="shared" si="3"/>
        <v>5742.2620000000006</v>
      </c>
      <c r="J23" s="10">
        <f t="shared" si="3"/>
        <v>7107.7232000000004</v>
      </c>
      <c r="K23" s="10">
        <f>SUM(K10:K12)</f>
        <v>8593.8376450000014</v>
      </c>
      <c r="L23" s="10">
        <f>K23*1.1</f>
        <v>9453.2214095000018</v>
      </c>
      <c r="M23" s="10">
        <f t="shared" ref="M23:U23" si="4">L23*1.1</f>
        <v>10398.543550450002</v>
      </c>
      <c r="N23" s="10">
        <f t="shared" si="4"/>
        <v>11438.397905495003</v>
      </c>
      <c r="O23" s="10">
        <f t="shared" si="4"/>
        <v>12582.237696044505</v>
      </c>
      <c r="P23" s="10">
        <f t="shared" si="4"/>
        <v>13840.461465648958</v>
      </c>
      <c r="Q23" s="10">
        <f t="shared" si="4"/>
        <v>15224.507612213854</v>
      </c>
      <c r="R23" s="10">
        <f t="shared" si="4"/>
        <v>16746.958373435242</v>
      </c>
      <c r="S23" s="10">
        <f t="shared" si="4"/>
        <v>18421.654210778768</v>
      </c>
      <c r="T23" s="10">
        <f t="shared" si="4"/>
        <v>20263.819631856648</v>
      </c>
      <c r="U23" s="10">
        <f t="shared" si="4"/>
        <v>22290.201595042316</v>
      </c>
      <c r="V23" s="10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x14ac:dyDescent="0.15">
      <c r="A24" s="4" t="s">
        <v>5</v>
      </c>
      <c r="B24" s="6">
        <f>SUM(Reports!B17:E17)</f>
        <v>61.614000000000004</v>
      </c>
      <c r="C24" s="6">
        <f>SUM(Reports!F17:I17)</f>
        <v>70.221000000000004</v>
      </c>
      <c r="D24" s="3">
        <f>SUM(Reports!J17:M17)</f>
        <v>85.203000000000003</v>
      </c>
      <c r="E24" s="3">
        <f>SUM(Reports!N17:Q17)</f>
        <v>153.58999999999997</v>
      </c>
      <c r="F24" s="3">
        <f>SUM(Reports!R17:U17)</f>
        <v>1429.348</v>
      </c>
      <c r="G24" s="6">
        <f>G23-G25</f>
        <v>1862.1141231218087</v>
      </c>
      <c r="H24" s="6">
        <f t="shared" ref="H24" si="5">H23-H25</f>
        <v>2374.7767334646242</v>
      </c>
      <c r="I24" s="6">
        <f t="shared" ref="I24:Q24" si="6">I23-I25</f>
        <v>2993.3226495900803</v>
      </c>
      <c r="J24" s="6">
        <f t="shared" si="6"/>
        <v>3705.1093874812545</v>
      </c>
      <c r="K24" s="6">
        <f t="shared" si="6"/>
        <v>4479.790171482663</v>
      </c>
      <c r="L24" s="6">
        <f t="shared" si="6"/>
        <v>4927.7691886309294</v>
      </c>
      <c r="M24" s="6">
        <f t="shared" si="6"/>
        <v>5420.5461074940222</v>
      </c>
      <c r="N24" s="6">
        <f t="shared" si="6"/>
        <v>5962.600718243425</v>
      </c>
      <c r="O24" s="6">
        <f t="shared" si="6"/>
        <v>6558.860790067768</v>
      </c>
      <c r="P24" s="6">
        <f t="shared" si="6"/>
        <v>7214.7468690745454</v>
      </c>
      <c r="Q24" s="6">
        <f t="shared" si="6"/>
        <v>7936.2215559820006</v>
      </c>
      <c r="R24" s="6">
        <f t="shared" ref="R24:U24" si="7">R23-R25</f>
        <v>8729.8437115802026</v>
      </c>
      <c r="S24" s="6">
        <f t="shared" si="7"/>
        <v>9602.8280827382241</v>
      </c>
      <c r="T24" s="6">
        <f t="shared" si="7"/>
        <v>10563.110891012049</v>
      </c>
      <c r="U24" s="6">
        <f t="shared" si="7"/>
        <v>11619.421980113257</v>
      </c>
      <c r="V24" s="6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x14ac:dyDescent="0.15">
      <c r="A25" s="4" t="s">
        <v>6</v>
      </c>
      <c r="B25" s="39">
        <f>B23-B24</f>
        <v>583.0630000000001</v>
      </c>
      <c r="C25" s="39">
        <f>C23-C24</f>
        <v>776.36800000000005</v>
      </c>
      <c r="D25" s="39">
        <f>D23-D24</f>
        <v>991.59100000000012</v>
      </c>
      <c r="E25" s="39">
        <f>E23-E24</f>
        <v>1180.037</v>
      </c>
      <c r="F25" s="39">
        <f>F23-F24</f>
        <v>1312.652</v>
      </c>
      <c r="G25" s="6">
        <f>G23*F44</f>
        <v>1710.0858768781911</v>
      </c>
      <c r="H25" s="6">
        <f>H23*G44</f>
        <v>2180.8932665353759</v>
      </c>
      <c r="I25" s="6">
        <f t="shared" ref="I25:U25" si="8">I23*H44</f>
        <v>2748.9393504099203</v>
      </c>
      <c r="J25" s="6">
        <f t="shared" si="8"/>
        <v>3402.6138125187458</v>
      </c>
      <c r="K25" s="6">
        <f t="shared" si="8"/>
        <v>4114.0474735173384</v>
      </c>
      <c r="L25" s="6">
        <f t="shared" si="8"/>
        <v>4525.4522208690723</v>
      </c>
      <c r="M25" s="6">
        <f t="shared" si="8"/>
        <v>4977.9974429559797</v>
      </c>
      <c r="N25" s="6">
        <f t="shared" si="8"/>
        <v>5475.7971872515782</v>
      </c>
      <c r="O25" s="6">
        <f t="shared" si="8"/>
        <v>6023.3769059767374</v>
      </c>
      <c r="P25" s="6">
        <f t="shared" si="8"/>
        <v>6625.7145965744121</v>
      </c>
      <c r="Q25" s="6">
        <f t="shared" si="8"/>
        <v>7288.2860562318538</v>
      </c>
      <c r="R25" s="6">
        <f t="shared" si="8"/>
        <v>8017.1146618550392</v>
      </c>
      <c r="S25" s="6">
        <f t="shared" si="8"/>
        <v>8818.8261280405441</v>
      </c>
      <c r="T25" s="6">
        <f t="shared" si="8"/>
        <v>9700.7087408445987</v>
      </c>
      <c r="U25" s="6">
        <f t="shared" si="8"/>
        <v>10670.779614929059</v>
      </c>
      <c r="V25" s="6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x14ac:dyDescent="0.15">
      <c r="A26" s="4" t="s">
        <v>7</v>
      </c>
      <c r="B26" s="6">
        <f>SUM(Reports!B19:E19)</f>
        <v>198.565</v>
      </c>
      <c r="C26" s="6">
        <f>SUM(Reports!F19:I19)</f>
        <v>260.32</v>
      </c>
      <c r="D26" s="3">
        <f>SUM(Reports!J19:M19)</f>
        <v>319.98500000000001</v>
      </c>
      <c r="E26" s="3">
        <f>SUM(Reports!N19:Q19)</f>
        <v>410.81800000000004</v>
      </c>
      <c r="F26" s="3">
        <f>SUM(Reports!R19:U19)</f>
        <v>476.77</v>
      </c>
      <c r="G26" s="6">
        <f>F26*1.15</f>
        <v>548.28549999999996</v>
      </c>
      <c r="H26" s="6">
        <f t="shared" ref="H26:K26" si="9">G26*1.15</f>
        <v>630.52832499999988</v>
      </c>
      <c r="I26" s="6">
        <f t="shared" si="9"/>
        <v>725.1075737499998</v>
      </c>
      <c r="J26" s="6">
        <f t="shared" si="9"/>
        <v>833.87370981249967</v>
      </c>
      <c r="K26" s="6">
        <f t="shared" si="9"/>
        <v>958.9547662843745</v>
      </c>
      <c r="L26" s="6">
        <f>K26*1.1</f>
        <v>1054.8502429128121</v>
      </c>
      <c r="M26" s="6">
        <f t="shared" ref="M26:U26" si="10">L26*1.1</f>
        <v>1160.3352672040933</v>
      </c>
      <c r="N26" s="6">
        <f t="shared" si="10"/>
        <v>1276.3687939245026</v>
      </c>
      <c r="O26" s="6">
        <f t="shared" si="10"/>
        <v>1404.0056733169529</v>
      </c>
      <c r="P26" s="6">
        <f t="shared" si="10"/>
        <v>1544.4062406486482</v>
      </c>
      <c r="Q26" s="6">
        <f t="shared" si="10"/>
        <v>1698.8468647135132</v>
      </c>
      <c r="R26" s="6">
        <f t="shared" si="10"/>
        <v>1868.7315511848647</v>
      </c>
      <c r="S26" s="6">
        <f t="shared" si="10"/>
        <v>2055.6047063033511</v>
      </c>
      <c r="T26" s="6">
        <f t="shared" si="10"/>
        <v>2261.1651769336863</v>
      </c>
      <c r="U26" s="6">
        <f t="shared" si="10"/>
        <v>2487.281694627055</v>
      </c>
      <c r="V26" s="6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x14ac:dyDescent="0.15">
      <c r="A27" s="4" t="s">
        <v>8</v>
      </c>
      <c r="B27" s="6">
        <f>SUM(Reports!B20:E20)</f>
        <v>307.089</v>
      </c>
      <c r="C27" s="6">
        <f>SUM(Reports!F20:I20)</f>
        <v>382.01900000000001</v>
      </c>
      <c r="D27" s="3">
        <f>SUM(Reports!J20:M20)</f>
        <v>448.20099999999996</v>
      </c>
      <c r="E27" s="3">
        <f>SUM(Reports!N20:Q20)</f>
        <v>552.62100000000009</v>
      </c>
      <c r="F27" s="3">
        <f>SUM(Reports!R20:U20)</f>
        <v>713.58699999999999</v>
      </c>
      <c r="G27" s="6">
        <f>F27*1.2</f>
        <v>856.30439999999999</v>
      </c>
      <c r="H27" s="6">
        <f t="shared" ref="H27:K27" si="11">G27*1.2</f>
        <v>1027.56528</v>
      </c>
      <c r="I27" s="6">
        <f t="shared" si="11"/>
        <v>1233.078336</v>
      </c>
      <c r="J27" s="6">
        <f t="shared" si="11"/>
        <v>1479.6940032</v>
      </c>
      <c r="K27" s="6">
        <f t="shared" si="11"/>
        <v>1775.63280384</v>
      </c>
      <c r="L27" s="6">
        <f t="shared" ref="L27" si="12">K27*1.05</f>
        <v>1864.4144440320001</v>
      </c>
      <c r="M27" s="6">
        <f t="shared" ref="M27" si="13">L27*1.05</f>
        <v>1957.6351662336001</v>
      </c>
      <c r="N27" s="6">
        <f t="shared" ref="N27" si="14">M27*1.05</f>
        <v>2055.5169245452803</v>
      </c>
      <c r="O27" s="6">
        <f t="shared" ref="O27" si="15">N27*1.05</f>
        <v>2158.2927707725444</v>
      </c>
      <c r="P27" s="6">
        <f t="shared" ref="P27" si="16">O27*1.05</f>
        <v>2266.2074093111719</v>
      </c>
      <c r="Q27" s="6">
        <f t="shared" ref="Q27" si="17">P27*1.05</f>
        <v>2379.5177797767305</v>
      </c>
      <c r="R27" s="6">
        <f t="shared" ref="R27" si="18">Q27*1.05</f>
        <v>2498.4936687655672</v>
      </c>
      <c r="S27" s="6">
        <f t="shared" ref="S27" si="19">R27*1.05</f>
        <v>2623.4183522038456</v>
      </c>
      <c r="T27" s="6">
        <f t="shared" ref="T27" si="20">S27*1.05</f>
        <v>2754.5892698140378</v>
      </c>
      <c r="U27" s="6">
        <f t="shared" ref="U27" si="21">T27*1.05</f>
        <v>2892.3187333047399</v>
      </c>
      <c r="V27" s="6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x14ac:dyDescent="0.15">
      <c r="A28" s="4" t="s">
        <v>9</v>
      </c>
      <c r="B28" s="6">
        <f>SUM(Reports!B21:E21)</f>
        <v>226.94</v>
      </c>
      <c r="C28" s="6">
        <f>SUM(Reports!F21:I21)</f>
        <v>326.88299999999998</v>
      </c>
      <c r="D28" s="3">
        <f>SUM(Reports!J21:M21)</f>
        <v>385.279</v>
      </c>
      <c r="E28" s="3">
        <f>SUM(Reports!N21:Q21)</f>
        <v>345.59999999999997</v>
      </c>
      <c r="F28" s="3">
        <f>SUM(Reports!R21:U21)</f>
        <v>366.12599999999998</v>
      </c>
      <c r="G28" s="6">
        <f>F28*1.1</f>
        <v>402.73860000000002</v>
      </c>
      <c r="H28" s="6">
        <f t="shared" ref="H28:K28" si="22">G28*1.1</f>
        <v>443.01246000000003</v>
      </c>
      <c r="I28" s="6">
        <f t="shared" si="22"/>
        <v>487.31370600000008</v>
      </c>
      <c r="J28" s="6">
        <f t="shared" si="22"/>
        <v>536.04507660000013</v>
      </c>
      <c r="K28" s="6">
        <f t="shared" si="22"/>
        <v>589.64958426000021</v>
      </c>
      <c r="L28" s="6">
        <f t="shared" ref="L28" si="23">K28*0.98</f>
        <v>577.85659257480017</v>
      </c>
      <c r="M28" s="6">
        <f t="shared" ref="M28" si="24">L28*0.98</f>
        <v>566.29946072330415</v>
      </c>
      <c r="N28" s="6">
        <f t="shared" ref="N28" si="25">M28*0.98</f>
        <v>554.97347150883809</v>
      </c>
      <c r="O28" s="6">
        <f t="shared" ref="O28" si="26">N28*0.98</f>
        <v>543.87400207866131</v>
      </c>
      <c r="P28" s="6">
        <f t="shared" ref="P28" si="27">O28*0.98</f>
        <v>532.99652203708808</v>
      </c>
      <c r="Q28" s="6">
        <f t="shared" ref="Q28" si="28">P28*0.98</f>
        <v>522.33659159634635</v>
      </c>
      <c r="R28" s="6">
        <f t="shared" ref="R28" si="29">Q28*0.98</f>
        <v>511.88985976441944</v>
      </c>
      <c r="S28" s="6">
        <f t="shared" ref="S28" si="30">R28*0.98</f>
        <v>501.65206256913103</v>
      </c>
      <c r="T28" s="6">
        <f t="shared" ref="T28" si="31">S28*0.98</f>
        <v>491.61902131774838</v>
      </c>
      <c r="U28" s="6">
        <f t="shared" ref="U28" si="32">T28*0.98</f>
        <v>481.7866408913934</v>
      </c>
      <c r="V28" s="6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x14ac:dyDescent="0.15">
      <c r="A29" s="4" t="s">
        <v>10</v>
      </c>
      <c r="B29" s="39">
        <f t="shared" ref="B29:H29" si="33">SUM(B26:B28)</f>
        <v>732.59400000000005</v>
      </c>
      <c r="C29" s="39">
        <f t="shared" si="33"/>
        <v>969.22199999999998</v>
      </c>
      <c r="D29" s="39">
        <f t="shared" si="33"/>
        <v>1153.4649999999999</v>
      </c>
      <c r="E29" s="39">
        <f t="shared" si="33"/>
        <v>1309.039</v>
      </c>
      <c r="F29" s="39">
        <f t="shared" si="33"/>
        <v>1556.4829999999999</v>
      </c>
      <c r="G29" s="6">
        <f t="shared" si="33"/>
        <v>1807.3285000000001</v>
      </c>
      <c r="H29" s="6">
        <f t="shared" si="33"/>
        <v>2101.1060649999999</v>
      </c>
      <c r="I29" s="6">
        <f t="shared" ref="I29:Q29" si="34">SUM(I26:I28)</f>
        <v>2445.49961575</v>
      </c>
      <c r="J29" s="6">
        <f t="shared" si="34"/>
        <v>2849.6127896124999</v>
      </c>
      <c r="K29" s="6">
        <f t="shared" si="34"/>
        <v>3324.2371543843747</v>
      </c>
      <c r="L29" s="6">
        <f t="shared" si="34"/>
        <v>3497.1212795196125</v>
      </c>
      <c r="M29" s="6">
        <f t="shared" si="34"/>
        <v>3684.2698941609974</v>
      </c>
      <c r="N29" s="6">
        <f t="shared" si="34"/>
        <v>3886.8591899786206</v>
      </c>
      <c r="O29" s="6">
        <f t="shared" si="34"/>
        <v>4106.1724461681588</v>
      </c>
      <c r="P29" s="6">
        <f t="shared" si="34"/>
        <v>4343.6101719969083</v>
      </c>
      <c r="Q29" s="6">
        <f t="shared" si="34"/>
        <v>4600.7012360865901</v>
      </c>
      <c r="R29" s="6">
        <f t="shared" ref="R29:U29" si="35">SUM(R26:R28)</f>
        <v>4879.1150797148512</v>
      </c>
      <c r="S29" s="6">
        <f t="shared" si="35"/>
        <v>5180.6751210763277</v>
      </c>
      <c r="T29" s="6">
        <f t="shared" si="35"/>
        <v>5507.3734680654725</v>
      </c>
      <c r="U29" s="6">
        <f t="shared" si="35"/>
        <v>5861.3870688231882</v>
      </c>
      <c r="V29" s="6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x14ac:dyDescent="0.15">
      <c r="A30" s="4" t="s">
        <v>11</v>
      </c>
      <c r="B30" s="39">
        <f>B25-B29</f>
        <v>-149.53099999999995</v>
      </c>
      <c r="C30" s="39">
        <f>C25-C29</f>
        <v>-192.85399999999993</v>
      </c>
      <c r="D30" s="39">
        <f>D25-D29</f>
        <v>-161.8739999999998</v>
      </c>
      <c r="E30" s="39">
        <f>E25-E29</f>
        <v>-129.00199999999995</v>
      </c>
      <c r="F30" s="39">
        <f>F25-F29</f>
        <v>-243.8309999999999</v>
      </c>
      <c r="G30" s="6">
        <f t="shared" ref="G30:H30" si="36">G25-G29</f>
        <v>-97.242623121808947</v>
      </c>
      <c r="H30" s="6">
        <f t="shared" si="36"/>
        <v>79.787201535375971</v>
      </c>
      <c r="I30" s="6">
        <f t="shared" ref="I30:Q30" si="37">I25-I29</f>
        <v>303.4397346599203</v>
      </c>
      <c r="J30" s="6">
        <f t="shared" si="37"/>
        <v>553.00102290624591</v>
      </c>
      <c r="K30" s="6">
        <f t="shared" si="37"/>
        <v>789.81031913296374</v>
      </c>
      <c r="L30" s="6">
        <f t="shared" si="37"/>
        <v>1028.3309413494599</v>
      </c>
      <c r="M30" s="6">
        <f t="shared" si="37"/>
        <v>1293.7275487949823</v>
      </c>
      <c r="N30" s="6">
        <f t="shared" si="37"/>
        <v>1588.9379972729575</v>
      </c>
      <c r="O30" s="6">
        <f t="shared" si="37"/>
        <v>1917.2044598085786</v>
      </c>
      <c r="P30" s="6">
        <f t="shared" si="37"/>
        <v>2282.1044245775038</v>
      </c>
      <c r="Q30" s="6">
        <f t="shared" si="37"/>
        <v>2687.5848201452636</v>
      </c>
      <c r="R30" s="6">
        <f t="shared" ref="R30:U30" si="38">R25-R29</f>
        <v>3137.9995821401881</v>
      </c>
      <c r="S30" s="6">
        <f t="shared" si="38"/>
        <v>3638.1510069642163</v>
      </c>
      <c r="T30" s="6">
        <f t="shared" si="38"/>
        <v>4193.3352727791262</v>
      </c>
      <c r="U30" s="6">
        <f t="shared" si="38"/>
        <v>4809.3925461058707</v>
      </c>
      <c r="V30" s="6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x14ac:dyDescent="0.15">
      <c r="A31" s="4" t="s">
        <v>12</v>
      </c>
      <c r="B31" s="6">
        <f>SUM(Reports!B24:E24)</f>
        <v>-3.9880000000000004</v>
      </c>
      <c r="C31" s="6">
        <f>SUM(Reports!F24:I24)</f>
        <v>-27.454000000000004</v>
      </c>
      <c r="D31" s="3">
        <f>SUM(Reports!J24:M24)</f>
        <v>-22.131999999999998</v>
      </c>
      <c r="E31" s="6">
        <f>SUM(Reports!N24:Q24)</f>
        <v>-21.984999999999999</v>
      </c>
      <c r="F31" s="3">
        <f>SUM(Reports!R24:U24)</f>
        <v>-63.298000000000002</v>
      </c>
      <c r="G31" s="6">
        <f t="shared" ref="G31:U31" si="39">F48*$F$3</f>
        <v>17.38</v>
      </c>
      <c r="H31" s="6">
        <f t="shared" si="39"/>
        <v>16.022335406929248</v>
      </c>
      <c r="I31" s="6">
        <f t="shared" si="39"/>
        <v>17.651097534948438</v>
      </c>
      <c r="J31" s="6">
        <f t="shared" si="39"/>
        <v>23.109641682261209</v>
      </c>
      <c r="K31" s="6">
        <f t="shared" si="39"/>
        <v>32.903522980265834</v>
      </c>
      <c r="L31" s="6">
        <f t="shared" si="39"/>
        <v>46.889658296190738</v>
      </c>
      <c r="M31" s="6">
        <f t="shared" si="39"/>
        <v>65.168408490166797</v>
      </c>
      <c r="N31" s="6">
        <f t="shared" si="39"/>
        <v>88.269639764014315</v>
      </c>
      <c r="O31" s="6">
        <f t="shared" si="39"/>
        <v>116.78216959364283</v>
      </c>
      <c r="P31" s="6">
        <f t="shared" si="39"/>
        <v>151.3599422934806</v>
      </c>
      <c r="Q31" s="6">
        <f t="shared" si="39"/>
        <v>192.72883653028734</v>
      </c>
      <c r="R31" s="6">
        <f t="shared" si="39"/>
        <v>241.69416869377173</v>
      </c>
      <c r="S31" s="6">
        <f t="shared" si="39"/>
        <v>299.14896245794904</v>
      </c>
      <c r="T31" s="6">
        <f t="shared" si="39"/>
        <v>366.08306193812581</v>
      </c>
      <c r="U31" s="6">
        <f t="shared" si="39"/>
        <v>443.59317362831916</v>
      </c>
      <c r="V31" s="6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x14ac:dyDescent="0.15">
      <c r="A32" s="4" t="s">
        <v>13</v>
      </c>
      <c r="B32" s="39">
        <f>SUM(Reports!B25:E25)</f>
        <v>-153.51900000000006</v>
      </c>
      <c r="C32" s="39">
        <f>C30+C31</f>
        <v>-220.30799999999994</v>
      </c>
      <c r="D32" s="39">
        <f>D30+D31</f>
        <v>-184.0059999999998</v>
      </c>
      <c r="E32" s="39">
        <f>E30+E31</f>
        <v>-150.98699999999997</v>
      </c>
      <c r="F32" s="39">
        <f>F30+F31</f>
        <v>-307.12899999999991</v>
      </c>
      <c r="G32" s="6">
        <f t="shared" ref="G32:H32" si="40">G30+G31</f>
        <v>-79.862623121808952</v>
      </c>
      <c r="H32" s="6">
        <f t="shared" si="40"/>
        <v>95.809536942305215</v>
      </c>
      <c r="I32" s="6">
        <f t="shared" ref="I32:Q32" si="41">I30+I31</f>
        <v>321.09083219486877</v>
      </c>
      <c r="J32" s="6">
        <f t="shared" si="41"/>
        <v>576.11066458850712</v>
      </c>
      <c r="K32" s="6">
        <f t="shared" si="41"/>
        <v>822.71384211322959</v>
      </c>
      <c r="L32" s="6">
        <f t="shared" si="41"/>
        <v>1075.2205996456505</v>
      </c>
      <c r="M32" s="6">
        <f t="shared" si="41"/>
        <v>1358.8959572851491</v>
      </c>
      <c r="N32" s="6">
        <f t="shared" si="41"/>
        <v>1677.2076370369718</v>
      </c>
      <c r="O32" s="6">
        <f t="shared" si="41"/>
        <v>2033.9866294022213</v>
      </c>
      <c r="P32" s="6">
        <f t="shared" si="41"/>
        <v>2433.4643668709846</v>
      </c>
      <c r="Q32" s="6">
        <f t="shared" si="41"/>
        <v>2880.3136566755511</v>
      </c>
      <c r="R32" s="6">
        <f t="shared" ref="R32:U32" si="42">R30+R31</f>
        <v>3379.6937508339597</v>
      </c>
      <c r="S32" s="6">
        <f t="shared" si="42"/>
        <v>3937.2999694221653</v>
      </c>
      <c r="T32" s="6">
        <f t="shared" si="42"/>
        <v>4559.418334717252</v>
      </c>
      <c r="U32" s="6">
        <f t="shared" si="42"/>
        <v>5252.9857197341898</v>
      </c>
      <c r="V32" s="6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x14ac:dyDescent="0.15">
      <c r="A33" s="4" t="s">
        <v>14</v>
      </c>
      <c r="B33" s="6">
        <f>SUM(Reports!B26:E26)</f>
        <v>-4.6450000000000005</v>
      </c>
      <c r="C33" s="6">
        <f>SUM(Reports!F26:I26)</f>
        <v>0.12999999999999989</v>
      </c>
      <c r="D33" s="3">
        <f>SUM(Reports!J26:M26)</f>
        <v>-89.585999999999999</v>
      </c>
      <c r="E33" s="6">
        <f>SUM(Reports!N26:Q26)</f>
        <v>-31.101999999999997</v>
      </c>
      <c r="F33" s="3">
        <f>SUM(Reports!R26:U26)</f>
        <v>-3.5</v>
      </c>
      <c r="G33" s="6">
        <f t="shared" ref="G33:Q33" si="43">G32*0.15</f>
        <v>-11.979393468271342</v>
      </c>
      <c r="H33" s="6">
        <f t="shared" si="43"/>
        <v>14.371430541345783</v>
      </c>
      <c r="I33" s="6">
        <f t="shared" si="43"/>
        <v>48.163624829230315</v>
      </c>
      <c r="J33" s="6">
        <f t="shared" si="43"/>
        <v>86.416599688276065</v>
      </c>
      <c r="K33" s="6">
        <f t="shared" si="43"/>
        <v>123.40707631698443</v>
      </c>
      <c r="L33" s="6">
        <f t="shared" si="43"/>
        <v>161.28308994684758</v>
      </c>
      <c r="M33" s="6">
        <f t="shared" si="43"/>
        <v>203.83439359277236</v>
      </c>
      <c r="N33" s="6">
        <f t="shared" si="43"/>
        <v>251.58114555554576</v>
      </c>
      <c r="O33" s="6">
        <f t="shared" si="43"/>
        <v>305.09799441033317</v>
      </c>
      <c r="P33" s="6">
        <f t="shared" si="43"/>
        <v>365.0196550306477</v>
      </c>
      <c r="Q33" s="6">
        <f t="shared" si="43"/>
        <v>432.04704850133265</v>
      </c>
      <c r="R33" s="6">
        <f t="shared" ref="R33:U33" si="44">R32*0.15</f>
        <v>506.95406262509391</v>
      </c>
      <c r="S33" s="6">
        <f t="shared" si="44"/>
        <v>590.5949954133248</v>
      </c>
      <c r="T33" s="6">
        <f t="shared" si="44"/>
        <v>683.91275020758781</v>
      </c>
      <c r="U33" s="6">
        <f t="shared" si="44"/>
        <v>787.94785796012843</v>
      </c>
      <c r="V33" s="6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s="9" customFormat="1" x14ac:dyDescent="0.15">
      <c r="A34" s="9" t="s">
        <v>15</v>
      </c>
      <c r="B34" s="37">
        <f>B32-B33</f>
        <v>-148.87400000000005</v>
      </c>
      <c r="C34" s="37">
        <f>C32-C33</f>
        <v>-220.43799999999993</v>
      </c>
      <c r="D34" s="37">
        <f>D32-D33</f>
        <v>-94.419999999999803</v>
      </c>
      <c r="E34" s="37">
        <f t="shared" ref="E34:H34" si="45">E32-E33</f>
        <v>-119.88499999999996</v>
      </c>
      <c r="F34" s="37">
        <f t="shared" si="45"/>
        <v>-303.62899999999991</v>
      </c>
      <c r="G34" s="37">
        <f>G32-G33</f>
        <v>-67.883229653537612</v>
      </c>
      <c r="H34" s="37">
        <f t="shared" si="45"/>
        <v>81.438106400959427</v>
      </c>
      <c r="I34" s="37">
        <f t="shared" ref="I34:Q34" si="46">I32-I33</f>
        <v>272.92720736563842</v>
      </c>
      <c r="J34" s="37">
        <f t="shared" si="46"/>
        <v>489.69406490023107</v>
      </c>
      <c r="K34" s="37">
        <f t="shared" si="46"/>
        <v>699.30676579624514</v>
      </c>
      <c r="L34" s="37">
        <f t="shared" si="46"/>
        <v>913.93750969880296</v>
      </c>
      <c r="M34" s="37">
        <f t="shared" si="46"/>
        <v>1155.0615636923767</v>
      </c>
      <c r="N34" s="37">
        <f t="shared" si="46"/>
        <v>1425.626491481426</v>
      </c>
      <c r="O34" s="37">
        <f t="shared" si="46"/>
        <v>1728.888634991888</v>
      </c>
      <c r="P34" s="37">
        <f t="shared" si="46"/>
        <v>2068.4447118403368</v>
      </c>
      <c r="Q34" s="37">
        <f t="shared" si="46"/>
        <v>2448.2666081742186</v>
      </c>
      <c r="R34" s="37">
        <f t="shared" ref="R34:U34" si="47">R32-R33</f>
        <v>2872.739688208866</v>
      </c>
      <c r="S34" s="37">
        <f t="shared" si="47"/>
        <v>3346.7049740088405</v>
      </c>
      <c r="T34" s="37">
        <f t="shared" si="47"/>
        <v>3875.505584509664</v>
      </c>
      <c r="U34" s="37">
        <f t="shared" si="47"/>
        <v>4465.0378617740616</v>
      </c>
      <c r="V34" s="37">
        <f>U34*($F$2+1)</f>
        <v>4420.3874831563207</v>
      </c>
      <c r="W34" s="37">
        <f>V34*($F$2+1)</f>
        <v>4376.1836083247572</v>
      </c>
      <c r="X34" s="37">
        <f t="shared" ref="X34:CI34" si="48">W34*($F$2+1)</f>
        <v>4332.4217722415096</v>
      </c>
      <c r="Y34" s="37">
        <f t="shared" si="48"/>
        <v>4289.097554519095</v>
      </c>
      <c r="Z34" s="37">
        <f t="shared" si="48"/>
        <v>4246.2065789739036</v>
      </c>
      <c r="AA34" s="37">
        <f t="shared" si="48"/>
        <v>4203.7445131841641</v>
      </c>
      <c r="AB34" s="37">
        <f t="shared" si="48"/>
        <v>4161.707068052322</v>
      </c>
      <c r="AC34" s="37">
        <f t="shared" si="48"/>
        <v>4120.0899973717987</v>
      </c>
      <c r="AD34" s="37">
        <f t="shared" si="48"/>
        <v>4078.8890973980806</v>
      </c>
      <c r="AE34" s="37">
        <f t="shared" si="48"/>
        <v>4038.1002064240997</v>
      </c>
      <c r="AF34" s="37">
        <f t="shared" si="48"/>
        <v>3997.7192043598588</v>
      </c>
      <c r="AG34" s="37">
        <f t="shared" si="48"/>
        <v>3957.7420123162601</v>
      </c>
      <c r="AH34" s="37">
        <f t="shared" si="48"/>
        <v>3918.1645921930976</v>
      </c>
      <c r="AI34" s="37">
        <f t="shared" si="48"/>
        <v>3878.9829462711668</v>
      </c>
      <c r="AJ34" s="37">
        <f t="shared" si="48"/>
        <v>3840.1931168084552</v>
      </c>
      <c r="AK34" s="37">
        <f t="shared" si="48"/>
        <v>3801.7911856403707</v>
      </c>
      <c r="AL34" s="37">
        <f t="shared" si="48"/>
        <v>3763.7732737839669</v>
      </c>
      <c r="AM34" s="37">
        <f t="shared" si="48"/>
        <v>3726.1355410461274</v>
      </c>
      <c r="AN34" s="37">
        <f t="shared" si="48"/>
        <v>3688.874185635666</v>
      </c>
      <c r="AO34" s="37">
        <f t="shared" si="48"/>
        <v>3651.9854437793092</v>
      </c>
      <c r="AP34" s="37">
        <f t="shared" si="48"/>
        <v>3615.4655893415161</v>
      </c>
      <c r="AQ34" s="37">
        <f t="shared" si="48"/>
        <v>3579.310933448101</v>
      </c>
      <c r="AR34" s="37">
        <f t="shared" si="48"/>
        <v>3543.51782411362</v>
      </c>
      <c r="AS34" s="37">
        <f t="shared" si="48"/>
        <v>3508.0826458724837</v>
      </c>
      <c r="AT34" s="37">
        <f t="shared" si="48"/>
        <v>3473.0018194137588</v>
      </c>
      <c r="AU34" s="37">
        <f t="shared" si="48"/>
        <v>3438.271801219621</v>
      </c>
      <c r="AV34" s="37">
        <f t="shared" si="48"/>
        <v>3403.8890832074248</v>
      </c>
      <c r="AW34" s="37">
        <f t="shared" si="48"/>
        <v>3369.8501923753506</v>
      </c>
      <c r="AX34" s="37">
        <f t="shared" si="48"/>
        <v>3336.151690451597</v>
      </c>
      <c r="AY34" s="37">
        <f t="shared" si="48"/>
        <v>3302.7901735470809</v>
      </c>
      <c r="AZ34" s="37">
        <f t="shared" si="48"/>
        <v>3269.7622718116099</v>
      </c>
      <c r="BA34" s="37">
        <f t="shared" si="48"/>
        <v>3237.0646490934937</v>
      </c>
      <c r="BB34" s="37">
        <f t="shared" si="48"/>
        <v>3204.6940026025586</v>
      </c>
      <c r="BC34" s="37">
        <f t="shared" si="48"/>
        <v>3172.6470625765328</v>
      </c>
      <c r="BD34" s="37">
        <f t="shared" si="48"/>
        <v>3140.9205919507676</v>
      </c>
      <c r="BE34" s="37">
        <f t="shared" si="48"/>
        <v>3109.5113860312599</v>
      </c>
      <c r="BF34" s="37">
        <f t="shared" si="48"/>
        <v>3078.4162721709472</v>
      </c>
      <c r="BG34" s="37">
        <f t="shared" si="48"/>
        <v>3047.6321094492378</v>
      </c>
      <c r="BH34" s="37">
        <f t="shared" si="48"/>
        <v>3017.1557883547453</v>
      </c>
      <c r="BI34" s="37">
        <f t="shared" si="48"/>
        <v>2986.9842304711979</v>
      </c>
      <c r="BJ34" s="37">
        <f t="shared" si="48"/>
        <v>2957.1143881664857</v>
      </c>
      <c r="BK34" s="37">
        <f t="shared" si="48"/>
        <v>2927.543244284821</v>
      </c>
      <c r="BL34" s="37">
        <f t="shared" si="48"/>
        <v>2898.2678118419726</v>
      </c>
      <c r="BM34" s="37">
        <f t="shared" si="48"/>
        <v>2869.2851337235529</v>
      </c>
      <c r="BN34" s="37">
        <f t="shared" si="48"/>
        <v>2840.5922823863175</v>
      </c>
      <c r="BO34" s="37">
        <f t="shared" si="48"/>
        <v>2812.1863595624541</v>
      </c>
      <c r="BP34" s="37">
        <f t="shared" si="48"/>
        <v>2784.0644959668293</v>
      </c>
      <c r="BQ34" s="37">
        <f t="shared" si="48"/>
        <v>2756.2238510071611</v>
      </c>
      <c r="BR34" s="37">
        <f t="shared" si="48"/>
        <v>2728.6616124970897</v>
      </c>
      <c r="BS34" s="37">
        <f t="shared" si="48"/>
        <v>2701.3749963721189</v>
      </c>
      <c r="BT34" s="37">
        <f t="shared" si="48"/>
        <v>2674.3612464083976</v>
      </c>
      <c r="BU34" s="37">
        <f t="shared" si="48"/>
        <v>2647.6176339443136</v>
      </c>
      <c r="BV34" s="37">
        <f t="shared" si="48"/>
        <v>2621.1414576048705</v>
      </c>
      <c r="BW34" s="37">
        <f t="shared" si="48"/>
        <v>2594.9300430288217</v>
      </c>
      <c r="BX34" s="37">
        <f t="shared" si="48"/>
        <v>2568.9807425985337</v>
      </c>
      <c r="BY34" s="37">
        <f t="shared" si="48"/>
        <v>2543.2909351725484</v>
      </c>
      <c r="BZ34" s="37">
        <f t="shared" si="48"/>
        <v>2517.8580258208231</v>
      </c>
      <c r="CA34" s="37">
        <f t="shared" si="48"/>
        <v>2492.679445562615</v>
      </c>
      <c r="CB34" s="37">
        <f t="shared" si="48"/>
        <v>2467.7526511069887</v>
      </c>
      <c r="CC34" s="37">
        <f t="shared" si="48"/>
        <v>2443.0751245959186</v>
      </c>
      <c r="CD34" s="37">
        <f t="shared" si="48"/>
        <v>2418.6443733499596</v>
      </c>
      <c r="CE34" s="37">
        <f t="shared" si="48"/>
        <v>2394.4579296164598</v>
      </c>
      <c r="CF34" s="37">
        <f t="shared" si="48"/>
        <v>2370.5133503202951</v>
      </c>
      <c r="CG34" s="37">
        <f t="shared" si="48"/>
        <v>2346.8082168170922</v>
      </c>
      <c r="CH34" s="37">
        <f t="shared" si="48"/>
        <v>2323.3401346489213</v>
      </c>
      <c r="CI34" s="37">
        <f t="shared" si="48"/>
        <v>2300.1067333024321</v>
      </c>
      <c r="CJ34" s="37">
        <f t="shared" ref="CJ34:DR34" si="49">CI34*($F$2+1)</f>
        <v>2277.1056659694077</v>
      </c>
      <c r="CK34" s="37">
        <f t="shared" si="49"/>
        <v>2254.3346093097134</v>
      </c>
      <c r="CL34" s="37">
        <f t="shared" si="49"/>
        <v>2231.7912632166162</v>
      </c>
      <c r="CM34" s="37">
        <f t="shared" si="49"/>
        <v>2209.4733505844501</v>
      </c>
      <c r="CN34" s="37">
        <f t="shared" si="49"/>
        <v>2187.3786170786057</v>
      </c>
      <c r="CO34" s="37">
        <f t="shared" si="49"/>
        <v>2165.5048309078197</v>
      </c>
      <c r="CP34" s="37">
        <f t="shared" si="49"/>
        <v>2143.8497825987415</v>
      </c>
      <c r="CQ34" s="37">
        <f t="shared" si="49"/>
        <v>2122.4112847727542</v>
      </c>
      <c r="CR34" s="37">
        <f t="shared" si="49"/>
        <v>2101.1871719250266</v>
      </c>
      <c r="CS34" s="37">
        <f t="shared" si="49"/>
        <v>2080.1753002057762</v>
      </c>
      <c r="CT34" s="37">
        <f t="shared" si="49"/>
        <v>2059.3735472037183</v>
      </c>
      <c r="CU34" s="37">
        <f t="shared" si="49"/>
        <v>2038.7798117316811</v>
      </c>
      <c r="CV34" s="37">
        <f t="shared" si="49"/>
        <v>2018.3920136143643</v>
      </c>
      <c r="CW34" s="37">
        <f t="shared" si="49"/>
        <v>1998.2080934782207</v>
      </c>
      <c r="CX34" s="37">
        <f t="shared" si="49"/>
        <v>1978.2260125434384</v>
      </c>
      <c r="CY34" s="37">
        <f t="shared" si="49"/>
        <v>1958.4437524180039</v>
      </c>
      <c r="CZ34" s="37">
        <f t="shared" si="49"/>
        <v>1938.8593148938239</v>
      </c>
      <c r="DA34" s="37">
        <f t="shared" si="49"/>
        <v>1919.4707217448856</v>
      </c>
      <c r="DB34" s="37">
        <f t="shared" si="49"/>
        <v>1900.2760145274367</v>
      </c>
      <c r="DC34" s="37">
        <f t="shared" si="49"/>
        <v>1881.2732543821623</v>
      </c>
      <c r="DD34" s="37">
        <f t="shared" si="49"/>
        <v>1862.4605218383408</v>
      </c>
      <c r="DE34" s="37">
        <f t="shared" si="49"/>
        <v>1843.8359166199573</v>
      </c>
      <c r="DF34" s="37">
        <f t="shared" si="49"/>
        <v>1825.3975574537576</v>
      </c>
      <c r="DG34" s="37">
        <f t="shared" si="49"/>
        <v>1807.1435818792199</v>
      </c>
      <c r="DH34" s="37">
        <f t="shared" si="49"/>
        <v>1789.0721460604277</v>
      </c>
      <c r="DI34" s="37">
        <f t="shared" si="49"/>
        <v>1771.1814245998235</v>
      </c>
      <c r="DJ34" s="37">
        <f t="shared" si="49"/>
        <v>1753.4696103538251</v>
      </c>
      <c r="DK34" s="37">
        <f t="shared" si="49"/>
        <v>1735.934914250287</v>
      </c>
      <c r="DL34" s="37">
        <f t="shared" si="49"/>
        <v>1718.5755651077841</v>
      </c>
      <c r="DM34" s="37">
        <f t="shared" si="49"/>
        <v>1701.3898094567062</v>
      </c>
      <c r="DN34" s="37">
        <f t="shared" si="49"/>
        <v>1684.375911362139</v>
      </c>
      <c r="DO34" s="37">
        <f t="shared" si="49"/>
        <v>1667.5321522485176</v>
      </c>
      <c r="DP34" s="37">
        <f t="shared" si="49"/>
        <v>1650.8568307260325</v>
      </c>
      <c r="DQ34" s="37">
        <f t="shared" si="49"/>
        <v>1634.3482624187723</v>
      </c>
      <c r="DR34" s="37">
        <f t="shared" si="49"/>
        <v>1618.0047797945845</v>
      </c>
    </row>
    <row r="35" spans="1:122" x14ac:dyDescent="0.15">
      <c r="A35" s="4" t="s">
        <v>16</v>
      </c>
      <c r="B35" s="43">
        <f>B34/B36</f>
        <v>-0.83627682282889593</v>
      </c>
      <c r="C35" s="43">
        <f>C34/C36</f>
        <v>-1.2121835338627012</v>
      </c>
      <c r="D35" s="43">
        <f>D34/D36</f>
        <v>-0.49841901614767714</v>
      </c>
      <c r="E35" s="43">
        <f>E34/E36</f>
        <v>-0.58893894213528108</v>
      </c>
      <c r="F35" s="43">
        <f>F34/F36</f>
        <v>-1.4583245278668993</v>
      </c>
      <c r="G35" s="11">
        <f t="shared" ref="G35:H35" si="50">G34/G36</f>
        <v>-0.32604190915418346</v>
      </c>
      <c r="H35" s="11">
        <f t="shared" si="50"/>
        <v>0.39114573399627012</v>
      </c>
      <c r="I35" s="11">
        <f t="shared" ref="I35:Q35" si="51">I34/I36</f>
        <v>1.3108643799621449</v>
      </c>
      <c r="J35" s="11">
        <f t="shared" si="51"/>
        <v>2.3519916279237241</v>
      </c>
      <c r="K35" s="11">
        <f t="shared" si="51"/>
        <v>3.3587575925354227</v>
      </c>
      <c r="L35" s="11">
        <f t="shared" si="51"/>
        <v>4.3896251258323709</v>
      </c>
      <c r="M35" s="11">
        <f t="shared" si="51"/>
        <v>5.5477395424313496</v>
      </c>
      <c r="N35" s="11">
        <f t="shared" si="51"/>
        <v>6.8472579368380337</v>
      </c>
      <c r="O35" s="11">
        <f t="shared" si="51"/>
        <v>8.303820459702445</v>
      </c>
      <c r="P35" s="11">
        <f t="shared" si="51"/>
        <v>9.9347020798848096</v>
      </c>
      <c r="Q35" s="11">
        <f t="shared" si="51"/>
        <v>11.758979693830179</v>
      </c>
      <c r="R35" s="11">
        <f t="shared" ref="R35:U35" si="52">R34/R36</f>
        <v>13.797716125573313</v>
      </c>
      <c r="S35" s="11">
        <f t="shared" si="52"/>
        <v>16.07416271545619</v>
      </c>
      <c r="T35" s="11">
        <f t="shared" si="52"/>
        <v>18.613982365899137</v>
      </c>
      <c r="U35" s="11">
        <f t="shared" si="52"/>
        <v>21.445495099873497</v>
      </c>
      <c r="V35" s="11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x14ac:dyDescent="0.15">
      <c r="A36" s="4" t="s">
        <v>17</v>
      </c>
      <c r="B36" s="6">
        <f>Reports!E29</f>
        <v>178.02</v>
      </c>
      <c r="C36" s="6">
        <f>Reports!I29</f>
        <v>181.852</v>
      </c>
      <c r="D36" s="6">
        <f>Reports!M29</f>
        <v>189.43899999999999</v>
      </c>
      <c r="E36" s="6">
        <f>Reports!Q29</f>
        <v>203.56100000000001</v>
      </c>
      <c r="F36" s="6">
        <f>Reports!U29</f>
        <v>208.20400000000001</v>
      </c>
      <c r="G36" s="6">
        <f t="shared" ref="G36" si="53">F36</f>
        <v>208.20400000000001</v>
      </c>
      <c r="H36" s="6">
        <f t="shared" ref="H36" si="54">G36</f>
        <v>208.20400000000001</v>
      </c>
      <c r="I36" s="6">
        <f t="shared" ref="I36" si="55">H36</f>
        <v>208.20400000000001</v>
      </c>
      <c r="J36" s="6">
        <f t="shared" ref="J36" si="56">I36</f>
        <v>208.20400000000001</v>
      </c>
      <c r="K36" s="6">
        <f t="shared" ref="K36" si="57">J36</f>
        <v>208.20400000000001</v>
      </c>
      <c r="L36" s="6">
        <f t="shared" ref="L36" si="58">K36</f>
        <v>208.20400000000001</v>
      </c>
      <c r="M36" s="6">
        <f t="shared" ref="M36" si="59">L36</f>
        <v>208.20400000000001</v>
      </c>
      <c r="N36" s="6">
        <f t="shared" ref="N36" si="60">M36</f>
        <v>208.20400000000001</v>
      </c>
      <c r="O36" s="6">
        <f t="shared" ref="O36" si="61">N36</f>
        <v>208.20400000000001</v>
      </c>
      <c r="P36" s="6">
        <f t="shared" ref="P36" si="62">O36</f>
        <v>208.20400000000001</v>
      </c>
      <c r="Q36" s="6">
        <f t="shared" ref="Q36:U36" si="63">P36</f>
        <v>208.20400000000001</v>
      </c>
      <c r="R36" s="6">
        <f t="shared" si="63"/>
        <v>208.20400000000001</v>
      </c>
      <c r="S36" s="6">
        <f t="shared" si="63"/>
        <v>208.20400000000001</v>
      </c>
      <c r="T36" s="6">
        <f t="shared" si="63"/>
        <v>208.20400000000001</v>
      </c>
      <c r="U36" s="6">
        <f t="shared" si="63"/>
        <v>208.20400000000001</v>
      </c>
      <c r="V36" s="6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x14ac:dyDescent="0.1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x14ac:dyDescent="0.15">
      <c r="A38" s="9" t="s">
        <v>18</v>
      </c>
      <c r="B38" s="51"/>
      <c r="C38" s="57">
        <f>C23/B23-1</f>
        <v>0.31319870260611116</v>
      </c>
      <c r="D38" s="57">
        <f>D23/C23-1</f>
        <v>0.27192061319010752</v>
      </c>
      <c r="E38" s="57">
        <f t="shared" ref="E38:U38" si="64">E23/D23-1</f>
        <v>0.23851637360535061</v>
      </c>
      <c r="F38" s="57">
        <f>F23/E23-1</f>
        <v>1.0560471556139759</v>
      </c>
      <c r="G38" s="57">
        <f>G23/F23-1</f>
        <v>0.30277169948942362</v>
      </c>
      <c r="H38" s="57">
        <f t="shared" si="64"/>
        <v>0.27531213257936304</v>
      </c>
      <c r="I38" s="57">
        <f t="shared" si="64"/>
        <v>0.2604648712483566</v>
      </c>
      <c r="J38" s="57">
        <f t="shared" si="64"/>
        <v>0.2377915183946675</v>
      </c>
      <c r="K38" s="57">
        <f t="shared" si="64"/>
        <v>0.20908445689049926</v>
      </c>
      <c r="L38" s="57">
        <f t="shared" si="64"/>
        <v>0.10000000000000009</v>
      </c>
      <c r="M38" s="57">
        <f t="shared" si="64"/>
        <v>0.10000000000000009</v>
      </c>
      <c r="N38" s="57">
        <f t="shared" si="64"/>
        <v>0.10000000000000009</v>
      </c>
      <c r="O38" s="57">
        <f t="shared" si="64"/>
        <v>0.10000000000000009</v>
      </c>
      <c r="P38" s="57">
        <f t="shared" si="64"/>
        <v>0.10000000000000009</v>
      </c>
      <c r="Q38" s="57">
        <f t="shared" si="64"/>
        <v>0.10000000000000009</v>
      </c>
      <c r="R38" s="57">
        <f t="shared" si="64"/>
        <v>0.10000000000000009</v>
      </c>
      <c r="S38" s="57">
        <f t="shared" si="64"/>
        <v>0.10000000000000009</v>
      </c>
      <c r="T38" s="57">
        <f t="shared" si="64"/>
        <v>0.10000000000000009</v>
      </c>
      <c r="U38" s="57">
        <f t="shared" si="64"/>
        <v>0.10000000000000009</v>
      </c>
      <c r="V38" s="5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x14ac:dyDescent="0.15">
      <c r="A39" s="4" t="s">
        <v>34</v>
      </c>
      <c r="B39" s="51"/>
      <c r="C39" s="19">
        <f>C26/B26-1</f>
        <v>0.31100647143252846</v>
      </c>
      <c r="D39" s="19">
        <f>D26/C26-1</f>
        <v>0.22919867854947773</v>
      </c>
      <c r="E39" s="19">
        <f t="shared" ref="E39:U39" si="65">E26/D26-1</f>
        <v>0.28386643123896449</v>
      </c>
      <c r="F39" s="19">
        <f t="shared" si="65"/>
        <v>0.16053824321232257</v>
      </c>
      <c r="G39" s="19">
        <f t="shared" si="65"/>
        <v>0.14999999999999991</v>
      </c>
      <c r="H39" s="19">
        <f t="shared" si="65"/>
        <v>0.14999999999999991</v>
      </c>
      <c r="I39" s="19">
        <f t="shared" si="65"/>
        <v>0.14999999999999991</v>
      </c>
      <c r="J39" s="19">
        <f t="shared" si="65"/>
        <v>0.14999999999999991</v>
      </c>
      <c r="K39" s="19">
        <f t="shared" si="65"/>
        <v>0.14999999999999991</v>
      </c>
      <c r="L39" s="19">
        <f t="shared" si="65"/>
        <v>0.10000000000000009</v>
      </c>
      <c r="M39" s="19">
        <f t="shared" si="65"/>
        <v>0.10000000000000009</v>
      </c>
      <c r="N39" s="19">
        <f t="shared" si="65"/>
        <v>0.10000000000000009</v>
      </c>
      <c r="O39" s="19">
        <f t="shared" si="65"/>
        <v>0.10000000000000009</v>
      </c>
      <c r="P39" s="19">
        <f t="shared" si="65"/>
        <v>0.10000000000000009</v>
      </c>
      <c r="Q39" s="19">
        <f t="shared" si="65"/>
        <v>0.10000000000000009</v>
      </c>
      <c r="R39" s="19">
        <f t="shared" si="65"/>
        <v>0.10000000000000009</v>
      </c>
      <c r="S39" s="19">
        <f t="shared" si="65"/>
        <v>0.10000000000000009</v>
      </c>
      <c r="T39" s="19">
        <f t="shared" si="65"/>
        <v>0.10000000000000009</v>
      </c>
      <c r="U39" s="19">
        <f t="shared" si="65"/>
        <v>0.10000000000000009</v>
      </c>
      <c r="V39" s="19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x14ac:dyDescent="0.15">
      <c r="A40" s="4" t="s">
        <v>35</v>
      </c>
      <c r="B40" s="51"/>
      <c r="C40" s="19">
        <f t="shared" ref="C40:D41" si="66">C27/B27-1</f>
        <v>0.24400092481332769</v>
      </c>
      <c r="D40" s="19">
        <f t="shared" si="66"/>
        <v>0.17324269211740773</v>
      </c>
      <c r="E40" s="19">
        <f t="shared" ref="E40:U40" si="67">E27/D27-1</f>
        <v>0.23297583004054023</v>
      </c>
      <c r="F40" s="19">
        <f t="shared" si="67"/>
        <v>0.29127738540518711</v>
      </c>
      <c r="G40" s="19">
        <f t="shared" si="67"/>
        <v>0.19999999999999996</v>
      </c>
      <c r="H40" s="19">
        <f t="shared" si="67"/>
        <v>0.19999999999999996</v>
      </c>
      <c r="I40" s="19">
        <f t="shared" si="67"/>
        <v>0.19999999999999996</v>
      </c>
      <c r="J40" s="19">
        <f t="shared" si="67"/>
        <v>0.19999999999999996</v>
      </c>
      <c r="K40" s="19">
        <f t="shared" si="67"/>
        <v>0.19999999999999996</v>
      </c>
      <c r="L40" s="19">
        <f t="shared" si="67"/>
        <v>5.0000000000000044E-2</v>
      </c>
      <c r="M40" s="19">
        <f t="shared" si="67"/>
        <v>5.0000000000000044E-2</v>
      </c>
      <c r="N40" s="19">
        <f t="shared" si="67"/>
        <v>5.0000000000000044E-2</v>
      </c>
      <c r="O40" s="19">
        <f t="shared" si="67"/>
        <v>5.0000000000000044E-2</v>
      </c>
      <c r="P40" s="19">
        <f t="shared" si="67"/>
        <v>5.0000000000000044E-2</v>
      </c>
      <c r="Q40" s="19">
        <f t="shared" si="67"/>
        <v>5.0000000000000044E-2</v>
      </c>
      <c r="R40" s="19">
        <f t="shared" si="67"/>
        <v>5.0000000000000044E-2</v>
      </c>
      <c r="S40" s="19">
        <f t="shared" si="67"/>
        <v>5.0000000000000044E-2</v>
      </c>
      <c r="T40" s="19">
        <f t="shared" si="67"/>
        <v>5.0000000000000044E-2</v>
      </c>
      <c r="U40" s="19">
        <f t="shared" si="67"/>
        <v>5.0000000000000044E-2</v>
      </c>
      <c r="V40" s="19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x14ac:dyDescent="0.15">
      <c r="A41" s="4" t="s">
        <v>36</v>
      </c>
      <c r="B41" s="51"/>
      <c r="C41" s="19">
        <f t="shared" si="66"/>
        <v>0.44039393672336291</v>
      </c>
      <c r="D41" s="19">
        <f t="shared" si="66"/>
        <v>0.17864495859374774</v>
      </c>
      <c r="E41" s="19">
        <f t="shared" ref="E41:U41" si="68">E28/D28-1</f>
        <v>-0.1029877050137693</v>
      </c>
      <c r="F41" s="19">
        <f t="shared" si="68"/>
        <v>5.9392361111111125E-2</v>
      </c>
      <c r="G41" s="19">
        <f t="shared" si="68"/>
        <v>0.10000000000000009</v>
      </c>
      <c r="H41" s="19">
        <f t="shared" si="68"/>
        <v>0.10000000000000009</v>
      </c>
      <c r="I41" s="19">
        <f t="shared" si="68"/>
        <v>0.10000000000000009</v>
      </c>
      <c r="J41" s="19">
        <f t="shared" si="68"/>
        <v>0.10000000000000009</v>
      </c>
      <c r="K41" s="19">
        <f t="shared" si="68"/>
        <v>0.10000000000000009</v>
      </c>
      <c r="L41" s="19">
        <f t="shared" si="68"/>
        <v>-2.0000000000000018E-2</v>
      </c>
      <c r="M41" s="19">
        <f t="shared" si="68"/>
        <v>-2.0000000000000018E-2</v>
      </c>
      <c r="N41" s="19">
        <f t="shared" si="68"/>
        <v>-2.0000000000000018E-2</v>
      </c>
      <c r="O41" s="19">
        <f t="shared" si="68"/>
        <v>-2.0000000000000018E-2</v>
      </c>
      <c r="P41" s="19">
        <f t="shared" si="68"/>
        <v>-2.0000000000000018E-2</v>
      </c>
      <c r="Q41" s="19">
        <f t="shared" si="68"/>
        <v>-1.9999999999999907E-2</v>
      </c>
      <c r="R41" s="19">
        <f t="shared" si="68"/>
        <v>-2.0000000000000018E-2</v>
      </c>
      <c r="S41" s="19">
        <f t="shared" si="68"/>
        <v>-2.0000000000000018E-2</v>
      </c>
      <c r="T41" s="19">
        <f t="shared" si="68"/>
        <v>-2.0000000000000018E-2</v>
      </c>
      <c r="U41" s="19">
        <f t="shared" si="68"/>
        <v>-2.0000000000000018E-2</v>
      </c>
      <c r="V41" s="19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s="28" customFormat="1" x14ac:dyDescent="0.15">
      <c r="A42" s="28" t="s">
        <v>135</v>
      </c>
      <c r="B42" s="66"/>
      <c r="C42" s="67">
        <f>C29/B29-1</f>
        <v>0.32300018837173106</v>
      </c>
      <c r="D42" s="67">
        <f t="shared" ref="D42:U42" si="69">D29/C29-1</f>
        <v>0.19009370402240133</v>
      </c>
      <c r="E42" s="67">
        <f t="shared" si="69"/>
        <v>0.13487535382521365</v>
      </c>
      <c r="F42" s="67">
        <f t="shared" si="69"/>
        <v>0.18902721767647868</v>
      </c>
      <c r="G42" s="67">
        <f>G29/F29-1</f>
        <v>0.16116173450015214</v>
      </c>
      <c r="H42" s="67">
        <f>H29/G29-1</f>
        <v>0.16254796236544711</v>
      </c>
      <c r="I42" s="67">
        <f t="shared" si="69"/>
        <v>0.16391059760707516</v>
      </c>
      <c r="J42" s="67">
        <f t="shared" si="69"/>
        <v>0.1652476946877639</v>
      </c>
      <c r="K42" s="67">
        <f t="shared" si="69"/>
        <v>0.1665574938819725</v>
      </c>
      <c r="L42" s="67">
        <f t="shared" si="69"/>
        <v>5.2007157463846765E-2</v>
      </c>
      <c r="M42" s="67">
        <f t="shared" si="69"/>
        <v>5.351504843066035E-2</v>
      </c>
      <c r="N42" s="67">
        <f t="shared" si="69"/>
        <v>5.4987637072597906E-2</v>
      </c>
      <c r="O42" s="67">
        <f t="shared" si="69"/>
        <v>5.642428641484809E-2</v>
      </c>
      <c r="P42" s="67">
        <f t="shared" si="69"/>
        <v>5.7824586994714267E-2</v>
      </c>
      <c r="Q42" s="67">
        <f t="shared" si="69"/>
        <v>5.9188337329887153E-2</v>
      </c>
      <c r="R42" s="67">
        <f t="shared" si="69"/>
        <v>6.0515523469435895E-2</v>
      </c>
      <c r="S42" s="67">
        <f t="shared" si="69"/>
        <v>6.1806298157472517E-2</v>
      </c>
      <c r="T42" s="67">
        <f t="shared" si="69"/>
        <v>6.3060960078359596E-2</v>
      </c>
      <c r="U42" s="67">
        <f t="shared" si="69"/>
        <v>6.4279933585486004E-2</v>
      </c>
      <c r="V42" s="67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</row>
    <row r="43" spans="1:122" x14ac:dyDescent="0.1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x14ac:dyDescent="0.15">
      <c r="A44" s="4" t="s">
        <v>19</v>
      </c>
      <c r="B44" s="16">
        <f t="shared" ref="B44:G44" si="70">IFERROR(B25/B23,0)</f>
        <v>0.90442655779560921</v>
      </c>
      <c r="C44" s="16">
        <f t="shared" si="70"/>
        <v>0.9170542022161875</v>
      </c>
      <c r="D44" s="16">
        <f t="shared" si="70"/>
        <v>0.9208734446885849</v>
      </c>
      <c r="E44" s="16">
        <f t="shared" si="70"/>
        <v>0.8848328655613602</v>
      </c>
      <c r="F44" s="16">
        <f t="shared" si="70"/>
        <v>0.47872064186725022</v>
      </c>
      <c r="G44" s="16">
        <f t="shared" si="70"/>
        <v>0.47872064186725022</v>
      </c>
      <c r="H44" s="16">
        <f t="shared" ref="H44:Q44" si="71">IFERROR(H25/H23,0)</f>
        <v>0.47872064186725022</v>
      </c>
      <c r="I44" s="16">
        <f t="shared" si="71"/>
        <v>0.47872064186725022</v>
      </c>
      <c r="J44" s="16">
        <f t="shared" si="71"/>
        <v>0.47872064186725022</v>
      </c>
      <c r="K44" s="16">
        <f t="shared" si="71"/>
        <v>0.47872064186725016</v>
      </c>
      <c r="L44" s="16">
        <f t="shared" si="71"/>
        <v>0.47872064186725016</v>
      </c>
      <c r="M44" s="16">
        <f t="shared" si="71"/>
        <v>0.47872064186725022</v>
      </c>
      <c r="N44" s="16">
        <f t="shared" si="71"/>
        <v>0.47872064186725022</v>
      </c>
      <c r="O44" s="16">
        <f t="shared" si="71"/>
        <v>0.47872064186725022</v>
      </c>
      <c r="P44" s="16">
        <f t="shared" si="71"/>
        <v>0.47872064186725027</v>
      </c>
      <c r="Q44" s="16">
        <f t="shared" si="71"/>
        <v>0.47872064186725022</v>
      </c>
      <c r="R44" s="16">
        <f t="shared" ref="R44:U44" si="72">IFERROR(R25/R23,0)</f>
        <v>0.47872064186725022</v>
      </c>
      <c r="S44" s="16">
        <f t="shared" si="72"/>
        <v>0.47872064186725016</v>
      </c>
      <c r="T44" s="16">
        <f t="shared" si="72"/>
        <v>0.47872064186725011</v>
      </c>
      <c r="U44" s="16">
        <f t="shared" si="72"/>
        <v>0.47872064186725011</v>
      </c>
      <c r="V44" s="16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x14ac:dyDescent="0.15">
      <c r="A45" s="4" t="s">
        <v>20</v>
      </c>
      <c r="B45" s="19">
        <f>IFERROR(B30/B23,0)</f>
        <v>-0.23194716113650699</v>
      </c>
      <c r="C45" s="19">
        <f>IFERROR(C30/C23,0)</f>
        <v>-0.22780121168595377</v>
      </c>
      <c r="D45" s="19">
        <f>IFERROR(D30/D23,0)</f>
        <v>-0.15032958950365602</v>
      </c>
      <c r="E45" s="19">
        <f>IFERROR(E30/E23,0)</f>
        <v>-9.6730195174512784E-2</v>
      </c>
      <c r="F45" s="19">
        <f t="shared" ref="F45:Q45" si="73">IFERROR(F30/F23,0)</f>
        <v>-8.8924507658643293E-2</v>
      </c>
      <c r="G45" s="19">
        <f t="shared" si="73"/>
        <v>-2.7222054510332275E-2</v>
      </c>
      <c r="H45" s="19">
        <f t="shared" si="73"/>
        <v>1.7513823770241473E-2</v>
      </c>
      <c r="I45" s="19">
        <f t="shared" si="73"/>
        <v>5.2843240984113971E-2</v>
      </c>
      <c r="J45" s="19">
        <f t="shared" si="73"/>
        <v>7.7802836062361838E-2</v>
      </c>
      <c r="K45" s="19">
        <f t="shared" si="73"/>
        <v>9.1904263468659417E-2</v>
      </c>
      <c r="L45" s="19">
        <f t="shared" si="73"/>
        <v>0.10878100668583093</v>
      </c>
      <c r="M45" s="19">
        <f t="shared" si="73"/>
        <v>0.12441430307218319</v>
      </c>
      <c r="N45" s="19">
        <f t="shared" si="73"/>
        <v>0.13891263535338566</v>
      </c>
      <c r="O45" s="19">
        <f t="shared" si="73"/>
        <v>0.15237388659501264</v>
      </c>
      <c r="P45" s="19">
        <f t="shared" si="73"/>
        <v>0.16488644040095954</v>
      </c>
      <c r="Q45" s="19">
        <f t="shared" si="73"/>
        <v>0.17653016364149274</v>
      </c>
      <c r="R45" s="19">
        <f t="shared" ref="R45:U45" si="74">IFERROR(R30/R23,0)</f>
        <v>0.1873772844099153</v>
      </c>
      <c r="S45" s="19">
        <f t="shared" si="74"/>
        <v>0.19749317652675746</v>
      </c>
      <c r="T45" s="19">
        <f t="shared" si="74"/>
        <v>0.2069370606806431</v>
      </c>
      <c r="U45" s="19">
        <f t="shared" si="74"/>
        <v>0.21576263119915226</v>
      </c>
      <c r="V45" s="19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x14ac:dyDescent="0.15">
      <c r="A46" s="4" t="s">
        <v>21</v>
      </c>
      <c r="B46" s="19">
        <f>IFERROR(B33/B32,0)</f>
        <v>3.0256841172753852E-2</v>
      </c>
      <c r="C46" s="19">
        <f>IFERROR(C33/C32,0)</f>
        <v>-5.9008297474444837E-4</v>
      </c>
      <c r="D46" s="19">
        <f>IFERROR(D33/D32,0)</f>
        <v>0.48686455876438861</v>
      </c>
      <c r="E46" s="19">
        <f>IFERROR(E33/E32,0)</f>
        <v>0.20599124427930884</v>
      </c>
      <c r="F46" s="19">
        <f t="shared" ref="F46:Q46" si="75">IFERROR(F33/F32,0)</f>
        <v>1.1395862976143579E-2</v>
      </c>
      <c r="G46" s="19">
        <f t="shared" si="75"/>
        <v>0.15</v>
      </c>
      <c r="H46" s="19">
        <f t="shared" si="75"/>
        <v>0.15</v>
      </c>
      <c r="I46" s="19">
        <f t="shared" si="75"/>
        <v>0.15</v>
      </c>
      <c r="J46" s="19">
        <f t="shared" si="75"/>
        <v>0.15</v>
      </c>
      <c r="K46" s="19">
        <f t="shared" si="75"/>
        <v>0.15</v>
      </c>
      <c r="L46" s="19">
        <f t="shared" si="75"/>
        <v>0.15</v>
      </c>
      <c r="M46" s="19">
        <f>IFERROR(M33/M32,0)</f>
        <v>0.15</v>
      </c>
      <c r="N46" s="19">
        <f t="shared" si="75"/>
        <v>0.15</v>
      </c>
      <c r="O46" s="19">
        <f t="shared" si="75"/>
        <v>0.15</v>
      </c>
      <c r="P46" s="19">
        <f t="shared" si="75"/>
        <v>0.15</v>
      </c>
      <c r="Q46" s="19">
        <f t="shared" si="75"/>
        <v>0.15</v>
      </c>
      <c r="R46" s="19">
        <f t="shared" ref="R46:U46" si="76">IFERROR(R33/R32,0)</f>
        <v>0.15</v>
      </c>
      <c r="S46" s="19">
        <f t="shared" si="76"/>
        <v>0.15</v>
      </c>
      <c r="T46" s="19">
        <f t="shared" si="76"/>
        <v>0.15</v>
      </c>
      <c r="U46" s="19">
        <f t="shared" si="76"/>
        <v>0.15</v>
      </c>
      <c r="V46" s="19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x14ac:dyDescent="0.1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x14ac:dyDescent="0.15">
      <c r="A48" s="9" t="s">
        <v>26</v>
      </c>
      <c r="B48" s="37">
        <f>B49-B50</f>
        <v>290.28899999999999</v>
      </c>
      <c r="C48" s="37">
        <f>C49-C50</f>
        <v>140.11099999999999</v>
      </c>
      <c r="D48" s="37">
        <f>D49-D50</f>
        <v>377.12299999999999</v>
      </c>
      <c r="E48" s="37">
        <f>E49-E50</f>
        <v>855.90499999999997</v>
      </c>
      <c r="F48" s="37">
        <f>F49-F50</f>
        <v>869</v>
      </c>
      <c r="G48" s="10">
        <f t="shared" ref="G48:U48" si="77">F48+G34</f>
        <v>801.11677034646243</v>
      </c>
      <c r="H48" s="10">
        <f t="shared" si="77"/>
        <v>882.55487674742187</v>
      </c>
      <c r="I48" s="10">
        <f t="shared" si="77"/>
        <v>1155.4820841130604</v>
      </c>
      <c r="J48" s="10">
        <f t="shared" si="77"/>
        <v>1645.1761490132915</v>
      </c>
      <c r="K48" s="10">
        <f t="shared" si="77"/>
        <v>2344.4829148095369</v>
      </c>
      <c r="L48" s="10">
        <f t="shared" si="77"/>
        <v>3258.4204245083397</v>
      </c>
      <c r="M48" s="10">
        <f t="shared" si="77"/>
        <v>4413.4819882007159</v>
      </c>
      <c r="N48" s="10">
        <f t="shared" si="77"/>
        <v>5839.1084796821415</v>
      </c>
      <c r="O48" s="10">
        <f t="shared" si="77"/>
        <v>7567.9971146740299</v>
      </c>
      <c r="P48" s="10">
        <f t="shared" si="77"/>
        <v>9636.4418265143668</v>
      </c>
      <c r="Q48" s="10">
        <f t="shared" si="77"/>
        <v>12084.708434688586</v>
      </c>
      <c r="R48" s="10">
        <f t="shared" si="77"/>
        <v>14957.448122897451</v>
      </c>
      <c r="S48" s="10">
        <f t="shared" si="77"/>
        <v>18304.153096906291</v>
      </c>
      <c r="T48" s="10">
        <f t="shared" si="77"/>
        <v>22179.658681415956</v>
      </c>
      <c r="U48" s="10">
        <f t="shared" si="77"/>
        <v>26644.696543190017</v>
      </c>
      <c r="V48" s="10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x14ac:dyDescent="0.15">
      <c r="A49" s="4" t="s">
        <v>27</v>
      </c>
      <c r="B49" s="3">
        <f>Reports!E41</f>
        <v>520.28899999999999</v>
      </c>
      <c r="C49" s="3">
        <f>Reports!I41</f>
        <v>507.51499999999999</v>
      </c>
      <c r="D49" s="3">
        <f>Reports!M41</f>
        <v>762.53899999999999</v>
      </c>
      <c r="E49" s="3">
        <f>Reports!Q41</f>
        <v>1554.925</v>
      </c>
      <c r="F49" s="3">
        <f>Reports!U41</f>
        <v>2422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x14ac:dyDescent="0.15">
      <c r="A50" s="4" t="s">
        <v>28</v>
      </c>
      <c r="B50" s="3">
        <f>Reports!E42</f>
        <v>230</v>
      </c>
      <c r="C50" s="3">
        <f>Reports!I42</f>
        <v>367.404</v>
      </c>
      <c r="D50" s="3">
        <f>Reports!M42</f>
        <v>385.416</v>
      </c>
      <c r="E50" s="3">
        <f>Reports!Q42</f>
        <v>699.02</v>
      </c>
      <c r="F50" s="3">
        <f>Reports!U42</f>
        <v>1553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x14ac:dyDescent="0.15">
      <c r="A52" s="4" t="s">
        <v>72</v>
      </c>
      <c r="B52" s="2"/>
      <c r="C52" s="3">
        <f>Reports!I44</f>
        <v>2450.944</v>
      </c>
      <c r="D52" s="3">
        <f>Reports!M44</f>
        <v>2250.7870000000003</v>
      </c>
      <c r="E52" s="3">
        <f>Reports!Q44</f>
        <v>2200.8109999999997</v>
      </c>
      <c r="F52" s="3">
        <f>Reports!U44</f>
        <v>2176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x14ac:dyDescent="0.15">
      <c r="A53" s="4" t="s">
        <v>73</v>
      </c>
      <c r="B53" s="2"/>
      <c r="C53" s="3">
        <f>Reports!I45</f>
        <v>3149.6770000000001</v>
      </c>
      <c r="D53" s="3">
        <f>Reports!M45</f>
        <v>3230.5169999999998</v>
      </c>
      <c r="E53" s="3">
        <f>Reports!Q45</f>
        <v>4291.116</v>
      </c>
      <c r="F53" s="3">
        <f>Reports!U45</f>
        <v>6132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x14ac:dyDescent="0.15">
      <c r="A54" s="4" t="s">
        <v>74</v>
      </c>
      <c r="B54" s="2"/>
      <c r="C54" s="3">
        <f>Reports!I46</f>
        <v>616.09</v>
      </c>
      <c r="D54" s="3">
        <f>Reports!M46</f>
        <v>569.69399999999996</v>
      </c>
      <c r="E54" s="3">
        <f>Reports!Q46</f>
        <v>1023.937</v>
      </c>
      <c r="F54" s="3">
        <f>Reports!U46</f>
        <v>2697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x14ac:dyDescent="0.15">
      <c r="A56" s="4" t="s">
        <v>75</v>
      </c>
      <c r="B56" s="2"/>
      <c r="C56" s="41">
        <f>C53-C52-C49</f>
        <v>191.21800000000019</v>
      </c>
      <c r="D56" s="41">
        <f>D53-D52-D49</f>
        <v>217.19099999999958</v>
      </c>
      <c r="E56" s="41">
        <f>E53-E52-E49</f>
        <v>535.38000000000034</v>
      </c>
      <c r="F56" s="41">
        <f>F53-F52-F49</f>
        <v>1534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x14ac:dyDescent="0.15">
      <c r="A57" s="4" t="s">
        <v>76</v>
      </c>
      <c r="B57" s="2"/>
      <c r="C57" s="41">
        <f>C53-C54</f>
        <v>2533.587</v>
      </c>
      <c r="D57" s="41">
        <f>D53-D54</f>
        <v>2660.8229999999999</v>
      </c>
      <c r="E57" s="41">
        <f>E53-E54</f>
        <v>3267.1790000000001</v>
      </c>
      <c r="F57" s="41">
        <f>F53-F54</f>
        <v>3435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x14ac:dyDescent="0.15">
      <c r="A59" s="4" t="s">
        <v>78</v>
      </c>
      <c r="B59" s="2"/>
      <c r="C59" s="18">
        <f>C34/C57</f>
        <v>-8.7006287923011891E-2</v>
      </c>
      <c r="D59" s="18">
        <f>D34/D57</f>
        <v>-3.5485261514952258E-2</v>
      </c>
      <c r="E59" s="18">
        <f>E34/E57</f>
        <v>-3.6693734870357562E-2</v>
      </c>
      <c r="F59" s="18">
        <f>F34/F57</f>
        <v>-8.8392721979621516E-2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x14ac:dyDescent="0.15">
      <c r="A60" s="4" t="s">
        <v>79</v>
      </c>
      <c r="B60" s="2"/>
      <c r="C60" s="18">
        <f>C34/C53</f>
        <v>-6.998749395572941E-2</v>
      </c>
      <c r="D60" s="18">
        <f>D34/D53</f>
        <v>-2.9227519929472531E-2</v>
      </c>
      <c r="E60" s="18">
        <f>E34/E53</f>
        <v>-2.7937953669861165E-2</v>
      </c>
      <c r="F60" s="18">
        <f>F34/F53</f>
        <v>-4.9515492498369194E-2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x14ac:dyDescent="0.15">
      <c r="A61" s="4" t="s">
        <v>80</v>
      </c>
      <c r="B61" s="2"/>
      <c r="C61" s="18">
        <f>C34/(C53-C52)</f>
        <v>-0.31548245180920303</v>
      </c>
      <c r="D61" s="18">
        <f>D34/(D53-D52)</f>
        <v>-9.6373490655588631E-2</v>
      </c>
      <c r="E61" s="18">
        <f>E34/(E53-E52)</f>
        <v>-5.7352874341304233E-2</v>
      </c>
      <c r="F61" s="18">
        <f>F34/(F53-F52)</f>
        <v>-7.6751516683518678E-2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x14ac:dyDescent="0.15">
      <c r="A62" s="4" t="s">
        <v>81</v>
      </c>
      <c r="B62" s="2"/>
      <c r="C62" s="18">
        <f>C34/C56</f>
        <v>-1.1528098819148811</v>
      </c>
      <c r="D62" s="18">
        <f>D34/D56</f>
        <v>-0.43473256258316406</v>
      </c>
      <c r="E62" s="18">
        <f>E34/E56</f>
        <v>-0.22392506257237829</v>
      </c>
      <c r="F62" s="18">
        <f>F34/F56</f>
        <v>-0.19793285528031285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x14ac:dyDescent="0.15">
      <c r="B63" s="2"/>
      <c r="C63" s="18"/>
      <c r="D63" s="18"/>
      <c r="E63" s="18"/>
      <c r="F63" s="1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x14ac:dyDescent="0.15">
      <c r="A64" s="4" t="s">
        <v>136</v>
      </c>
      <c r="B64" s="18"/>
      <c r="C64" s="18">
        <f>(C52/C36)/$C$2</f>
        <v>0.12571294795785837</v>
      </c>
      <c r="D64" s="18">
        <f>(D52/D36)/$C$2</f>
        <v>0.11082295079106765</v>
      </c>
      <c r="E64" s="18">
        <f>(E52/E36)/$C$2</f>
        <v>0.10084465309784783</v>
      </c>
      <c r="F64" s="18">
        <f>(F52/F36)/$C$2</f>
        <v>9.7484266017064961E-2</v>
      </c>
      <c r="G64" s="6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x14ac:dyDescent="0.15">
      <c r="A66" s="4" t="s">
        <v>82</v>
      </c>
      <c r="B66" s="2"/>
      <c r="C66" s="18">
        <f>C20/B20-1</f>
        <v>0.12983870967741939</v>
      </c>
      <c r="D66" s="18">
        <f>D20/C20-1</f>
        <v>8.2084225553176404E-2</v>
      </c>
      <c r="E66" s="18"/>
      <c r="F66" s="18"/>
      <c r="G66" s="18"/>
      <c r="H66" s="18"/>
      <c r="I66" s="18"/>
      <c r="J66" s="1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x14ac:dyDescent="0.15">
      <c r="A67" s="4" t="s">
        <v>83</v>
      </c>
      <c r="B67" s="2"/>
      <c r="C67" s="18">
        <f>C21/B21-1</f>
        <v>0.16228864470490922</v>
      </c>
      <c r="D67" s="18">
        <f>D21/C21-1</f>
        <v>0.1754358701051062</v>
      </c>
      <c r="E67" s="18"/>
      <c r="F67" s="18"/>
      <c r="G67" s="18"/>
      <c r="H67" s="18"/>
      <c r="I67" s="18"/>
      <c r="J67" s="1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9" spans="1:122" x14ac:dyDescent="0.15">
      <c r="A69" s="4" t="s">
        <v>115</v>
      </c>
      <c r="F69" s="36">
        <f>F10/E10-1</f>
        <v>6.2396006655573988E-2</v>
      </c>
      <c r="G69" s="36">
        <f t="shared" ref="G69:K69" si="78">G10/F10-1</f>
        <v>0.10000000000000009</v>
      </c>
      <c r="H69" s="36">
        <f t="shared" si="78"/>
        <v>0.10000000000000009</v>
      </c>
      <c r="I69" s="36">
        <f t="shared" si="78"/>
        <v>0.10000000000000009</v>
      </c>
      <c r="J69" s="36">
        <f t="shared" si="78"/>
        <v>0.10000000000000009</v>
      </c>
      <c r="K69" s="36">
        <f t="shared" si="78"/>
        <v>0.10000000000000009</v>
      </c>
    </row>
    <row r="70" spans="1:122" x14ac:dyDescent="0.15">
      <c r="A70" s="4" t="s">
        <v>100</v>
      </c>
      <c r="F70" s="36">
        <f>F11/E11-1</f>
        <v>25.075992893575563</v>
      </c>
      <c r="G70" s="36">
        <f t="shared" ref="G70:K70" si="79">G11/F11-1</f>
        <v>0.5</v>
      </c>
      <c r="H70" s="36">
        <f t="shared" si="79"/>
        <v>0.39999999999999991</v>
      </c>
      <c r="I70" s="36">
        <f t="shared" si="79"/>
        <v>0.35000000000000009</v>
      </c>
      <c r="J70" s="36">
        <f t="shared" si="79"/>
        <v>0.30000000000000004</v>
      </c>
      <c r="K70" s="36">
        <f t="shared" si="79"/>
        <v>0.25</v>
      </c>
    </row>
    <row r="71" spans="1:122" x14ac:dyDescent="0.15">
      <c r="A71" s="4" t="s">
        <v>84</v>
      </c>
      <c r="F71" s="36">
        <f>F12/E12-1</f>
        <v>0.26135216952573148</v>
      </c>
      <c r="G71" s="36">
        <f t="shared" ref="G71:K71" si="80">G12/F12-1</f>
        <v>0.19999999999999996</v>
      </c>
      <c r="H71" s="36">
        <f t="shared" si="80"/>
        <v>0.19999999999999996</v>
      </c>
      <c r="I71" s="36">
        <f t="shared" si="80"/>
        <v>0.19999999999999996</v>
      </c>
      <c r="J71" s="36">
        <f t="shared" si="80"/>
        <v>0.19999999999999996</v>
      </c>
      <c r="K71" s="36">
        <f t="shared" si="80"/>
        <v>0.19999999999999996</v>
      </c>
    </row>
  </sheetData>
  <phoneticPr fontId="4" type="noConversion"/>
  <hyperlinks>
    <hyperlink ref="A7" r:id="rId1" xr:uid="{00000000-0004-0000-0000-000000000000}"/>
    <hyperlink ref="A1" r:id="rId2" xr:uid="{00000000-0004-0000-0000-000001000000}"/>
    <hyperlink ref="A4" r:id="rId3" xr:uid="{00000000-0004-0000-0000-000002000000}"/>
    <hyperlink ref="L4" r:id="rId4" xr:uid="{EF4FC87A-C18C-1A41-8AB8-6B48D7F8DE08}"/>
  </hyperlinks>
  <pageMargins left="0.7" right="0.7" top="0.75" bottom="0.75" header="0.3" footer="0.3"/>
  <pageSetup paperSize="9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8"/>
  <sheetViews>
    <sheetView zoomScale="120" zoomScaleNormal="12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Z4" sqref="Z4"/>
    </sheetView>
  </sheetViews>
  <sheetFormatPr baseColWidth="10" defaultRowHeight="13" x14ac:dyDescent="0.15"/>
  <cols>
    <col min="1" max="1" width="19.5" style="4" bestFit="1" customWidth="1"/>
    <col min="2" max="5" width="10.83203125" style="2" customWidth="1"/>
    <col min="6" max="6" width="10.83203125" style="7" customWidth="1"/>
    <col min="7" max="8" width="10.83203125" style="2" customWidth="1"/>
    <col min="9" max="9" width="10.83203125" style="2"/>
    <col min="10" max="10" width="10.83203125" style="7"/>
    <col min="11" max="11" width="10.83203125" style="2" customWidth="1"/>
    <col min="12" max="13" width="10.83203125" style="2"/>
    <col min="14" max="14" width="10.83203125" style="7"/>
    <col min="15" max="17" width="10.83203125" style="2"/>
    <col min="18" max="18" width="10.83203125" style="46"/>
    <col min="19" max="21" width="10.83203125" style="4"/>
    <col min="22" max="22" width="10.83203125" style="46"/>
    <col min="23" max="16384" width="10.83203125" style="4"/>
  </cols>
  <sheetData>
    <row r="1" spans="1:26" s="2" customFormat="1" x14ac:dyDescent="0.15">
      <c r="A1" s="1" t="s">
        <v>59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22</v>
      </c>
      <c r="G1" s="2" t="s">
        <v>23</v>
      </c>
      <c r="H1" s="2" t="s">
        <v>24</v>
      </c>
      <c r="I1" s="2" t="s">
        <v>25</v>
      </c>
      <c r="J1" s="5" t="s">
        <v>0</v>
      </c>
      <c r="K1" s="3" t="s">
        <v>1</v>
      </c>
      <c r="L1" s="3" t="s">
        <v>2</v>
      </c>
      <c r="M1" s="3" t="s">
        <v>3</v>
      </c>
      <c r="N1" s="7" t="s">
        <v>85</v>
      </c>
      <c r="O1" s="2" t="s">
        <v>86</v>
      </c>
      <c r="P1" s="2" t="s">
        <v>66</v>
      </c>
      <c r="Q1" s="2" t="s">
        <v>87</v>
      </c>
      <c r="R1" s="7" t="s">
        <v>88</v>
      </c>
      <c r="S1" s="2" t="s">
        <v>89</v>
      </c>
      <c r="T1" s="2" t="s">
        <v>90</v>
      </c>
      <c r="U1" s="2" t="s">
        <v>91</v>
      </c>
      <c r="V1" s="7" t="s">
        <v>88</v>
      </c>
      <c r="W1" s="2" t="s">
        <v>138</v>
      </c>
      <c r="X1" s="2" t="s">
        <v>139</v>
      </c>
      <c r="Y1" s="2" t="s">
        <v>140</v>
      </c>
    </row>
    <row r="2" spans="1:26" s="2" customFormat="1" x14ac:dyDescent="0.15">
      <c r="A2" s="1"/>
      <c r="B2" s="2" t="s">
        <v>52</v>
      </c>
      <c r="C2" s="2" t="s">
        <v>51</v>
      </c>
      <c r="D2" s="2" t="s">
        <v>46</v>
      </c>
      <c r="E2" s="2" t="s">
        <v>45</v>
      </c>
      <c r="F2" s="7" t="s">
        <v>44</v>
      </c>
      <c r="G2" s="2" t="s">
        <v>43</v>
      </c>
      <c r="H2" s="2" t="s">
        <v>40</v>
      </c>
      <c r="I2" s="2" t="s">
        <v>38</v>
      </c>
      <c r="J2" s="7" t="s">
        <v>42</v>
      </c>
      <c r="K2" s="2" t="s">
        <v>39</v>
      </c>
      <c r="L2" s="2" t="s">
        <v>41</v>
      </c>
      <c r="M2" s="2" t="s">
        <v>37</v>
      </c>
      <c r="N2" s="7" t="s">
        <v>92</v>
      </c>
      <c r="O2" s="2" t="s">
        <v>93</v>
      </c>
      <c r="P2" s="2" t="s">
        <v>94</v>
      </c>
      <c r="Q2" s="2" t="s">
        <v>95</v>
      </c>
      <c r="R2" s="7" t="s">
        <v>104</v>
      </c>
      <c r="S2" s="2" t="s">
        <v>110</v>
      </c>
      <c r="T2" s="2" t="s">
        <v>111</v>
      </c>
      <c r="U2" s="2" t="s">
        <v>112</v>
      </c>
      <c r="V2" s="69">
        <v>43921</v>
      </c>
      <c r="W2" s="70">
        <v>44012</v>
      </c>
      <c r="X2" s="70">
        <v>44104</v>
      </c>
    </row>
    <row r="3" spans="1:26" s="2" customFormat="1" x14ac:dyDescent="0.15">
      <c r="A3" s="4" t="s">
        <v>114</v>
      </c>
      <c r="F3" s="7"/>
      <c r="J3" s="7"/>
      <c r="N3" s="5">
        <v>281</v>
      </c>
      <c r="O3" s="6">
        <v>306</v>
      </c>
      <c r="P3" s="6">
        <v>314</v>
      </c>
      <c r="Q3" s="6">
        <f>221+35+45</f>
        <v>301</v>
      </c>
      <c r="R3" s="5">
        <v>298</v>
      </c>
      <c r="S3" s="2">
        <v>324</v>
      </c>
      <c r="T3" s="2">
        <v>335</v>
      </c>
      <c r="U3" s="2">
        <v>320</v>
      </c>
      <c r="V3" s="5">
        <v>331</v>
      </c>
      <c r="W3" s="2">
        <v>280</v>
      </c>
      <c r="X3" s="2">
        <v>415</v>
      </c>
    </row>
    <row r="4" spans="1:26" x14ac:dyDescent="0.15">
      <c r="A4" s="4" t="s">
        <v>99</v>
      </c>
      <c r="B4" s="3"/>
      <c r="C4" s="3"/>
      <c r="D4" s="3"/>
      <c r="E4" s="3"/>
      <c r="F4" s="5"/>
      <c r="G4" s="3"/>
      <c r="H4" s="3"/>
      <c r="I4" s="3"/>
      <c r="J4" s="5"/>
      <c r="K4" s="3"/>
      <c r="L4" s="3"/>
      <c r="M4" s="3"/>
      <c r="N4" s="5"/>
      <c r="O4" s="6"/>
      <c r="P4" s="6">
        <v>11</v>
      </c>
      <c r="Q4" s="6">
        <v>41.347000000000001</v>
      </c>
      <c r="R4" s="5">
        <v>128</v>
      </c>
      <c r="S4" s="4">
        <v>249</v>
      </c>
      <c r="T4" s="4">
        <v>385</v>
      </c>
      <c r="U4" s="4">
        <v>603</v>
      </c>
      <c r="V4" s="5">
        <v>770</v>
      </c>
      <c r="W4" s="4">
        <v>454</v>
      </c>
      <c r="X4" s="4">
        <v>187</v>
      </c>
      <c r="Z4" s="47"/>
    </row>
    <row r="5" spans="1:26" x14ac:dyDescent="0.15">
      <c r="A5" s="4" t="s">
        <v>55</v>
      </c>
      <c r="B5" s="3">
        <v>6.0570000000000004</v>
      </c>
      <c r="C5" s="3">
        <v>12.53</v>
      </c>
      <c r="D5" s="3">
        <v>10.957000000000001</v>
      </c>
      <c r="E5" s="3">
        <v>11.688000000000001</v>
      </c>
      <c r="F5" s="5">
        <v>16.454000000000001</v>
      </c>
      <c r="G5" s="3">
        <v>18.391999999999999</v>
      </c>
      <c r="H5" s="3">
        <v>19.774999999999999</v>
      </c>
      <c r="I5" s="3">
        <v>16.512</v>
      </c>
      <c r="J5" s="5">
        <v>20.27</v>
      </c>
      <c r="K5" s="3">
        <v>20.936</v>
      </c>
      <c r="L5" s="3">
        <v>20.869</v>
      </c>
      <c r="M5" s="3">
        <v>18.515999999999998</v>
      </c>
      <c r="N5" s="5">
        <v>19</v>
      </c>
      <c r="O5" s="6">
        <v>19</v>
      </c>
      <c r="P5" s="6">
        <v>18</v>
      </c>
      <c r="Q5" s="6">
        <v>23.28</v>
      </c>
      <c r="R5" s="5">
        <v>27</v>
      </c>
      <c r="S5" s="4">
        <v>27</v>
      </c>
      <c r="T5" s="4">
        <v>25</v>
      </c>
      <c r="U5" s="4">
        <v>21</v>
      </c>
      <c r="V5" s="5">
        <v>25</v>
      </c>
      <c r="W5" s="4">
        <v>34</v>
      </c>
      <c r="X5" s="4">
        <v>54</v>
      </c>
    </row>
    <row r="6" spans="1:26" x14ac:dyDescent="0.15">
      <c r="B6" s="3"/>
      <c r="C6" s="3"/>
      <c r="D6" s="3"/>
      <c r="E6" s="3"/>
      <c r="F6" s="5"/>
      <c r="G6" s="3"/>
      <c r="H6" s="3"/>
      <c r="I6" s="3"/>
      <c r="J6" s="5"/>
      <c r="K6" s="3"/>
      <c r="L6" s="3"/>
      <c r="M6" s="3"/>
      <c r="N6" s="5"/>
      <c r="O6" s="6"/>
      <c r="P6" s="6"/>
      <c r="Q6" s="6"/>
      <c r="R6" s="5"/>
      <c r="V6" s="5"/>
    </row>
    <row r="7" spans="1:26" x14ac:dyDescent="0.15">
      <c r="A7" s="4" t="s">
        <v>53</v>
      </c>
      <c r="B7" s="3">
        <v>93.311999999999998</v>
      </c>
      <c r="C7" s="3">
        <v>122.55800000000001</v>
      </c>
      <c r="D7" s="3">
        <v>129.66200000000001</v>
      </c>
      <c r="E7" s="3">
        <f>124.396+0.005</f>
        <v>124.401</v>
      </c>
      <c r="F7" s="5">
        <v>134.529</v>
      </c>
      <c r="G7" s="3">
        <v>147.10599999999999</v>
      </c>
      <c r="H7" s="3">
        <v>158.322</v>
      </c>
      <c r="I7" s="3">
        <v>164.33500000000001</v>
      </c>
      <c r="J7" s="5">
        <v>175.30099999999999</v>
      </c>
      <c r="K7" s="3">
        <v>189.72499999999999</v>
      </c>
      <c r="L7" s="3">
        <v>197.054</v>
      </c>
      <c r="M7" s="3">
        <v>199.51400000000001</v>
      </c>
      <c r="N7" s="5"/>
      <c r="O7" s="6"/>
      <c r="P7" s="6"/>
      <c r="Q7" s="6"/>
      <c r="R7" s="5"/>
      <c r="V7" s="5"/>
    </row>
    <row r="8" spans="1:26" x14ac:dyDescent="0.15">
      <c r="A8" s="4" t="s">
        <v>97</v>
      </c>
      <c r="B8" s="3"/>
      <c r="C8" s="3"/>
      <c r="D8" s="3"/>
      <c r="E8" s="3"/>
      <c r="F8" s="5"/>
      <c r="G8" s="3"/>
      <c r="H8" s="3"/>
      <c r="I8" s="3"/>
      <c r="J8" s="5">
        <v>21.545000000000002</v>
      </c>
      <c r="K8" s="3">
        <v>23.71</v>
      </c>
      <c r="L8" s="3">
        <v>28.437999999999999</v>
      </c>
      <c r="M8" s="3"/>
      <c r="N8" s="5"/>
      <c r="O8" s="6"/>
      <c r="P8" s="6"/>
      <c r="Q8" s="6"/>
      <c r="R8" s="5"/>
      <c r="V8" s="5"/>
    </row>
    <row r="9" spans="1:26" x14ac:dyDescent="0.15">
      <c r="A9" s="4" t="s">
        <v>98</v>
      </c>
      <c r="B9" s="3"/>
      <c r="C9" s="3"/>
      <c r="D9" s="3"/>
      <c r="E9" s="3"/>
      <c r="F9" s="5"/>
      <c r="G9" s="3"/>
      <c r="H9" s="3"/>
      <c r="I9" s="3"/>
      <c r="J9" s="5">
        <v>28.658999999999999</v>
      </c>
      <c r="K9" s="3">
        <v>32.478999999999999</v>
      </c>
      <c r="L9" s="3">
        <v>35.478000000000002</v>
      </c>
      <c r="M9" s="3"/>
      <c r="N9" s="5"/>
      <c r="O9" s="6"/>
      <c r="P9" s="6"/>
      <c r="Q9" s="6"/>
      <c r="R9" s="5"/>
      <c r="V9" s="5"/>
    </row>
    <row r="10" spans="1:26" x14ac:dyDescent="0.15">
      <c r="A10" s="4" t="s">
        <v>54</v>
      </c>
      <c r="B10" s="3">
        <v>9.5579999999999998</v>
      </c>
      <c r="C10" s="3">
        <v>10.393000000000001</v>
      </c>
      <c r="D10" s="3">
        <v>12.624000000000001</v>
      </c>
      <c r="E10" s="3">
        <v>12.164</v>
      </c>
      <c r="F10" s="5">
        <v>17.978000000000002</v>
      </c>
      <c r="G10" s="3">
        <v>26.07</v>
      </c>
      <c r="H10" s="3">
        <v>28.798999999999999</v>
      </c>
      <c r="I10" s="3">
        <v>29.788</v>
      </c>
      <c r="J10" s="5"/>
      <c r="K10" s="3"/>
      <c r="L10" s="3"/>
      <c r="M10" s="3">
        <v>47.564</v>
      </c>
      <c r="N10" s="5"/>
      <c r="O10" s="6"/>
      <c r="P10" s="6"/>
      <c r="Q10" s="6"/>
      <c r="R10" s="5"/>
      <c r="V10" s="5"/>
    </row>
    <row r="11" spans="1:26" x14ac:dyDescent="0.15">
      <c r="A11" s="4" t="s">
        <v>56</v>
      </c>
      <c r="B11" s="3">
        <v>18.346</v>
      </c>
      <c r="C11" s="3">
        <v>25.788</v>
      </c>
      <c r="D11" s="3">
        <v>23.521999999999998</v>
      </c>
      <c r="E11" s="3">
        <v>21.117000000000001</v>
      </c>
      <c r="F11" s="5">
        <v>17.021000000000001</v>
      </c>
      <c r="G11" s="3">
        <v>16.835000000000001</v>
      </c>
      <c r="H11" s="3">
        <v>17.696000000000002</v>
      </c>
      <c r="I11" s="3">
        <v>16.977</v>
      </c>
      <c r="J11" s="5"/>
      <c r="K11" s="3"/>
      <c r="L11" s="3"/>
      <c r="M11" s="3">
        <v>16.736000000000001</v>
      </c>
      <c r="N11" s="5"/>
      <c r="O11" s="6"/>
      <c r="P11" s="6"/>
      <c r="Q11" s="6"/>
      <c r="R11" s="5"/>
      <c r="V11" s="5"/>
    </row>
    <row r="12" spans="1:26" x14ac:dyDescent="0.15">
      <c r="B12" s="3"/>
      <c r="C12" s="3"/>
      <c r="D12" s="3"/>
      <c r="E12" s="3"/>
      <c r="F12" s="5"/>
      <c r="G12" s="3"/>
      <c r="H12" s="3"/>
      <c r="I12" s="3"/>
      <c r="J12" s="5"/>
      <c r="K12" s="3"/>
      <c r="L12" s="3"/>
      <c r="M12" s="3"/>
      <c r="N12" s="5"/>
      <c r="O12" s="6"/>
      <c r="P12" s="6"/>
      <c r="Q12" s="6"/>
      <c r="R12" s="5"/>
      <c r="V12" s="5"/>
    </row>
    <row r="13" spans="1:26" s="47" customFormat="1" x14ac:dyDescent="0.15">
      <c r="A13" s="47" t="s">
        <v>57</v>
      </c>
      <c r="B13" s="3"/>
      <c r="C13" s="3"/>
      <c r="D13" s="3"/>
      <c r="E13" s="3">
        <v>124</v>
      </c>
      <c r="F13" s="5">
        <v>156</v>
      </c>
      <c r="G13" s="3">
        <v>168</v>
      </c>
      <c r="H13" s="3">
        <v>164</v>
      </c>
      <c r="I13" s="3">
        <v>140.1</v>
      </c>
      <c r="J13" s="5">
        <v>166.6</v>
      </c>
      <c r="K13" s="3">
        <v>178.1</v>
      </c>
      <c r="L13" s="3">
        <v>175.2</v>
      </c>
      <c r="M13" s="3">
        <v>151.6</v>
      </c>
      <c r="N13" s="5">
        <v>175.5</v>
      </c>
      <c r="O13" s="3">
        <v>186.1</v>
      </c>
      <c r="P13" s="64" t="s">
        <v>137</v>
      </c>
      <c r="Q13" s="6"/>
      <c r="R13" s="62"/>
      <c r="V13" s="62"/>
    </row>
    <row r="14" spans="1:26" s="54" customFormat="1" x14ac:dyDescent="0.15">
      <c r="A14" s="54" t="s">
        <v>71</v>
      </c>
      <c r="B14" s="48"/>
      <c r="C14" s="48"/>
      <c r="D14" s="48"/>
      <c r="E14" s="49">
        <f t="shared" ref="E14:O14" si="0">SUM(E3:E11)/E13</f>
        <v>1.3658870967741934</v>
      </c>
      <c r="F14" s="52">
        <f t="shared" si="0"/>
        <v>1.1921923076923078</v>
      </c>
      <c r="G14" s="50">
        <f t="shared" si="0"/>
        <v>1.2404940476190476</v>
      </c>
      <c r="H14" s="50">
        <f t="shared" si="0"/>
        <v>1.3694634146341464</v>
      </c>
      <c r="I14" s="50">
        <f t="shared" si="0"/>
        <v>1.6246395431834406</v>
      </c>
      <c r="J14" s="52">
        <f t="shared" si="0"/>
        <v>1.4752400960384153</v>
      </c>
      <c r="K14" s="50">
        <f t="shared" si="0"/>
        <v>1.4983155530600787</v>
      </c>
      <c r="L14" s="50">
        <f t="shared" si="0"/>
        <v>1.6086700913242009</v>
      </c>
      <c r="M14" s="50">
        <f t="shared" si="0"/>
        <v>1.8623350923482849</v>
      </c>
      <c r="N14" s="52">
        <f t="shared" si="0"/>
        <v>1.7094017094017093</v>
      </c>
      <c r="O14" s="50">
        <f t="shared" si="0"/>
        <v>1.7463729177861365</v>
      </c>
      <c r="P14" s="6"/>
      <c r="Q14" s="6"/>
      <c r="R14" s="63"/>
      <c r="V14" s="63"/>
    </row>
    <row r="15" spans="1:26" s="58" customFormat="1" x14ac:dyDescent="0.15">
      <c r="F15" s="59"/>
      <c r="I15" s="60"/>
      <c r="J15" s="59"/>
      <c r="K15" s="61"/>
      <c r="L15" s="61"/>
      <c r="M15" s="61"/>
      <c r="N15" s="59"/>
      <c r="O15" s="61"/>
      <c r="P15" s="61"/>
      <c r="Q15" s="53" t="s">
        <v>113</v>
      </c>
      <c r="R15" s="59"/>
      <c r="V15" s="59"/>
    </row>
    <row r="16" spans="1:26" s="9" customFormat="1" x14ac:dyDescent="0.15">
      <c r="A16" s="9" t="s">
        <v>4</v>
      </c>
      <c r="B16" s="37">
        <f>SUM(B3:B11)</f>
        <v>127.273</v>
      </c>
      <c r="C16" s="37">
        <f>SUM(C3:C11)</f>
        <v>171.26900000000001</v>
      </c>
      <c r="D16" s="37">
        <f>SUM(D3:D11)</f>
        <v>176.76499999999999</v>
      </c>
      <c r="E16" s="37">
        <f t="shared" ref="E16:O16" si="1">E13*E14</f>
        <v>169.36999999999998</v>
      </c>
      <c r="F16" s="38">
        <f t="shared" si="1"/>
        <v>185.982</v>
      </c>
      <c r="G16" s="37">
        <f t="shared" si="1"/>
        <v>208.40299999999999</v>
      </c>
      <c r="H16" s="37">
        <f t="shared" si="1"/>
        <v>224.59200000000001</v>
      </c>
      <c r="I16" s="37">
        <f t="shared" si="1"/>
        <v>227.61200000000002</v>
      </c>
      <c r="J16" s="38">
        <f t="shared" si="1"/>
        <v>245.77499999999998</v>
      </c>
      <c r="K16" s="37">
        <f t="shared" si="1"/>
        <v>266.85000000000002</v>
      </c>
      <c r="L16" s="37">
        <f t="shared" si="1"/>
        <v>281.839</v>
      </c>
      <c r="M16" s="37">
        <f t="shared" si="1"/>
        <v>282.33</v>
      </c>
      <c r="N16" s="38">
        <f t="shared" si="1"/>
        <v>300</v>
      </c>
      <c r="O16" s="37">
        <f t="shared" si="1"/>
        <v>325</v>
      </c>
      <c r="P16" s="37">
        <f t="shared" ref="P16:W16" si="2">SUM(P3:P5)</f>
        <v>343</v>
      </c>
      <c r="Q16" s="37">
        <f t="shared" si="2"/>
        <v>365.62699999999995</v>
      </c>
      <c r="R16" s="38">
        <f t="shared" si="2"/>
        <v>453</v>
      </c>
      <c r="S16" s="37">
        <f t="shared" si="2"/>
        <v>600</v>
      </c>
      <c r="T16" s="37">
        <f t="shared" si="2"/>
        <v>745</v>
      </c>
      <c r="U16" s="37">
        <f t="shared" si="2"/>
        <v>944</v>
      </c>
      <c r="V16" s="38">
        <f t="shared" si="2"/>
        <v>1126</v>
      </c>
      <c r="W16" s="37">
        <f>SUM(W3:W5)</f>
        <v>768</v>
      </c>
      <c r="X16" s="37">
        <f>SUM(X3:X5)</f>
        <v>656</v>
      </c>
      <c r="Z16" s="71"/>
    </row>
    <row r="17" spans="1:24" x14ac:dyDescent="0.15">
      <c r="A17" s="4" t="s">
        <v>5</v>
      </c>
      <c r="B17" s="6">
        <v>13.019</v>
      </c>
      <c r="C17" s="6">
        <v>17.036999999999999</v>
      </c>
      <c r="D17" s="6">
        <v>16.452999999999999</v>
      </c>
      <c r="E17" s="6">
        <v>15.105</v>
      </c>
      <c r="F17" s="5">
        <v>16.202999999999999</v>
      </c>
      <c r="G17" s="3">
        <v>16.745000000000001</v>
      </c>
      <c r="H17" s="3">
        <v>17.608000000000001</v>
      </c>
      <c r="I17" s="3">
        <v>19.664999999999999</v>
      </c>
      <c r="J17" s="5">
        <v>20.231999999999999</v>
      </c>
      <c r="K17" s="6">
        <v>20.260000000000002</v>
      </c>
      <c r="L17" s="6">
        <v>22.152000000000001</v>
      </c>
      <c r="M17" s="6">
        <v>22.559000000000001</v>
      </c>
      <c r="N17" s="5">
        <v>23.919</v>
      </c>
      <c r="O17" s="6">
        <v>25.527000000000001</v>
      </c>
      <c r="P17" s="6">
        <v>36.671999999999997</v>
      </c>
      <c r="Q17" s="6">
        <v>67.471999999999994</v>
      </c>
      <c r="R17" s="5">
        <v>151.34800000000001</v>
      </c>
      <c r="S17" s="4">
        <v>271</v>
      </c>
      <c r="T17" s="4">
        <v>400</v>
      </c>
      <c r="U17" s="4">
        <v>607</v>
      </c>
      <c r="V17" s="5">
        <v>762</v>
      </c>
      <c r="W17" s="4">
        <v>461</v>
      </c>
      <c r="X17" s="4">
        <v>216</v>
      </c>
    </row>
    <row r="18" spans="1:24" x14ac:dyDescent="0.15">
      <c r="A18" s="4" t="s">
        <v>6</v>
      </c>
      <c r="B18" s="39">
        <f>B16-B17</f>
        <v>114.25399999999999</v>
      </c>
      <c r="C18" s="39">
        <f>C16-C17</f>
        <v>154.232</v>
      </c>
      <c r="D18" s="39">
        <f>D16-D17</f>
        <v>160.31199999999998</v>
      </c>
      <c r="E18" s="39">
        <f>E16-E17</f>
        <v>154.26499999999999</v>
      </c>
      <c r="F18" s="40">
        <f>F16-F17</f>
        <v>169.779</v>
      </c>
      <c r="G18" s="41">
        <f t="shared" ref="G18:M18" si="3">G16-G17</f>
        <v>191.65799999999999</v>
      </c>
      <c r="H18" s="41">
        <f t="shared" si="3"/>
        <v>206.98400000000001</v>
      </c>
      <c r="I18" s="41">
        <f t="shared" si="3"/>
        <v>207.94700000000003</v>
      </c>
      <c r="J18" s="40">
        <f t="shared" si="3"/>
        <v>225.54299999999998</v>
      </c>
      <c r="K18" s="39">
        <f t="shared" si="3"/>
        <v>246.59000000000003</v>
      </c>
      <c r="L18" s="39">
        <f t="shared" si="3"/>
        <v>259.68700000000001</v>
      </c>
      <c r="M18" s="39">
        <f t="shared" si="3"/>
        <v>259.77099999999996</v>
      </c>
      <c r="N18" s="40">
        <f t="shared" ref="N18" si="4">N16-N17</f>
        <v>276.08100000000002</v>
      </c>
      <c r="O18" s="39">
        <f t="shared" ref="O18:S18" si="5">O16-O17</f>
        <v>299.47300000000001</v>
      </c>
      <c r="P18" s="39">
        <f t="shared" si="5"/>
        <v>306.32799999999997</v>
      </c>
      <c r="Q18" s="39">
        <f t="shared" si="5"/>
        <v>298.15499999999997</v>
      </c>
      <c r="R18" s="40">
        <f t="shared" si="5"/>
        <v>301.65199999999999</v>
      </c>
      <c r="S18" s="39">
        <f t="shared" si="5"/>
        <v>329</v>
      </c>
      <c r="T18" s="39">
        <f t="shared" ref="T18:W18" si="6">T16-T17</f>
        <v>345</v>
      </c>
      <c r="U18" s="39">
        <f t="shared" si="6"/>
        <v>337</v>
      </c>
      <c r="V18" s="40">
        <f t="shared" si="6"/>
        <v>364</v>
      </c>
      <c r="W18" s="39">
        <f>W16-W17</f>
        <v>307</v>
      </c>
      <c r="X18" s="39">
        <f>X16-X17</f>
        <v>440</v>
      </c>
    </row>
    <row r="19" spans="1:24" x14ac:dyDescent="0.15">
      <c r="A19" s="4" t="s">
        <v>7</v>
      </c>
      <c r="B19" s="6">
        <v>37.325000000000003</v>
      </c>
      <c r="C19" s="6">
        <v>51.74</v>
      </c>
      <c r="D19" s="6">
        <v>53.718000000000004</v>
      </c>
      <c r="E19" s="6">
        <v>55.781999999999996</v>
      </c>
      <c r="F19" s="5">
        <v>60.371000000000002</v>
      </c>
      <c r="G19" s="3">
        <v>63.396000000000001</v>
      </c>
      <c r="H19" s="3">
        <v>64.495999999999995</v>
      </c>
      <c r="I19" s="3">
        <v>72.057000000000002</v>
      </c>
      <c r="J19" s="5">
        <v>72.867999999999995</v>
      </c>
      <c r="K19" s="6">
        <v>78.540999999999997</v>
      </c>
      <c r="L19" s="6">
        <v>83.388999999999996</v>
      </c>
      <c r="M19" s="6">
        <v>85.186999999999998</v>
      </c>
      <c r="N19" s="5">
        <v>93.933000000000007</v>
      </c>
      <c r="O19" s="6">
        <v>100.376</v>
      </c>
      <c r="P19" s="6">
        <v>105.31399999999999</v>
      </c>
      <c r="Q19" s="6">
        <v>111.19499999999999</v>
      </c>
      <c r="R19" s="5">
        <v>107.77</v>
      </c>
      <c r="S19" s="4">
        <v>120</v>
      </c>
      <c r="T19" s="4">
        <v>124</v>
      </c>
      <c r="U19" s="4">
        <v>125</v>
      </c>
      <c r="V19" s="5">
        <v>135</v>
      </c>
      <c r="W19" s="4">
        <v>129</v>
      </c>
      <c r="X19" s="4">
        <v>127</v>
      </c>
    </row>
    <row r="20" spans="1:24" x14ac:dyDescent="0.15">
      <c r="A20" s="4" t="s">
        <v>8</v>
      </c>
      <c r="B20" s="6">
        <v>59.286000000000001</v>
      </c>
      <c r="C20" s="6">
        <v>87.941999999999993</v>
      </c>
      <c r="D20" s="6">
        <v>82.043999999999997</v>
      </c>
      <c r="E20" s="6">
        <v>77.816999999999993</v>
      </c>
      <c r="F20" s="5">
        <v>99.100999999999999</v>
      </c>
      <c r="G20" s="3">
        <v>99.629000000000005</v>
      </c>
      <c r="H20" s="3">
        <v>93.18</v>
      </c>
      <c r="I20" s="3">
        <v>90.108999999999995</v>
      </c>
      <c r="J20" s="5">
        <v>105.94</v>
      </c>
      <c r="K20" s="6">
        <v>131.21799999999999</v>
      </c>
      <c r="L20" s="6">
        <v>107.108</v>
      </c>
      <c r="M20" s="6">
        <v>103.935</v>
      </c>
      <c r="N20" s="5">
        <v>137.291</v>
      </c>
      <c r="O20" s="6">
        <v>147.727</v>
      </c>
      <c r="P20" s="6">
        <v>128.73400000000001</v>
      </c>
      <c r="Q20" s="6">
        <v>138.869</v>
      </c>
      <c r="R20" s="5">
        <v>161.58699999999999</v>
      </c>
      <c r="S20" s="4">
        <v>187</v>
      </c>
      <c r="T20" s="4">
        <v>181</v>
      </c>
      <c r="U20" s="4">
        <v>184</v>
      </c>
      <c r="V20" s="5">
        <v>205</v>
      </c>
      <c r="W20" s="4">
        <v>156</v>
      </c>
      <c r="X20" s="4">
        <v>151</v>
      </c>
    </row>
    <row r="21" spans="1:24" x14ac:dyDescent="0.15">
      <c r="A21" s="4" t="s">
        <v>9</v>
      </c>
      <c r="B21" s="6">
        <f>38.024+12.477+25.065</f>
        <v>75.566000000000003</v>
      </c>
      <c r="C21" s="6">
        <f>43.81+1.679+6.652</f>
        <v>52.141000000000005</v>
      </c>
      <c r="D21" s="6">
        <f>42.672+1.988+3.425+4.143</f>
        <v>52.227999999999994</v>
      </c>
      <c r="E21" s="6">
        <f>45.939+0.432+0.409+0.225</f>
        <v>47.005000000000003</v>
      </c>
      <c r="F21" s="5">
        <f>57.791+0.593</f>
        <v>58.384</v>
      </c>
      <c r="G21" s="3">
        <f>183.759+0.204</f>
        <v>183.96299999999999</v>
      </c>
      <c r="H21" s="3">
        <f>42.625+0.093-1.251</f>
        <v>41.467000000000006</v>
      </c>
      <c r="I21" s="3">
        <f>42.536+0.533</f>
        <v>43.069000000000003</v>
      </c>
      <c r="J21" s="5">
        <f>45.466+0.105</f>
        <v>45.570999999999998</v>
      </c>
      <c r="K21" s="6">
        <f>53.346+0.043</f>
        <v>53.388999999999996</v>
      </c>
      <c r="L21" s="6">
        <f>54.226+0.218</f>
        <v>54.444000000000003</v>
      </c>
      <c r="M21" s="6">
        <f>57.778+174+0.097</f>
        <v>231.875</v>
      </c>
      <c r="N21" s="5">
        <f>56.073+0.027</f>
        <v>56.1</v>
      </c>
      <c r="O21" s="6">
        <f>60.579+0.632</f>
        <v>61.210999999999999</v>
      </c>
      <c r="P21" s="6">
        <f>70.743+10+1.505+0.523</f>
        <v>82.770999999999987</v>
      </c>
      <c r="Q21" s="6">
        <f>74.758+69+0.268+1.492</f>
        <v>145.51799999999997</v>
      </c>
      <c r="R21" s="5">
        <f>95.774+0.352</f>
        <v>96.126000000000005</v>
      </c>
      <c r="S21" s="4">
        <v>83</v>
      </c>
      <c r="T21" s="4">
        <v>88</v>
      </c>
      <c r="U21" s="4">
        <v>99</v>
      </c>
      <c r="V21" s="5">
        <f>92+77</f>
        <v>169</v>
      </c>
      <c r="W21" s="4">
        <v>86</v>
      </c>
      <c r="X21" s="4">
        <v>86</v>
      </c>
    </row>
    <row r="22" spans="1:24" x14ac:dyDescent="0.15">
      <c r="A22" s="4" t="s">
        <v>10</v>
      </c>
      <c r="B22" s="39">
        <f>SUM(B19:B21)</f>
        <v>172.17700000000002</v>
      </c>
      <c r="C22" s="39">
        <f>SUM(C19:C21)</f>
        <v>191.82299999999998</v>
      </c>
      <c r="D22" s="39">
        <f>SUM(D19:D21)</f>
        <v>187.99</v>
      </c>
      <c r="E22" s="39">
        <f>SUM(E19:E21)</f>
        <v>180.60399999999998</v>
      </c>
      <c r="F22" s="40">
        <f>SUM(F19:F21)</f>
        <v>217.85599999999999</v>
      </c>
      <c r="G22" s="41">
        <f t="shared" ref="G22:M22" si="7">SUM(G19:G21)</f>
        <v>346.988</v>
      </c>
      <c r="H22" s="41">
        <f t="shared" si="7"/>
        <v>199.143</v>
      </c>
      <c r="I22" s="41">
        <f t="shared" si="7"/>
        <v>205.23500000000001</v>
      </c>
      <c r="J22" s="40">
        <f t="shared" si="7"/>
        <v>224.37899999999999</v>
      </c>
      <c r="K22" s="39">
        <f t="shared" si="7"/>
        <v>263.14799999999997</v>
      </c>
      <c r="L22" s="39">
        <f t="shared" si="7"/>
        <v>244.94100000000003</v>
      </c>
      <c r="M22" s="39">
        <f t="shared" si="7"/>
        <v>420.99700000000001</v>
      </c>
      <c r="N22" s="40">
        <f t="shared" ref="N22" si="8">SUM(N19:N21)</f>
        <v>287.32400000000001</v>
      </c>
      <c r="O22" s="39">
        <f t="shared" ref="O22:R22" si="9">SUM(O19:O21)</f>
        <v>309.31400000000002</v>
      </c>
      <c r="P22" s="39">
        <f t="shared" si="9"/>
        <v>316.81899999999996</v>
      </c>
      <c r="Q22" s="39">
        <f t="shared" si="9"/>
        <v>395.58199999999999</v>
      </c>
      <c r="R22" s="40">
        <f t="shared" si="9"/>
        <v>365.48299999999995</v>
      </c>
      <c r="S22" s="39">
        <f t="shared" ref="S22:T22" si="10">SUM(S19:S21)</f>
        <v>390</v>
      </c>
      <c r="T22" s="39">
        <f t="shared" si="10"/>
        <v>393</v>
      </c>
      <c r="U22" s="39">
        <f t="shared" ref="U22:W22" si="11">SUM(U19:U21)</f>
        <v>408</v>
      </c>
      <c r="V22" s="40">
        <f t="shared" si="11"/>
        <v>509</v>
      </c>
      <c r="W22" s="39">
        <f t="shared" si="11"/>
        <v>371</v>
      </c>
      <c r="X22" s="39">
        <f t="shared" ref="X22" si="12">SUM(X19:X21)</f>
        <v>364</v>
      </c>
    </row>
    <row r="23" spans="1:24" x14ac:dyDescent="0.15">
      <c r="A23" s="4" t="s">
        <v>11</v>
      </c>
      <c r="B23" s="39">
        <f>B18-B22</f>
        <v>-57.92300000000003</v>
      </c>
      <c r="C23" s="39">
        <f>C18-C22</f>
        <v>-37.59099999999998</v>
      </c>
      <c r="D23" s="39">
        <f>D18-D22</f>
        <v>-27.678000000000026</v>
      </c>
      <c r="E23" s="39">
        <f>E18-E22</f>
        <v>-26.338999999999999</v>
      </c>
      <c r="F23" s="40">
        <f>F18-F22</f>
        <v>-48.076999999999998</v>
      </c>
      <c r="G23" s="41">
        <f t="shared" ref="G23" si="13">G18-G22</f>
        <v>-155.33000000000001</v>
      </c>
      <c r="H23" s="41">
        <f t="shared" ref="H23:N23" si="14">H18-H22</f>
        <v>7.8410000000000082</v>
      </c>
      <c r="I23" s="41">
        <f t="shared" si="14"/>
        <v>2.7120000000000175</v>
      </c>
      <c r="J23" s="40">
        <f>J18-J22</f>
        <v>1.1639999999999873</v>
      </c>
      <c r="K23" s="39">
        <f t="shared" si="14"/>
        <v>-16.557999999999936</v>
      </c>
      <c r="L23" s="39">
        <f t="shared" si="14"/>
        <v>14.745999999999981</v>
      </c>
      <c r="M23" s="39">
        <f t="shared" si="14"/>
        <v>-161.22600000000006</v>
      </c>
      <c r="N23" s="40">
        <f t="shared" si="14"/>
        <v>-11.242999999999995</v>
      </c>
      <c r="O23" s="39">
        <f t="shared" ref="O23:R23" si="15">O18-O22</f>
        <v>-9.8410000000000082</v>
      </c>
      <c r="P23" s="39">
        <f t="shared" si="15"/>
        <v>-10.490999999999985</v>
      </c>
      <c r="Q23" s="39">
        <f t="shared" si="15"/>
        <v>-97.427000000000021</v>
      </c>
      <c r="R23" s="40">
        <f t="shared" si="15"/>
        <v>-63.83099999999996</v>
      </c>
      <c r="S23" s="39">
        <f t="shared" ref="S23:T23" si="16">S18-S22</f>
        <v>-61</v>
      </c>
      <c r="T23" s="39">
        <f t="shared" si="16"/>
        <v>-48</v>
      </c>
      <c r="U23" s="39">
        <f t="shared" ref="U23:W23" si="17">U18-U22</f>
        <v>-71</v>
      </c>
      <c r="V23" s="40">
        <f t="shared" si="17"/>
        <v>-145</v>
      </c>
      <c r="W23" s="39">
        <f t="shared" si="17"/>
        <v>-64</v>
      </c>
      <c r="X23" s="39">
        <f t="shared" ref="X23" si="18">X18-X22</f>
        <v>76</v>
      </c>
    </row>
    <row r="24" spans="1:24" x14ac:dyDescent="0.15">
      <c r="A24" s="4" t="s">
        <v>12</v>
      </c>
      <c r="B24" s="6">
        <f>0.269-0.73</f>
        <v>-0.46099999999999997</v>
      </c>
      <c r="C24" s="6">
        <f>0.45-1.58</f>
        <v>-1.1300000000000001</v>
      </c>
      <c r="D24" s="6">
        <f>0.366-1.59</f>
        <v>-1.2240000000000002</v>
      </c>
      <c r="E24" s="6">
        <f>0.416-1.589</f>
        <v>-1.173</v>
      </c>
      <c r="F24" s="5">
        <f>0.681-1.573</f>
        <v>-0.8919999999999999</v>
      </c>
      <c r="G24" s="3">
        <f>0.753-1.572</f>
        <v>-0.81900000000000006</v>
      </c>
      <c r="H24" s="3">
        <f>0.561-1.595</f>
        <v>-1.0339999999999998</v>
      </c>
      <c r="I24" s="3">
        <f>0.716-2.668-22.757</f>
        <v>-24.709000000000003</v>
      </c>
      <c r="J24" s="5">
        <f>0.953-6.723</f>
        <v>-5.77</v>
      </c>
      <c r="K24" s="6">
        <f>1.61-6.897</f>
        <v>-5.2869999999999999</v>
      </c>
      <c r="L24" s="6">
        <f>1.407-6.906</f>
        <v>-5.4989999999999997</v>
      </c>
      <c r="M24" s="6">
        <f>1.415-6.991</f>
        <v>-5.5759999999999996</v>
      </c>
      <c r="N24" s="5">
        <f>2.446-7.073</f>
        <v>-4.6270000000000007</v>
      </c>
      <c r="O24" s="6">
        <f>3.089-7.187</f>
        <v>-4.0980000000000008</v>
      </c>
      <c r="P24" s="6">
        <f>7.773-12.668</f>
        <v>-4.8949999999999996</v>
      </c>
      <c r="Q24" s="55">
        <f>5.962-14.327</f>
        <v>-8.3650000000000002</v>
      </c>
      <c r="R24" s="5">
        <f>9.168-16.466</f>
        <v>-7.2980000000000018</v>
      </c>
      <c r="S24" s="4">
        <f>9-19</f>
        <v>-10</v>
      </c>
      <c r="T24" s="4">
        <f>9-27</f>
        <v>-18</v>
      </c>
      <c r="U24" s="4">
        <f>12-40</f>
        <v>-28</v>
      </c>
      <c r="V24" s="5">
        <f>9-38</f>
        <v>-29</v>
      </c>
      <c r="W24" s="4">
        <f>6+10-38</f>
        <v>-22</v>
      </c>
      <c r="X24" s="4">
        <f>3-39</f>
        <v>-36</v>
      </c>
    </row>
    <row r="25" spans="1:24" x14ac:dyDescent="0.15">
      <c r="A25" s="4" t="s">
        <v>13</v>
      </c>
      <c r="B25" s="39">
        <f>B23+B24</f>
        <v>-58.384000000000029</v>
      </c>
      <c r="C25" s="39">
        <f>C23+C24</f>
        <v>-38.720999999999982</v>
      </c>
      <c r="D25" s="39">
        <f>D23+D24</f>
        <v>-28.902000000000026</v>
      </c>
      <c r="E25" s="39">
        <f>E23+E24</f>
        <v>-27.512</v>
      </c>
      <c r="F25" s="40">
        <f>F23+F24</f>
        <v>-48.969000000000001</v>
      </c>
      <c r="G25" s="41">
        <f t="shared" ref="G25:I25" si="19">G23+G24</f>
        <v>-156.149</v>
      </c>
      <c r="H25" s="41">
        <f t="shared" si="19"/>
        <v>6.8070000000000084</v>
      </c>
      <c r="I25" s="41">
        <f t="shared" si="19"/>
        <v>-21.996999999999986</v>
      </c>
      <c r="J25" s="40">
        <f t="shared" ref="J25:K25" si="20">J23+J24</f>
        <v>-4.6060000000000123</v>
      </c>
      <c r="K25" s="39">
        <f t="shared" si="20"/>
        <v>-21.844999999999935</v>
      </c>
      <c r="L25" s="39">
        <f t="shared" ref="L25:M25" si="21">L23+L24</f>
        <v>9.2469999999999821</v>
      </c>
      <c r="M25" s="39">
        <f t="shared" si="21"/>
        <v>-166.80200000000005</v>
      </c>
      <c r="N25" s="40">
        <f t="shared" ref="N25" si="22">N23+N24</f>
        <v>-15.869999999999996</v>
      </c>
      <c r="O25" s="39">
        <f t="shared" ref="O25:S25" si="23">O23+O24</f>
        <v>-13.939000000000009</v>
      </c>
      <c r="P25" s="39">
        <f t="shared" si="23"/>
        <v>-15.385999999999985</v>
      </c>
      <c r="Q25" s="39">
        <f t="shared" si="23"/>
        <v>-105.79200000000002</v>
      </c>
      <c r="R25" s="40">
        <f t="shared" si="23"/>
        <v>-71.128999999999962</v>
      </c>
      <c r="S25" s="39">
        <f t="shared" si="23"/>
        <v>-71</v>
      </c>
      <c r="T25" s="39">
        <f t="shared" ref="T25:X25" si="24">T23+T24</f>
        <v>-66</v>
      </c>
      <c r="U25" s="39">
        <f t="shared" si="24"/>
        <v>-99</v>
      </c>
      <c r="V25" s="40">
        <f t="shared" si="24"/>
        <v>-174</v>
      </c>
      <c r="W25" s="39">
        <f t="shared" si="24"/>
        <v>-86</v>
      </c>
      <c r="X25" s="39">
        <f t="shared" si="24"/>
        <v>40</v>
      </c>
    </row>
    <row r="26" spans="1:24" x14ac:dyDescent="0.15">
      <c r="A26" s="4" t="s">
        <v>14</v>
      </c>
      <c r="B26" s="6">
        <v>0</v>
      </c>
      <c r="C26" s="6">
        <v>0</v>
      </c>
      <c r="D26" s="6">
        <v>-2.8530000000000002</v>
      </c>
      <c r="E26" s="6">
        <v>-1.792</v>
      </c>
      <c r="F26" s="5">
        <v>-1.3640000000000001</v>
      </c>
      <c r="G26" s="3">
        <v>0</v>
      </c>
      <c r="H26" s="3">
        <v>0</v>
      </c>
      <c r="I26" s="3">
        <v>1.494</v>
      </c>
      <c r="J26" s="5">
        <v>0</v>
      </c>
      <c r="K26" s="6">
        <v>0</v>
      </c>
      <c r="L26" s="6">
        <v>4.1000000000000002E-2</v>
      </c>
      <c r="M26" s="6">
        <v>-89.626999999999995</v>
      </c>
      <c r="N26" s="5">
        <v>2.6</v>
      </c>
      <c r="O26" s="6">
        <v>-10.6</v>
      </c>
      <c r="P26" s="6">
        <v>-14.7</v>
      </c>
      <c r="Q26" s="55">
        <v>-8.4019999999999992</v>
      </c>
      <c r="R26" s="5">
        <v>-2.5</v>
      </c>
      <c r="S26" s="4">
        <v>0</v>
      </c>
      <c r="T26" s="4">
        <v>-1</v>
      </c>
      <c r="U26" s="4">
        <v>0</v>
      </c>
      <c r="V26" s="5">
        <v>-9</v>
      </c>
      <c r="W26" s="4">
        <v>1</v>
      </c>
      <c r="X26" s="4">
        <v>0</v>
      </c>
    </row>
    <row r="27" spans="1:24" s="9" customFormat="1" x14ac:dyDescent="0.15">
      <c r="A27" s="9" t="s">
        <v>15</v>
      </c>
      <c r="B27" s="37">
        <f t="shared" ref="B27:G27" si="25">B25-B26</f>
        <v>-58.384000000000029</v>
      </c>
      <c r="C27" s="37">
        <f t="shared" si="25"/>
        <v>-38.720999999999982</v>
      </c>
      <c r="D27" s="37">
        <f t="shared" si="25"/>
        <v>-26.049000000000024</v>
      </c>
      <c r="E27" s="37">
        <f>E25-E26</f>
        <v>-25.72</v>
      </c>
      <c r="F27" s="38">
        <f t="shared" si="25"/>
        <v>-47.605000000000004</v>
      </c>
      <c r="G27" s="42">
        <f t="shared" si="25"/>
        <v>-156.149</v>
      </c>
      <c r="H27" s="42">
        <f t="shared" ref="H27" si="26">H25-H26</f>
        <v>6.8070000000000084</v>
      </c>
      <c r="I27" s="42">
        <f t="shared" ref="I27:Q27" si="27">I25-I26</f>
        <v>-23.490999999999985</v>
      </c>
      <c r="J27" s="38">
        <f t="shared" si="27"/>
        <v>-4.6060000000000123</v>
      </c>
      <c r="K27" s="37">
        <f t="shared" si="27"/>
        <v>-21.844999999999935</v>
      </c>
      <c r="L27" s="37">
        <f t="shared" si="27"/>
        <v>9.2059999999999818</v>
      </c>
      <c r="M27" s="37">
        <f t="shared" si="27"/>
        <v>-77.175000000000054</v>
      </c>
      <c r="N27" s="38">
        <f t="shared" si="27"/>
        <v>-18.469999999999995</v>
      </c>
      <c r="O27" s="37">
        <f t="shared" si="27"/>
        <v>-3.3390000000000093</v>
      </c>
      <c r="P27" s="37">
        <f t="shared" si="27"/>
        <v>-0.68599999999998573</v>
      </c>
      <c r="Q27" s="37">
        <f t="shared" si="27"/>
        <v>-97.390000000000015</v>
      </c>
      <c r="R27" s="38">
        <f t="shared" ref="R27:S27" si="28">R25-R26</f>
        <v>-68.628999999999962</v>
      </c>
      <c r="S27" s="37">
        <f t="shared" si="28"/>
        <v>-71</v>
      </c>
      <c r="T27" s="37">
        <f t="shared" ref="T27:W27" si="29">T25-T26</f>
        <v>-65</v>
      </c>
      <c r="U27" s="37">
        <f t="shared" si="29"/>
        <v>-99</v>
      </c>
      <c r="V27" s="38">
        <f t="shared" si="29"/>
        <v>-165</v>
      </c>
      <c r="W27" s="37">
        <f t="shared" si="29"/>
        <v>-87</v>
      </c>
      <c r="X27" s="37">
        <f t="shared" ref="X27" si="30">X25-X26</f>
        <v>40</v>
      </c>
    </row>
    <row r="28" spans="1:24" x14ac:dyDescent="0.15">
      <c r="A28" s="4" t="s">
        <v>16</v>
      </c>
      <c r="B28" s="43">
        <f t="shared" ref="B28:H28" si="31">IFERROR(B27/B29,0)</f>
        <v>-1.1883574190922048</v>
      </c>
      <c r="C28" s="43">
        <f t="shared" si="31"/>
        <v>-0.65948496099737686</v>
      </c>
      <c r="D28" s="43">
        <f t="shared" si="31"/>
        <v>-0.14708805294243876</v>
      </c>
      <c r="E28" s="43">
        <f t="shared" si="31"/>
        <v>-0.14447814852263788</v>
      </c>
      <c r="F28" s="44">
        <f t="shared" si="31"/>
        <v>-0.26641706680993477</v>
      </c>
      <c r="G28" s="45">
        <f t="shared" si="31"/>
        <v>-0.87014839705546365</v>
      </c>
      <c r="H28" s="45">
        <f t="shared" si="31"/>
        <v>3.5890351732828618E-2</v>
      </c>
      <c r="I28" s="45">
        <f t="shared" ref="I28:M28" si="32">IFERROR(I27/I29,0)</f>
        <v>-0.12917647317598918</v>
      </c>
      <c r="J28" s="44">
        <f t="shared" si="32"/>
        <v>-2.5147686696731852E-2</v>
      </c>
      <c r="K28" s="43">
        <f t="shared" si="32"/>
        <v>-0.11780154120762049</v>
      </c>
      <c r="L28" s="43">
        <f t="shared" si="32"/>
        <v>4.6867761232022305E-2</v>
      </c>
      <c r="M28" s="43">
        <f t="shared" si="32"/>
        <v>-0.40738707446724304</v>
      </c>
      <c r="N28" s="44">
        <f>IFERROR(N27/N29,0)</f>
        <v>-9.6467220991935804E-2</v>
      </c>
      <c r="O28" s="43">
        <f t="shared" ref="O28:Q28" si="33">IFERROR(O27/O29,0)</f>
        <v>-1.7197599855785374E-2</v>
      </c>
      <c r="P28" s="43">
        <f t="shared" si="33"/>
        <v>-3.3890601533474911E-3</v>
      </c>
      <c r="Q28" s="43">
        <f t="shared" si="33"/>
        <v>-0.47843152666768196</v>
      </c>
      <c r="R28" s="44">
        <f>IFERROR(R27/R29,0)</f>
        <v>-0.33557115894266387</v>
      </c>
      <c r="S28" s="43">
        <f t="shared" ref="S28:T28" si="34">IFERROR(S27/S29,0)</f>
        <v>-0.34507227076994862</v>
      </c>
      <c r="T28" s="43">
        <f t="shared" si="34"/>
        <v>-0.31400662795528544</v>
      </c>
      <c r="U28" s="43">
        <f t="shared" ref="U28" si="35">IFERROR(U27/U29,0)</f>
        <v>-0.47549518741234559</v>
      </c>
      <c r="V28" s="44">
        <f>IFERROR(V27/V29,0)</f>
        <v>-0.78320058478976995</v>
      </c>
      <c r="W28" s="43">
        <f t="shared" ref="W28:X28" si="36">IFERROR(W27/W29,0)</f>
        <v>-0.39641495076708572</v>
      </c>
      <c r="X28" s="43">
        <f t="shared" si="36"/>
        <v>0.16485871608031916</v>
      </c>
    </row>
    <row r="29" spans="1:24" s="47" customFormat="1" x14ac:dyDescent="0.15">
      <c r="A29" s="47" t="s">
        <v>17</v>
      </c>
      <c r="B29" s="6">
        <v>49.13</v>
      </c>
      <c r="C29" s="6">
        <v>58.713999999999999</v>
      </c>
      <c r="D29" s="6">
        <v>177.09800000000001</v>
      </c>
      <c r="E29" s="6">
        <v>178.02</v>
      </c>
      <c r="F29" s="5">
        <v>178.68600000000001</v>
      </c>
      <c r="G29" s="6">
        <v>179.45099999999999</v>
      </c>
      <c r="H29" s="6">
        <v>189.661</v>
      </c>
      <c r="I29" s="6">
        <v>181.852</v>
      </c>
      <c r="J29" s="5">
        <v>183.15799999999999</v>
      </c>
      <c r="K29" s="6">
        <v>185.43899999999999</v>
      </c>
      <c r="L29" s="6">
        <v>196.42500000000001</v>
      </c>
      <c r="M29" s="6">
        <v>189.43899999999999</v>
      </c>
      <c r="N29" s="5">
        <v>191.464</v>
      </c>
      <c r="O29" s="6">
        <v>194.155</v>
      </c>
      <c r="P29" s="6">
        <v>202.416</v>
      </c>
      <c r="Q29" s="55">
        <v>203.56100000000001</v>
      </c>
      <c r="R29" s="5">
        <v>204.51400000000001</v>
      </c>
      <c r="S29" s="47">
        <v>205.75399999999999</v>
      </c>
      <c r="T29" s="47">
        <v>207.00200000000001</v>
      </c>
      <c r="U29" s="47">
        <v>208.20400000000001</v>
      </c>
      <c r="V29" s="5">
        <v>210.67400000000001</v>
      </c>
      <c r="W29" s="47">
        <v>219.46700000000001</v>
      </c>
      <c r="X29" s="47">
        <v>242.63200000000001</v>
      </c>
    </row>
    <row r="30" spans="1:24" x14ac:dyDescent="0.15">
      <c r="B30" s="6"/>
      <c r="C30" s="6"/>
      <c r="D30" s="6"/>
      <c r="E30" s="6"/>
      <c r="F30" s="5"/>
      <c r="G30" s="6"/>
      <c r="H30" s="6"/>
      <c r="I30" s="6"/>
      <c r="J30" s="5"/>
      <c r="K30" s="6"/>
      <c r="L30" s="6"/>
      <c r="M30" s="6"/>
      <c r="N30" s="5"/>
      <c r="O30" s="6"/>
      <c r="P30" s="6"/>
      <c r="Q30" s="53"/>
      <c r="R30" s="5"/>
      <c r="V30" s="5"/>
    </row>
    <row r="31" spans="1:24" x14ac:dyDescent="0.15">
      <c r="A31" s="4" t="s">
        <v>19</v>
      </c>
      <c r="B31" s="16">
        <f t="shared" ref="B31:Q31" si="37">IFERROR(B18/B16,0)</f>
        <v>0.8977080763398364</v>
      </c>
      <c r="C31" s="16">
        <f t="shared" si="37"/>
        <v>0.90052490526598505</v>
      </c>
      <c r="D31" s="16">
        <f t="shared" si="37"/>
        <v>0.90692161909880342</v>
      </c>
      <c r="E31" s="16">
        <f t="shared" si="37"/>
        <v>0.91081655547027218</v>
      </c>
      <c r="F31" s="17">
        <f t="shared" si="37"/>
        <v>0.91287866567732356</v>
      </c>
      <c r="G31" s="18">
        <f t="shared" si="37"/>
        <v>0.91965086874949009</v>
      </c>
      <c r="H31" s="18">
        <f t="shared" si="37"/>
        <v>0.9216000569922348</v>
      </c>
      <c r="I31" s="18">
        <f t="shared" si="37"/>
        <v>0.91360297348118735</v>
      </c>
      <c r="J31" s="17">
        <f t="shared" si="37"/>
        <v>0.91768080561489163</v>
      </c>
      <c r="K31" s="16">
        <f t="shared" si="37"/>
        <v>0.92407719692711265</v>
      </c>
      <c r="L31" s="16">
        <f t="shared" si="37"/>
        <v>0.92140193514737145</v>
      </c>
      <c r="M31" s="16">
        <f t="shared" si="37"/>
        <v>0.92009704955194271</v>
      </c>
      <c r="N31" s="17">
        <f t="shared" si="37"/>
        <v>0.92027000000000003</v>
      </c>
      <c r="O31" s="16">
        <f t="shared" si="37"/>
        <v>0.92145538461538468</v>
      </c>
      <c r="P31" s="16">
        <f t="shared" si="37"/>
        <v>0.89308454810495619</v>
      </c>
      <c r="Q31" s="16">
        <f t="shared" si="37"/>
        <v>0.81546220601870212</v>
      </c>
      <c r="R31" s="17">
        <f t="shared" ref="R31:S31" si="38">IFERROR(R18/R16,0)</f>
        <v>0.66589845474613685</v>
      </c>
      <c r="S31" s="16">
        <f t="shared" si="38"/>
        <v>0.54833333333333334</v>
      </c>
      <c r="T31" s="16">
        <f t="shared" ref="T31:V31" si="39">IFERROR(T18/T16,0)</f>
        <v>0.46308724832214765</v>
      </c>
      <c r="U31" s="16">
        <f t="shared" si="39"/>
        <v>0.35699152542372881</v>
      </c>
      <c r="V31" s="17">
        <f t="shared" si="39"/>
        <v>0.32326820603907636</v>
      </c>
      <c r="W31" s="16">
        <f t="shared" ref="W31:X31" si="40">IFERROR(W18/W16,0)</f>
        <v>0.39973958333333331</v>
      </c>
      <c r="X31" s="16">
        <f t="shared" si="40"/>
        <v>0.67073170731707321</v>
      </c>
    </row>
    <row r="32" spans="1:24" x14ac:dyDescent="0.15">
      <c r="A32" s="4" t="s">
        <v>20</v>
      </c>
      <c r="B32" s="19">
        <f t="shared" ref="B32:Q32" si="41">IFERROR(B23/B16,0)</f>
        <v>-0.45510831048219208</v>
      </c>
      <c r="C32" s="19">
        <f t="shared" si="41"/>
        <v>-0.21948513741541073</v>
      </c>
      <c r="D32" s="19">
        <f t="shared" si="41"/>
        <v>-0.15658077108024795</v>
      </c>
      <c r="E32" s="19">
        <f t="shared" si="41"/>
        <v>-0.15551160181850388</v>
      </c>
      <c r="F32" s="20">
        <f t="shared" si="41"/>
        <v>-0.25850351109247133</v>
      </c>
      <c r="G32" s="21">
        <f t="shared" si="41"/>
        <v>-0.74533476005623733</v>
      </c>
      <c r="H32" s="21">
        <f t="shared" si="41"/>
        <v>3.4912196338248949E-2</v>
      </c>
      <c r="I32" s="21">
        <f t="shared" si="41"/>
        <v>1.1915013268193317E-2</v>
      </c>
      <c r="J32" s="20">
        <f t="shared" si="41"/>
        <v>4.736039060115908E-3</v>
      </c>
      <c r="K32" s="19">
        <f t="shared" si="41"/>
        <v>-6.2049840734494786E-2</v>
      </c>
      <c r="L32" s="19">
        <f t="shared" si="41"/>
        <v>5.2320651151898712E-2</v>
      </c>
      <c r="M32" s="19">
        <f t="shared" si="41"/>
        <v>-0.57105514823079395</v>
      </c>
      <c r="N32" s="20">
        <f t="shared" si="41"/>
        <v>-3.7476666666666651E-2</v>
      </c>
      <c r="O32" s="19">
        <f t="shared" si="41"/>
        <v>-3.0280000000000026E-2</v>
      </c>
      <c r="P32" s="19">
        <f t="shared" si="41"/>
        <v>-3.0586005830903748E-2</v>
      </c>
      <c r="Q32" s="19">
        <f t="shared" si="41"/>
        <v>-0.26646555095767005</v>
      </c>
      <c r="R32" s="20">
        <f t="shared" ref="R32:S32" si="42">IFERROR(R23/R16,0)</f>
        <v>-0.14090728476821182</v>
      </c>
      <c r="S32" s="19">
        <f t="shared" si="42"/>
        <v>-0.10166666666666667</v>
      </c>
      <c r="T32" s="19">
        <f t="shared" ref="T32:V32" si="43">IFERROR(T23/T16,0)</f>
        <v>-6.4429530201342289E-2</v>
      </c>
      <c r="U32" s="19">
        <f t="shared" si="43"/>
        <v>-7.5211864406779655E-2</v>
      </c>
      <c r="V32" s="20">
        <f t="shared" si="43"/>
        <v>-0.12877442273534637</v>
      </c>
      <c r="W32" s="19">
        <f t="shared" ref="W32:X32" si="44">IFERROR(W23/W16,0)</f>
        <v>-8.3333333333333329E-2</v>
      </c>
      <c r="X32" s="19">
        <f t="shared" si="44"/>
        <v>0.11585365853658537</v>
      </c>
    </row>
    <row r="33" spans="1:24" x14ac:dyDescent="0.15">
      <c r="A33" s="4" t="s">
        <v>21</v>
      </c>
      <c r="B33" s="19">
        <f t="shared" ref="B33:Q33" si="45">IFERROR(B26/B25,0)</f>
        <v>0</v>
      </c>
      <c r="C33" s="19">
        <f t="shared" si="45"/>
        <v>0</v>
      </c>
      <c r="D33" s="19">
        <f t="shared" si="45"/>
        <v>9.8712891841394979E-2</v>
      </c>
      <c r="E33" s="19">
        <f t="shared" si="45"/>
        <v>6.5135213724920038E-2</v>
      </c>
      <c r="F33" s="20">
        <f t="shared" si="45"/>
        <v>2.7854356837999552E-2</v>
      </c>
      <c r="G33" s="21">
        <f t="shared" si="45"/>
        <v>0</v>
      </c>
      <c r="H33" s="21">
        <f t="shared" si="45"/>
        <v>0</v>
      </c>
      <c r="I33" s="21">
        <f t="shared" si="45"/>
        <v>-6.7918352502614035E-2</v>
      </c>
      <c r="J33" s="20">
        <f t="shared" si="45"/>
        <v>0</v>
      </c>
      <c r="K33" s="19">
        <f t="shared" si="45"/>
        <v>0</v>
      </c>
      <c r="L33" s="19">
        <f t="shared" si="45"/>
        <v>4.4338704444684849E-3</v>
      </c>
      <c r="M33" s="19">
        <f t="shared" si="45"/>
        <v>0.53732569153847054</v>
      </c>
      <c r="N33" s="20">
        <f t="shared" si="45"/>
        <v>-0.16383112791430376</v>
      </c>
      <c r="O33" s="19">
        <f t="shared" si="45"/>
        <v>0.76045627376425806</v>
      </c>
      <c r="P33" s="19">
        <f t="shared" si="45"/>
        <v>0.9554140127388544</v>
      </c>
      <c r="Q33" s="19">
        <f t="shared" si="45"/>
        <v>7.9419993950393203E-2</v>
      </c>
      <c r="R33" s="20">
        <f t="shared" ref="R33:S33" si="46">IFERROR(R26/R25,0)</f>
        <v>3.5147408230117132E-2</v>
      </c>
      <c r="S33" s="19">
        <f t="shared" si="46"/>
        <v>0</v>
      </c>
      <c r="T33" s="19">
        <f t="shared" ref="T33:V33" si="47">IFERROR(T26/T25,0)</f>
        <v>1.5151515151515152E-2</v>
      </c>
      <c r="U33" s="19">
        <f t="shared" si="47"/>
        <v>0</v>
      </c>
      <c r="V33" s="20">
        <f t="shared" si="47"/>
        <v>5.1724137931034482E-2</v>
      </c>
      <c r="W33" s="19">
        <f t="shared" ref="W33:X33" si="48">IFERROR(W26/W25,0)</f>
        <v>-1.1627906976744186E-2</v>
      </c>
      <c r="X33" s="19">
        <f t="shared" si="48"/>
        <v>0</v>
      </c>
    </row>
    <row r="34" spans="1:24" x14ac:dyDescent="0.15">
      <c r="B34" s="8"/>
      <c r="C34" s="8"/>
      <c r="D34" s="8"/>
      <c r="E34" s="8"/>
      <c r="K34" s="8"/>
      <c r="L34" s="8"/>
      <c r="M34" s="8"/>
      <c r="O34" s="8"/>
      <c r="P34" s="8"/>
      <c r="Q34" s="8"/>
      <c r="R34" s="7"/>
      <c r="S34" s="8"/>
      <c r="T34" s="8"/>
      <c r="U34" s="8"/>
      <c r="V34" s="7"/>
      <c r="W34" s="8"/>
      <c r="X34" s="8"/>
    </row>
    <row r="35" spans="1:24" s="9" customFormat="1" x14ac:dyDescent="0.15">
      <c r="A35" s="9" t="s">
        <v>18</v>
      </c>
      <c r="B35" s="12"/>
      <c r="C35" s="12"/>
      <c r="D35" s="12"/>
      <c r="E35" s="12"/>
      <c r="F35" s="13">
        <f t="shared" ref="F35:R35" si="49">IFERROR((F16/B16)-1,0)</f>
        <v>0.46128401153426113</v>
      </c>
      <c r="G35" s="12">
        <f t="shared" si="49"/>
        <v>0.21681682032358451</v>
      </c>
      <c r="H35" s="12">
        <f t="shared" si="49"/>
        <v>0.27056826860521044</v>
      </c>
      <c r="I35" s="12">
        <f t="shared" si="49"/>
        <v>0.34387435791462506</v>
      </c>
      <c r="J35" s="13">
        <f t="shared" si="49"/>
        <v>0.32149885472787676</v>
      </c>
      <c r="K35" s="12">
        <f t="shared" si="49"/>
        <v>0.2804518169124246</v>
      </c>
      <c r="L35" s="12">
        <f t="shared" si="49"/>
        <v>0.25489331766046863</v>
      </c>
      <c r="M35" s="12">
        <f t="shared" si="49"/>
        <v>0.24040033038679831</v>
      </c>
      <c r="N35" s="13">
        <f t="shared" si="49"/>
        <v>0.22062862374122694</v>
      </c>
      <c r="O35" s="12">
        <f t="shared" si="49"/>
        <v>0.21791268502904249</v>
      </c>
      <c r="P35" s="12">
        <f t="shared" si="49"/>
        <v>0.21700687271811203</v>
      </c>
      <c r="Q35" s="12">
        <f t="shared" si="49"/>
        <v>0.295034179860447</v>
      </c>
      <c r="R35" s="13">
        <f t="shared" si="49"/>
        <v>0.51</v>
      </c>
      <c r="S35" s="12">
        <f>IFERROR((S16/O16)-1,0)</f>
        <v>0.84615384615384626</v>
      </c>
      <c r="T35" s="12">
        <f>IFERROR((T16/P16)-1,0)</f>
        <v>1.1720116618075802</v>
      </c>
      <c r="U35" s="12">
        <f>IFERROR((U16/Q16)-1,0)</f>
        <v>1.5818662188514527</v>
      </c>
      <c r="V35" s="13">
        <f t="shared" ref="V35" si="50">IFERROR((V16/R16)-1,0)</f>
        <v>1.4856512141280351</v>
      </c>
      <c r="W35" s="12">
        <f>IFERROR((W16/S16)-1,0)</f>
        <v>0.28000000000000003</v>
      </c>
      <c r="X35" s="12">
        <f>IFERROR((X16/T16)-1,0)</f>
        <v>-0.11946308724832211</v>
      </c>
    </row>
    <row r="36" spans="1:24" s="9" customFormat="1" x14ac:dyDescent="0.15">
      <c r="A36" s="4" t="s">
        <v>34</v>
      </c>
      <c r="B36" s="14"/>
      <c r="C36" s="14"/>
      <c r="D36" s="14"/>
      <c r="E36" s="14"/>
      <c r="F36" s="15">
        <f t="shared" ref="F36:X38" si="51">IFERROR((F19/B19)-1,0)</f>
        <v>0.61744139316811775</v>
      </c>
      <c r="G36" s="14">
        <f t="shared" si="51"/>
        <v>0.22528024739080021</v>
      </c>
      <c r="H36" s="14">
        <f t="shared" si="51"/>
        <v>0.20064038125023242</v>
      </c>
      <c r="I36" s="14">
        <f t="shared" si="51"/>
        <v>0.29176078304829534</v>
      </c>
      <c r="J36" s="15">
        <f t="shared" si="51"/>
        <v>0.20700336254161744</v>
      </c>
      <c r="K36" s="14">
        <f t="shared" si="51"/>
        <v>0.23889519843523255</v>
      </c>
      <c r="L36" s="14">
        <f t="shared" si="51"/>
        <v>0.2929328950632597</v>
      </c>
      <c r="M36" s="14">
        <f t="shared" si="51"/>
        <v>0.18221685610003191</v>
      </c>
      <c r="N36" s="15">
        <f t="shared" si="51"/>
        <v>0.28908437174068191</v>
      </c>
      <c r="O36" s="14">
        <f t="shared" si="51"/>
        <v>0.27800766478654482</v>
      </c>
      <c r="P36" s="14">
        <f t="shared" si="51"/>
        <v>0.26292436652316242</v>
      </c>
      <c r="Q36" s="14">
        <f t="shared" si="51"/>
        <v>0.30530480002817328</v>
      </c>
      <c r="R36" s="15">
        <f t="shared" si="51"/>
        <v>0.14730712316225381</v>
      </c>
      <c r="S36" s="14">
        <f t="shared" si="51"/>
        <v>0.19550490157009648</v>
      </c>
      <c r="T36" s="14">
        <f t="shared" si="51"/>
        <v>0.17743130068177071</v>
      </c>
      <c r="U36" s="14">
        <f t="shared" si="51"/>
        <v>0.12415126579432534</v>
      </c>
      <c r="V36" s="15">
        <f t="shared" si="51"/>
        <v>0.25266771828894874</v>
      </c>
      <c r="W36" s="14">
        <f t="shared" si="51"/>
        <v>7.4999999999999956E-2</v>
      </c>
      <c r="X36" s="14">
        <f t="shared" si="51"/>
        <v>2.4193548387096753E-2</v>
      </c>
    </row>
    <row r="37" spans="1:24" s="9" customFormat="1" x14ac:dyDescent="0.15">
      <c r="A37" s="4" t="s">
        <v>35</v>
      </c>
      <c r="B37" s="14"/>
      <c r="C37" s="14"/>
      <c r="D37" s="14"/>
      <c r="E37" s="14"/>
      <c r="F37" s="15">
        <f t="shared" si="51"/>
        <v>0.67157507674661798</v>
      </c>
      <c r="G37" s="14">
        <f t="shared" si="51"/>
        <v>0.13289440767778782</v>
      </c>
      <c r="H37" s="14">
        <f t="shared" si="51"/>
        <v>0.13573204621910206</v>
      </c>
      <c r="I37" s="14">
        <f t="shared" si="51"/>
        <v>0.15796034285567417</v>
      </c>
      <c r="J37" s="15">
        <f t="shared" si="51"/>
        <v>6.9010403527714148E-2</v>
      </c>
      <c r="K37" s="14">
        <f t="shared" si="51"/>
        <v>0.31706631603248026</v>
      </c>
      <c r="L37" s="14">
        <f t="shared" si="51"/>
        <v>0.14947413608070392</v>
      </c>
      <c r="M37" s="14">
        <f t="shared" si="51"/>
        <v>0.15343639370096218</v>
      </c>
      <c r="N37" s="15">
        <f t="shared" si="51"/>
        <v>0.29593165942986599</v>
      </c>
      <c r="O37" s="14">
        <f t="shared" si="51"/>
        <v>0.12581353168010501</v>
      </c>
      <c r="P37" s="14">
        <f t="shared" si="51"/>
        <v>0.20190835418456143</v>
      </c>
      <c r="Q37" s="14">
        <f t="shared" si="51"/>
        <v>0.3361139173521912</v>
      </c>
      <c r="R37" s="15">
        <f t="shared" si="51"/>
        <v>0.1769671719194994</v>
      </c>
      <c r="S37" s="14">
        <f t="shared" si="51"/>
        <v>0.26584849079721384</v>
      </c>
      <c r="T37" s="14">
        <f t="shared" si="51"/>
        <v>0.40599996892817747</v>
      </c>
      <c r="U37" s="14">
        <f t="shared" si="51"/>
        <v>0.32498973853055757</v>
      </c>
      <c r="V37" s="15">
        <f t="shared" si="51"/>
        <v>0.26866641499625588</v>
      </c>
      <c r="W37" s="14">
        <f t="shared" si="51"/>
        <v>-0.16577540106951871</v>
      </c>
      <c r="X37" s="14">
        <f t="shared" si="51"/>
        <v>-0.16574585635359118</v>
      </c>
    </row>
    <row r="38" spans="1:24" s="9" customFormat="1" x14ac:dyDescent="0.15">
      <c r="A38" s="4" t="s">
        <v>36</v>
      </c>
      <c r="B38" s="14"/>
      <c r="C38" s="14"/>
      <c r="D38" s="14"/>
      <c r="E38" s="14"/>
      <c r="F38" s="15">
        <f t="shared" si="51"/>
        <v>-0.22737739194876005</v>
      </c>
      <c r="G38" s="14">
        <f t="shared" si="51"/>
        <v>2.5281831955658691</v>
      </c>
      <c r="H38" s="14">
        <f t="shared" si="51"/>
        <v>-0.20603890633376709</v>
      </c>
      <c r="I38" s="14">
        <f t="shared" si="51"/>
        <v>-8.3735772790128671E-2</v>
      </c>
      <c r="J38" s="15">
        <f t="shared" si="51"/>
        <v>-0.21946081118114558</v>
      </c>
      <c r="K38" s="14">
        <f t="shared" si="51"/>
        <v>-0.70978403265874124</v>
      </c>
      <c r="L38" s="14">
        <f t="shared" si="51"/>
        <v>0.31294764511539275</v>
      </c>
      <c r="M38" s="14">
        <f t="shared" si="51"/>
        <v>4.3838027351459283</v>
      </c>
      <c r="N38" s="15">
        <f t="shared" si="51"/>
        <v>0.23104605999429473</v>
      </c>
      <c r="O38" s="14">
        <f t="shared" si="51"/>
        <v>0.14650958062522257</v>
      </c>
      <c r="P38" s="14">
        <f t="shared" si="51"/>
        <v>0.52029608404966532</v>
      </c>
      <c r="Q38" s="14">
        <f t="shared" si="51"/>
        <v>-0.37242911051212946</v>
      </c>
      <c r="R38" s="15">
        <f t="shared" si="51"/>
        <v>0.71347593582887714</v>
      </c>
      <c r="S38" s="14">
        <f t="shared" si="51"/>
        <v>0.35596543104997469</v>
      </c>
      <c r="T38" s="14">
        <f t="shared" si="51"/>
        <v>6.3174300177598619E-2</v>
      </c>
      <c r="U38" s="14">
        <f t="shared" si="51"/>
        <v>-0.31967179318022498</v>
      </c>
      <c r="V38" s="15">
        <f t="shared" si="51"/>
        <v>0.75810914840937937</v>
      </c>
      <c r="W38" s="14">
        <f t="shared" si="51"/>
        <v>3.6144578313253017E-2</v>
      </c>
      <c r="X38" s="14">
        <f t="shared" si="51"/>
        <v>-2.2727272727272707E-2</v>
      </c>
    </row>
    <row r="39" spans="1:24" x14ac:dyDescent="0.15">
      <c r="B39" s="8"/>
      <c r="C39" s="8"/>
      <c r="D39" s="8"/>
      <c r="E39" s="8"/>
      <c r="K39" s="8"/>
      <c r="L39" s="8"/>
      <c r="M39" s="8"/>
      <c r="O39" s="8"/>
      <c r="P39" s="8"/>
      <c r="Q39" s="8"/>
      <c r="R39" s="7"/>
      <c r="V39" s="7"/>
    </row>
    <row r="40" spans="1:24" s="9" customFormat="1" x14ac:dyDescent="0.15">
      <c r="A40" s="9" t="s">
        <v>26</v>
      </c>
      <c r="B40" s="10"/>
      <c r="C40" s="10"/>
      <c r="D40" s="10"/>
      <c r="E40" s="37">
        <f>E41-E42</f>
        <v>290.28899999999999</v>
      </c>
      <c r="F40" s="38">
        <f>F41-F42</f>
        <v>283.66100000000006</v>
      </c>
      <c r="G40" s="42">
        <f t="shared" ref="G40:N40" si="52">G41-G42</f>
        <v>190.14300000000003</v>
      </c>
      <c r="H40" s="42">
        <f t="shared" si="52"/>
        <v>214.60500000000002</v>
      </c>
      <c r="I40" s="37">
        <f t="shared" ref="I40" si="53">I41-I42</f>
        <v>140.11099999999999</v>
      </c>
      <c r="J40" s="38">
        <f t="shared" si="52"/>
        <v>187.28699999999998</v>
      </c>
      <c r="K40" s="37">
        <f t="shared" si="52"/>
        <v>222.66899999999998</v>
      </c>
      <c r="L40" s="37">
        <f t="shared" si="52"/>
        <v>300.185</v>
      </c>
      <c r="M40" s="37">
        <f t="shared" si="52"/>
        <v>377.12299999999999</v>
      </c>
      <c r="N40" s="38">
        <f t="shared" si="52"/>
        <v>433.36199999999997</v>
      </c>
      <c r="O40" s="37">
        <f t="shared" ref="O40:P40" si="54">O41-O42</f>
        <v>505.166</v>
      </c>
      <c r="P40" s="37">
        <f t="shared" si="54"/>
        <v>952.69499999999994</v>
      </c>
      <c r="Q40" s="37">
        <f>Q41-Q42</f>
        <v>855.90499999999997</v>
      </c>
      <c r="R40" s="38">
        <f t="shared" ref="R40:S40" si="55">R41-R42</f>
        <v>809.60999999999979</v>
      </c>
      <c r="S40" s="37">
        <f t="shared" si="55"/>
        <v>926.0329999999999</v>
      </c>
      <c r="T40" s="37">
        <f t="shared" ref="T40:X40" si="56">T41-T42</f>
        <v>845</v>
      </c>
      <c r="U40" s="37">
        <f t="shared" si="56"/>
        <v>869</v>
      </c>
      <c r="V40" s="38">
        <f t="shared" si="56"/>
        <v>985</v>
      </c>
      <c r="W40" s="37">
        <f t="shared" si="56"/>
        <v>1529</v>
      </c>
      <c r="X40" s="37">
        <f t="shared" si="56"/>
        <v>1712</v>
      </c>
    </row>
    <row r="41" spans="1:24" x14ac:dyDescent="0.15">
      <c r="A41" s="4" t="s">
        <v>27</v>
      </c>
      <c r="B41" s="6"/>
      <c r="C41" s="6"/>
      <c r="D41" s="6"/>
      <c r="E41" s="6">
        <f>229.138+291.151</f>
        <v>520.28899999999999</v>
      </c>
      <c r="F41" s="5">
        <f>232.443+281.218</f>
        <v>513.66100000000006</v>
      </c>
      <c r="G41" s="6">
        <f>155.21+264.933</f>
        <v>420.14300000000003</v>
      </c>
      <c r="H41" s="6">
        <f>190.76+253.845</f>
        <v>444.60500000000002</v>
      </c>
      <c r="I41" s="6">
        <f>243.592+263.923</f>
        <v>507.51499999999999</v>
      </c>
      <c r="J41" s="5">
        <f>261.524+297.52</f>
        <v>559.04399999999998</v>
      </c>
      <c r="K41" s="6">
        <f>276.465+322.463</f>
        <v>598.928</v>
      </c>
      <c r="L41" s="6">
        <f>319.942+361.038</f>
        <v>680.98</v>
      </c>
      <c r="M41" s="6">
        <f>352.095+410.444</f>
        <v>762.53899999999999</v>
      </c>
      <c r="N41" s="5">
        <f>397.393+425.593</f>
        <v>822.98599999999999</v>
      </c>
      <c r="O41" s="6">
        <f>431.045+468.541</f>
        <v>899.58600000000001</v>
      </c>
      <c r="P41" s="6">
        <f>643.792+999.241</f>
        <v>1643.0329999999999</v>
      </c>
      <c r="Q41" s="6">
        <f>651.058+903.867</f>
        <v>1554.925</v>
      </c>
      <c r="R41" s="5">
        <f>736.507+780.963</f>
        <v>1517.4699999999998</v>
      </c>
      <c r="S41" s="6">
        <f>643.792+999.241</f>
        <v>1643.0329999999999</v>
      </c>
      <c r="T41" s="6">
        <f>1792+532</f>
        <v>2324</v>
      </c>
      <c r="U41" s="6">
        <f>1141+1281</f>
        <v>2422</v>
      </c>
      <c r="V41" s="5">
        <f>1568+993</f>
        <v>2561</v>
      </c>
      <c r="W41" s="4">
        <f>2045+1491</f>
        <v>3536</v>
      </c>
      <c r="X41" s="4">
        <f>1905+1885</f>
        <v>3790</v>
      </c>
    </row>
    <row r="42" spans="1:24" x14ac:dyDescent="0.15">
      <c r="A42" s="4" t="s">
        <v>28</v>
      </c>
      <c r="B42" s="6"/>
      <c r="C42" s="6"/>
      <c r="D42" s="6"/>
      <c r="E42" s="6">
        <v>230</v>
      </c>
      <c r="F42" s="5">
        <v>230</v>
      </c>
      <c r="G42" s="6">
        <v>230</v>
      </c>
      <c r="H42" s="6">
        <v>230</v>
      </c>
      <c r="I42" s="6">
        <v>367.404</v>
      </c>
      <c r="J42" s="5">
        <v>371.75700000000001</v>
      </c>
      <c r="K42" s="6">
        <v>376.25900000000001</v>
      </c>
      <c r="L42" s="6">
        <v>380.79500000000002</v>
      </c>
      <c r="M42" s="6">
        <v>385.416</v>
      </c>
      <c r="N42" s="5">
        <v>389.62400000000002</v>
      </c>
      <c r="O42" s="6">
        <v>394.42</v>
      </c>
      <c r="P42" s="6">
        <v>690.33799999999997</v>
      </c>
      <c r="Q42" s="6">
        <v>699.02</v>
      </c>
      <c r="R42" s="5">
        <v>707.86</v>
      </c>
      <c r="S42" s="6">
        <v>717</v>
      </c>
      <c r="T42" s="6">
        <v>1479</v>
      </c>
      <c r="U42" s="6">
        <f>10+1543</f>
        <v>1553</v>
      </c>
      <c r="V42" s="5">
        <f>10+1566</f>
        <v>1576</v>
      </c>
      <c r="W42" s="4">
        <f>187+10+1810</f>
        <v>2007</v>
      </c>
      <c r="X42" s="4">
        <f>232+8+1838</f>
        <v>2078</v>
      </c>
    </row>
    <row r="43" spans="1:24" x14ac:dyDescent="0.15">
      <c r="R43" s="7"/>
      <c r="S43" s="2"/>
      <c r="T43" s="2"/>
      <c r="U43" s="2"/>
      <c r="V43" s="7"/>
    </row>
    <row r="44" spans="1:24" x14ac:dyDescent="0.15">
      <c r="A44" s="4" t="s">
        <v>72</v>
      </c>
      <c r="I44" s="3">
        <f>1923.48+527.464</f>
        <v>2450.944</v>
      </c>
      <c r="M44" s="3">
        <f>1931.076+319.711</f>
        <v>2250.7870000000003</v>
      </c>
      <c r="N44" s="5">
        <v>1931.076</v>
      </c>
      <c r="O44" s="3">
        <f>1931.076+299.228</f>
        <v>2230.3040000000001</v>
      </c>
      <c r="P44" s="3">
        <f>1931.076+290.887</f>
        <v>2221.9630000000002</v>
      </c>
      <c r="Q44" s="3">
        <f>1984.907+215.904</f>
        <v>2200.8109999999997</v>
      </c>
      <c r="R44" s="5">
        <f>1984.907+207.933</f>
        <v>2192.84</v>
      </c>
      <c r="S44" s="3">
        <f>1985+203</f>
        <v>2188</v>
      </c>
      <c r="T44" s="3">
        <f>1985+198</f>
        <v>2183</v>
      </c>
      <c r="U44" s="3">
        <f>1985+191</f>
        <v>2176</v>
      </c>
      <c r="V44" s="5">
        <f>1985+112</f>
        <v>2097</v>
      </c>
      <c r="W44" s="4">
        <f>1985+107</f>
        <v>2092</v>
      </c>
      <c r="X44" s="4">
        <f>1985+101</f>
        <v>2086</v>
      </c>
    </row>
    <row r="45" spans="1:24" x14ac:dyDescent="0.15">
      <c r="A45" s="4" t="s">
        <v>73</v>
      </c>
      <c r="I45" s="3">
        <v>3149.6770000000001</v>
      </c>
      <c r="M45" s="3">
        <v>3230.5169999999998</v>
      </c>
      <c r="N45" s="5">
        <v>3344.1370000000002</v>
      </c>
      <c r="O45" s="3">
        <v>3426.1729999999998</v>
      </c>
      <c r="P45" s="3">
        <v>4202.4570000000003</v>
      </c>
      <c r="Q45" s="3">
        <v>4291.116</v>
      </c>
      <c r="R45" s="5">
        <v>4539.5659999999998</v>
      </c>
      <c r="S45" s="3">
        <v>4826</v>
      </c>
      <c r="T45" s="3">
        <v>6076</v>
      </c>
      <c r="U45" s="3">
        <v>6132</v>
      </c>
      <c r="V45" s="5">
        <v>5872</v>
      </c>
      <c r="W45" s="4">
        <v>6450</v>
      </c>
      <c r="X45" s="4">
        <v>6844</v>
      </c>
    </row>
    <row r="46" spans="1:24" x14ac:dyDescent="0.15">
      <c r="A46" s="4" t="s">
        <v>74</v>
      </c>
      <c r="I46" s="3">
        <v>616.09</v>
      </c>
      <c r="M46" s="3">
        <v>569.69399999999996</v>
      </c>
      <c r="N46" s="5">
        <v>575.69600000000003</v>
      </c>
      <c r="O46" s="3">
        <v>572.49199999999996</v>
      </c>
      <c r="P46" s="3">
        <v>883.43799999999999</v>
      </c>
      <c r="Q46" s="3">
        <v>1023.937</v>
      </c>
      <c r="R46" s="5">
        <v>1256.434</v>
      </c>
      <c r="S46" s="3">
        <v>1548</v>
      </c>
      <c r="T46" s="3">
        <v>2624</v>
      </c>
      <c r="U46" s="3">
        <v>2697</v>
      </c>
      <c r="V46" s="5">
        <v>2456</v>
      </c>
      <c r="W46" s="4">
        <v>2427</v>
      </c>
      <c r="X46" s="4">
        <v>2540</v>
      </c>
    </row>
    <row r="47" spans="1:24" x14ac:dyDescent="0.15">
      <c r="R47" s="7"/>
      <c r="S47" s="2"/>
      <c r="T47" s="2"/>
      <c r="U47" s="2"/>
      <c r="V47" s="7"/>
    </row>
    <row r="48" spans="1:24" x14ac:dyDescent="0.15">
      <c r="A48" s="4" t="s">
        <v>75</v>
      </c>
      <c r="I48" s="41">
        <f>I45-I44-I41</f>
        <v>191.21800000000019</v>
      </c>
      <c r="M48" s="41">
        <f t="shared" ref="M48:R48" si="57">M45-M44-M41</f>
        <v>217.19099999999958</v>
      </c>
      <c r="N48" s="40">
        <f t="shared" si="57"/>
        <v>590.07500000000016</v>
      </c>
      <c r="O48" s="41">
        <f t="shared" si="57"/>
        <v>296.28299999999967</v>
      </c>
      <c r="P48" s="41">
        <f t="shared" si="57"/>
        <v>337.46100000000024</v>
      </c>
      <c r="Q48" s="41">
        <f t="shared" si="57"/>
        <v>535.38000000000034</v>
      </c>
      <c r="R48" s="40">
        <f t="shared" si="57"/>
        <v>829.25599999999986</v>
      </c>
      <c r="S48" s="41">
        <f t="shared" ref="S48:T48" si="58">S45-S44-S41</f>
        <v>994.9670000000001</v>
      </c>
      <c r="T48" s="41">
        <f t="shared" si="58"/>
        <v>1569</v>
      </c>
      <c r="U48" s="41">
        <f t="shared" ref="U48:W48" si="59">U45-U44-U41</f>
        <v>1534</v>
      </c>
      <c r="V48" s="40">
        <f t="shared" si="59"/>
        <v>1214</v>
      </c>
      <c r="W48" s="41">
        <f t="shared" si="59"/>
        <v>822</v>
      </c>
      <c r="X48" s="41">
        <f t="shared" ref="X48" si="60">X45-X44-X41</f>
        <v>968</v>
      </c>
    </row>
    <row r="49" spans="1:24" x14ac:dyDescent="0.15">
      <c r="A49" s="4" t="s">
        <v>76</v>
      </c>
      <c r="I49" s="41">
        <f>I45-I46</f>
        <v>2533.587</v>
      </c>
      <c r="M49" s="41">
        <f t="shared" ref="M49:R49" si="61">M45-M46</f>
        <v>2660.8229999999999</v>
      </c>
      <c r="N49" s="40">
        <f t="shared" si="61"/>
        <v>2768.4410000000003</v>
      </c>
      <c r="O49" s="41">
        <f t="shared" si="61"/>
        <v>2853.6809999999996</v>
      </c>
      <c r="P49" s="41">
        <f t="shared" si="61"/>
        <v>3319.0190000000002</v>
      </c>
      <c r="Q49" s="41">
        <f t="shared" si="61"/>
        <v>3267.1790000000001</v>
      </c>
      <c r="R49" s="40">
        <f t="shared" si="61"/>
        <v>3283.1319999999996</v>
      </c>
      <c r="S49" s="41">
        <f t="shared" ref="S49:T49" si="62">S45-S46</f>
        <v>3278</v>
      </c>
      <c r="T49" s="41">
        <f t="shared" si="62"/>
        <v>3452</v>
      </c>
      <c r="U49" s="41">
        <f t="shared" ref="U49:W49" si="63">U45-U46</f>
        <v>3435</v>
      </c>
      <c r="V49" s="40">
        <f t="shared" si="63"/>
        <v>3416</v>
      </c>
      <c r="W49" s="41">
        <f>W45-W46</f>
        <v>4023</v>
      </c>
      <c r="X49" s="41">
        <f>X45-X46</f>
        <v>4304</v>
      </c>
    </row>
    <row r="50" spans="1:24" x14ac:dyDescent="0.15">
      <c r="R50" s="7"/>
      <c r="S50" s="2"/>
      <c r="T50" s="2"/>
      <c r="U50" s="2"/>
      <c r="V50" s="7"/>
      <c r="W50" s="2"/>
    </row>
    <row r="51" spans="1:24" s="9" customFormat="1" x14ac:dyDescent="0.15">
      <c r="A51" s="9" t="s">
        <v>77</v>
      </c>
      <c r="B51" s="22"/>
      <c r="C51" s="22"/>
      <c r="D51" s="22"/>
      <c r="E51" s="22"/>
      <c r="F51" s="23"/>
      <c r="G51" s="22"/>
      <c r="H51" s="22"/>
      <c r="I51" s="42">
        <f t="shared" ref="I51" si="64">SUM(F27:I27)</f>
        <v>-220.43799999999999</v>
      </c>
      <c r="J51" s="23"/>
      <c r="K51" s="22"/>
      <c r="L51" s="22"/>
      <c r="M51" s="42">
        <f t="shared" ref="M51" si="65">SUM(J27:M27)</f>
        <v>-94.420000000000016</v>
      </c>
      <c r="N51" s="38">
        <f t="shared" ref="N51:X51" si="66">SUM(K27:N27)</f>
        <v>-108.28400000000001</v>
      </c>
      <c r="O51" s="42">
        <f t="shared" si="66"/>
        <v>-89.778000000000091</v>
      </c>
      <c r="P51" s="42">
        <f t="shared" si="66"/>
        <v>-99.670000000000044</v>
      </c>
      <c r="Q51" s="42">
        <f t="shared" si="66"/>
        <v>-119.88500000000001</v>
      </c>
      <c r="R51" s="38">
        <f t="shared" si="66"/>
        <v>-170.04399999999998</v>
      </c>
      <c r="S51" s="42">
        <f t="shared" si="66"/>
        <v>-237.70499999999996</v>
      </c>
      <c r="T51" s="42">
        <f t="shared" si="66"/>
        <v>-302.01900000000001</v>
      </c>
      <c r="U51" s="42">
        <f t="shared" si="66"/>
        <v>-303.62899999999996</v>
      </c>
      <c r="V51" s="38">
        <f t="shared" si="66"/>
        <v>-400</v>
      </c>
      <c r="W51" s="42">
        <f t="shared" si="66"/>
        <v>-416</v>
      </c>
      <c r="X51" s="42">
        <f t="shared" si="66"/>
        <v>-311</v>
      </c>
    </row>
    <row r="52" spans="1:24" x14ac:dyDescent="0.15">
      <c r="A52" s="4" t="s">
        <v>78</v>
      </c>
      <c r="I52" s="18">
        <f>I27/I49</f>
        <v>-9.2718347544410301E-3</v>
      </c>
      <c r="M52" s="18">
        <f t="shared" ref="M52:V52" si="67">M27/M49</f>
        <v>-2.9004184043809025E-2</v>
      </c>
      <c r="N52" s="17">
        <f t="shared" si="67"/>
        <v>-6.6716249325884111E-3</v>
      </c>
      <c r="O52" s="18">
        <f t="shared" si="67"/>
        <v>-1.1700677125439072E-3</v>
      </c>
      <c r="P52" s="18">
        <f t="shared" si="67"/>
        <v>-2.0668757846821175E-4</v>
      </c>
      <c r="Q52" s="18">
        <f t="shared" si="67"/>
        <v>-2.9808590224165866E-2</v>
      </c>
      <c r="R52" s="17">
        <f t="shared" si="67"/>
        <v>-2.0903515301852003E-2</v>
      </c>
      <c r="S52" s="18">
        <f t="shared" si="67"/>
        <v>-2.1659548505186088E-2</v>
      </c>
      <c r="T52" s="18">
        <f t="shared" si="67"/>
        <v>-1.8829663962920046E-2</v>
      </c>
      <c r="U52" s="18">
        <f t="shared" si="67"/>
        <v>-2.8820960698689956E-2</v>
      </c>
      <c r="V52" s="17">
        <f t="shared" si="67"/>
        <v>-4.8302107728337235E-2</v>
      </c>
      <c r="W52" s="18">
        <f t="shared" ref="W52:X52" si="68">W27/W49</f>
        <v>-2.1625652498135719E-2</v>
      </c>
      <c r="X52" s="18">
        <f t="shared" si="68"/>
        <v>9.2936802973977699E-3</v>
      </c>
    </row>
    <row r="53" spans="1:24" x14ac:dyDescent="0.15">
      <c r="A53" s="4" t="s">
        <v>79</v>
      </c>
      <c r="I53" s="18">
        <f>I27/I45</f>
        <v>-7.4582250814924783E-3</v>
      </c>
      <c r="M53" s="18">
        <f t="shared" ref="M53:V53" si="69">M27/M45</f>
        <v>-2.3889365076859233E-2</v>
      </c>
      <c r="N53" s="17">
        <f t="shared" si="69"/>
        <v>-5.5230990835602707E-3</v>
      </c>
      <c r="O53" s="18">
        <f t="shared" si="69"/>
        <v>-9.7455674304829597E-4</v>
      </c>
      <c r="P53" s="18">
        <f t="shared" si="69"/>
        <v>-1.6323783919739945E-4</v>
      </c>
      <c r="Q53" s="18">
        <f t="shared" si="69"/>
        <v>-2.2695727638218127E-2</v>
      </c>
      <c r="R53" s="17">
        <f t="shared" si="69"/>
        <v>-1.511796502132582E-2</v>
      </c>
      <c r="S53" s="18">
        <f t="shared" si="69"/>
        <v>-1.4711976792374638E-2</v>
      </c>
      <c r="T53" s="18">
        <f t="shared" si="69"/>
        <v>-1.0697827518104016E-2</v>
      </c>
      <c r="U53" s="18">
        <f t="shared" si="69"/>
        <v>-1.6144814090019569E-2</v>
      </c>
      <c r="V53" s="17">
        <f t="shared" si="69"/>
        <v>-2.8099455040871933E-2</v>
      </c>
      <c r="W53" s="18">
        <f t="shared" ref="W53:X53" si="70">W27/W45</f>
        <v>-1.3488372093023256E-2</v>
      </c>
      <c r="X53" s="18">
        <f t="shared" si="70"/>
        <v>5.8445353594389245E-3</v>
      </c>
    </row>
    <row r="54" spans="1:24" x14ac:dyDescent="0.15">
      <c r="A54" s="4" t="s">
        <v>80</v>
      </c>
      <c r="I54" s="18">
        <f>I27/(I49-I44)</f>
        <v>-0.284246699659983</v>
      </c>
      <c r="M54" s="18">
        <f t="shared" ref="M54:V54" si="71">M27/(M49-M44)</f>
        <v>-0.18821518110604954</v>
      </c>
      <c r="N54" s="17">
        <f t="shared" si="71"/>
        <v>-2.2057286846237888E-2</v>
      </c>
      <c r="O54" s="18">
        <f t="shared" si="71"/>
        <v>-5.3563092638965054E-3</v>
      </c>
      <c r="P54" s="18">
        <f t="shared" si="71"/>
        <v>-6.2530992036868285E-4</v>
      </c>
      <c r="Q54" s="18">
        <f t="shared" si="71"/>
        <v>-9.1328697035169826E-2</v>
      </c>
      <c r="R54" s="17">
        <f t="shared" si="71"/>
        <v>-6.2945522850759245E-2</v>
      </c>
      <c r="S54" s="18">
        <f t="shared" si="71"/>
        <v>-6.5137614678899086E-2</v>
      </c>
      <c r="T54" s="18">
        <f t="shared" si="71"/>
        <v>-5.1221434200157602E-2</v>
      </c>
      <c r="U54" s="18">
        <f t="shared" si="71"/>
        <v>-7.8633836378077845E-2</v>
      </c>
      <c r="V54" s="17">
        <f t="shared" si="71"/>
        <v>-0.12509476876421532</v>
      </c>
      <c r="W54" s="18">
        <f t="shared" ref="W54:X54" si="72">W27/(W49-W44)</f>
        <v>-4.5054375970999483E-2</v>
      </c>
      <c r="X54" s="18">
        <f t="shared" si="72"/>
        <v>1.8034265103697024E-2</v>
      </c>
    </row>
    <row r="55" spans="1:24" x14ac:dyDescent="0.15">
      <c r="A55" s="4" t="s">
        <v>81</v>
      </c>
      <c r="I55" s="18">
        <f>I27/I48</f>
        <v>-0.12284931334916149</v>
      </c>
      <c r="M55" s="18">
        <f t="shared" ref="M55:V55" si="73">M27/M48</f>
        <v>-0.35533240327637977</v>
      </c>
      <c r="N55" s="17">
        <f t="shared" si="73"/>
        <v>-3.1301105791636641E-2</v>
      </c>
      <c r="O55" s="18">
        <f t="shared" si="73"/>
        <v>-1.1269630724678814E-2</v>
      </c>
      <c r="P55" s="18">
        <f t="shared" si="73"/>
        <v>-2.0328274971033252E-3</v>
      </c>
      <c r="Q55" s="18">
        <f t="shared" si="73"/>
        <v>-0.18190817736934506</v>
      </c>
      <c r="R55" s="17">
        <f t="shared" si="73"/>
        <v>-8.2759726791244173E-2</v>
      </c>
      <c r="S55" s="18">
        <f t="shared" si="73"/>
        <v>-7.1359150604994939E-2</v>
      </c>
      <c r="T55" s="18">
        <f t="shared" si="73"/>
        <v>-4.1427660930528999E-2</v>
      </c>
      <c r="U55" s="18">
        <f t="shared" si="73"/>
        <v>-6.4537157757496744E-2</v>
      </c>
      <c r="V55" s="17">
        <f t="shared" si="73"/>
        <v>-0.13591433278418452</v>
      </c>
      <c r="W55" s="18">
        <f t="shared" ref="W55:X55" si="74">W27/W48</f>
        <v>-0.10583941605839416</v>
      </c>
      <c r="X55" s="18">
        <f t="shared" si="74"/>
        <v>4.1322314049586778E-2</v>
      </c>
    </row>
    <row r="56" spans="1:24" x14ac:dyDescent="0.15">
      <c r="R56" s="7"/>
      <c r="S56" s="2"/>
      <c r="T56" s="2"/>
      <c r="V56" s="7"/>
    </row>
    <row r="57" spans="1:24" x14ac:dyDescent="0.15">
      <c r="A57" s="4" t="s">
        <v>82</v>
      </c>
      <c r="I57" s="18">
        <f>I13/E13-1</f>
        <v>0.12983870967741939</v>
      </c>
      <c r="J57" s="17">
        <f t="shared" ref="J57:O58" si="75">J13/F13-1</f>
        <v>6.7948717948717929E-2</v>
      </c>
      <c r="K57" s="18">
        <f t="shared" si="75"/>
        <v>6.0119047619047628E-2</v>
      </c>
      <c r="L57" s="18">
        <f t="shared" si="75"/>
        <v>6.8292682926829107E-2</v>
      </c>
      <c r="M57" s="18">
        <f>M13/I13-1</f>
        <v>8.2084225553176404E-2</v>
      </c>
      <c r="N57" s="17">
        <f t="shared" si="75"/>
        <v>5.3421368547418968E-2</v>
      </c>
      <c r="O57" s="18">
        <f t="shared" si="75"/>
        <v>4.491858506457036E-2</v>
      </c>
      <c r="P57" s="18"/>
      <c r="Q57" s="18"/>
      <c r="R57" s="17"/>
      <c r="S57" s="18"/>
      <c r="T57" s="18"/>
      <c r="V57" s="17"/>
    </row>
    <row r="58" spans="1:24" x14ac:dyDescent="0.15">
      <c r="A58" s="4" t="s">
        <v>83</v>
      </c>
      <c r="I58" s="18">
        <f>I14/E14-1</f>
        <v>0.18943911764035337</v>
      </c>
      <c r="J58" s="17">
        <f t="shared" si="75"/>
        <v>0.23741789518336609</v>
      </c>
      <c r="K58" s="18">
        <f t="shared" si="75"/>
        <v>0.20783776104035567</v>
      </c>
      <c r="L58" s="18">
        <f t="shared" si="75"/>
        <v>0.17467182703377193</v>
      </c>
      <c r="M58" s="18">
        <f t="shared" si="75"/>
        <v>0.14630663777830111</v>
      </c>
      <c r="N58" s="17">
        <f t="shared" si="75"/>
        <v>0.15872779894751199</v>
      </c>
      <c r="O58" s="18">
        <f t="shared" si="75"/>
        <v>0.16555749169087841</v>
      </c>
      <c r="P58" s="18"/>
      <c r="Q58" s="18"/>
      <c r="R58" s="17"/>
      <c r="S58" s="18"/>
      <c r="T58" s="18"/>
      <c r="V58" s="17"/>
    </row>
    <row r="59" spans="1:24" x14ac:dyDescent="0.15">
      <c r="R59" s="7"/>
      <c r="S59" s="2"/>
      <c r="T59" s="2"/>
      <c r="V59" s="7"/>
    </row>
    <row r="60" spans="1:24" x14ac:dyDescent="0.15">
      <c r="A60" s="4" t="s">
        <v>115</v>
      </c>
      <c r="R60" s="17">
        <f>R3/N3-1</f>
        <v>6.0498220640569311E-2</v>
      </c>
      <c r="S60" s="16">
        <f>S3/O3-1</f>
        <v>5.8823529411764719E-2</v>
      </c>
      <c r="T60" s="16">
        <f>T3/P3-1</f>
        <v>6.6878980891719841E-2</v>
      </c>
      <c r="U60" s="16">
        <f>U3/Q3-1</f>
        <v>6.3122923588039948E-2</v>
      </c>
      <c r="V60" s="17">
        <f>V3/R3-1</f>
        <v>0.11073825503355694</v>
      </c>
      <c r="W60" s="16">
        <f>W3/S3-1</f>
        <v>-0.13580246913580252</v>
      </c>
      <c r="X60" s="16">
        <f>X3/T3-1</f>
        <v>0.23880597014925375</v>
      </c>
    </row>
    <row r="61" spans="1:24" x14ac:dyDescent="0.15">
      <c r="A61" s="4" t="s">
        <v>100</v>
      </c>
      <c r="R61" s="17"/>
      <c r="S61" s="16"/>
      <c r="T61" s="16">
        <f t="shared" ref="T61:X62" si="76">T4/P4-1</f>
        <v>34</v>
      </c>
      <c r="U61" s="16">
        <f t="shared" si="76"/>
        <v>13.583887585556388</v>
      </c>
      <c r="V61" s="17">
        <f t="shared" si="76"/>
        <v>5.015625</v>
      </c>
      <c r="W61" s="16">
        <f t="shared" si="76"/>
        <v>0.82329317269076308</v>
      </c>
      <c r="X61" s="16">
        <f t="shared" si="76"/>
        <v>-0.51428571428571423</v>
      </c>
    </row>
    <row r="62" spans="1:24" x14ac:dyDescent="0.15">
      <c r="A62" s="4" t="s">
        <v>84</v>
      </c>
      <c r="R62" s="17">
        <f>R5/N5-1</f>
        <v>0.42105263157894735</v>
      </c>
      <c r="S62" s="16">
        <f>S5/O5-1</f>
        <v>0.42105263157894735</v>
      </c>
      <c r="T62" s="16">
        <f t="shared" si="76"/>
        <v>0.38888888888888884</v>
      </c>
      <c r="U62" s="16">
        <f t="shared" si="76"/>
        <v>-9.7938144329897003E-2</v>
      </c>
      <c r="V62" s="17">
        <f t="shared" si="76"/>
        <v>-7.407407407407407E-2</v>
      </c>
      <c r="W62" s="16">
        <f t="shared" si="76"/>
        <v>0.2592592592592593</v>
      </c>
      <c r="X62" s="16">
        <f t="shared" si="76"/>
        <v>1.1600000000000001</v>
      </c>
    </row>
    <row r="63" spans="1:24" x14ac:dyDescent="0.15">
      <c r="R63" s="7"/>
      <c r="S63" s="2"/>
      <c r="V63" s="7"/>
    </row>
    <row r="64" spans="1:24" x14ac:dyDescent="0.15">
      <c r="I64" s="18"/>
      <c r="M64" s="18"/>
      <c r="N64" s="17"/>
      <c r="O64" s="18"/>
      <c r="P64" s="18"/>
      <c r="Q64" s="18"/>
      <c r="R64" s="17"/>
      <c r="S64" s="18"/>
      <c r="V64" s="17"/>
    </row>
    <row r="65" spans="9:22" x14ac:dyDescent="0.15">
      <c r="I65" s="18"/>
      <c r="M65" s="18"/>
      <c r="N65" s="17"/>
      <c r="O65" s="18"/>
      <c r="P65" s="18"/>
      <c r="Q65" s="18"/>
      <c r="R65" s="17"/>
      <c r="S65" s="18"/>
      <c r="V65" s="17"/>
    </row>
    <row r="66" spans="9:22" x14ac:dyDescent="0.15">
      <c r="I66" s="18"/>
      <c r="M66" s="18"/>
      <c r="N66" s="17"/>
      <c r="O66" s="18"/>
      <c r="P66" s="18"/>
      <c r="Q66" s="18"/>
      <c r="R66" s="17"/>
      <c r="S66" s="18"/>
      <c r="V66" s="17"/>
    </row>
    <row r="67" spans="9:22" x14ac:dyDescent="0.15">
      <c r="I67" s="18"/>
      <c r="M67" s="18"/>
      <c r="N67" s="17"/>
      <c r="O67" s="18"/>
      <c r="P67" s="18"/>
      <c r="Q67" s="18"/>
      <c r="R67" s="17"/>
      <c r="S67" s="18"/>
      <c r="V67" s="17"/>
    </row>
    <row r="68" spans="9:22" x14ac:dyDescent="0.15">
      <c r="P68" s="18"/>
      <c r="R68" s="7"/>
      <c r="S68" s="18"/>
      <c r="V68" s="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6"/>
  <sheetViews>
    <sheetView workbookViewId="0">
      <selection activeCell="C22" sqref="C22"/>
    </sheetView>
  </sheetViews>
  <sheetFormatPr baseColWidth="10" defaultRowHeight="13" x14ac:dyDescent="0.15"/>
  <cols>
    <col min="1" max="1" width="10.83203125" style="4"/>
    <col min="2" max="2" width="15.5" style="4" bestFit="1" customWidth="1"/>
    <col min="3" max="3" width="30.1640625" style="4" bestFit="1" customWidth="1"/>
    <col min="4" max="4" width="28.6640625" style="4" bestFit="1" customWidth="1"/>
    <col min="5" max="16384" width="10.83203125" style="4"/>
  </cols>
  <sheetData>
    <row r="4" spans="2:4" x14ac:dyDescent="0.15">
      <c r="B4" s="9" t="s">
        <v>119</v>
      </c>
    </row>
    <row r="6" spans="2:4" x14ac:dyDescent="0.15">
      <c r="B6" s="4" t="s">
        <v>109</v>
      </c>
      <c r="C6" s="4" t="s">
        <v>124</v>
      </c>
      <c r="D6" s="65" t="s">
        <v>116</v>
      </c>
    </row>
    <row r="7" spans="2:4" x14ac:dyDescent="0.15">
      <c r="B7" s="4" t="s">
        <v>96</v>
      </c>
      <c r="C7" s="4" t="s">
        <v>125</v>
      </c>
      <c r="D7" s="65" t="s">
        <v>117</v>
      </c>
    </row>
    <row r="8" spans="2:4" x14ac:dyDescent="0.15">
      <c r="B8" s="4" t="s">
        <v>101</v>
      </c>
      <c r="C8" s="4" t="s">
        <v>124</v>
      </c>
      <c r="D8" s="65" t="s">
        <v>118</v>
      </c>
    </row>
    <row r="9" spans="2:4" x14ac:dyDescent="0.15">
      <c r="B9" s="4" t="s">
        <v>102</v>
      </c>
      <c r="C9" s="4" t="s">
        <v>97</v>
      </c>
      <c r="D9" s="65" t="s">
        <v>120</v>
      </c>
    </row>
    <row r="10" spans="2:4" x14ac:dyDescent="0.15">
      <c r="B10" s="4" t="s">
        <v>103</v>
      </c>
      <c r="C10" s="4" t="s">
        <v>126</v>
      </c>
      <c r="D10" s="65" t="s">
        <v>121</v>
      </c>
    </row>
    <row r="12" spans="2:4" x14ac:dyDescent="0.15">
      <c r="B12" s="9" t="s">
        <v>108</v>
      </c>
    </row>
    <row r="14" spans="2:4" x14ac:dyDescent="0.15">
      <c r="B14" s="4" t="s">
        <v>122</v>
      </c>
      <c r="C14" s="4" t="s">
        <v>123</v>
      </c>
      <c r="D14" s="65" t="s">
        <v>127</v>
      </c>
    </row>
    <row r="15" spans="2:4" x14ac:dyDescent="0.15">
      <c r="B15" s="4" t="s">
        <v>128</v>
      </c>
      <c r="C15" s="4" t="s">
        <v>129</v>
      </c>
      <c r="D15" s="65" t="s">
        <v>130</v>
      </c>
    </row>
    <row r="16" spans="2:4" x14ac:dyDescent="0.15">
      <c r="B16" s="4" t="s">
        <v>131</v>
      </c>
      <c r="C16" s="4" t="s">
        <v>132</v>
      </c>
      <c r="D16" s="65" t="s">
        <v>133</v>
      </c>
    </row>
  </sheetData>
  <hyperlinks>
    <hyperlink ref="D6" r:id="rId1" xr:uid="{4D3E40AE-A4E1-4E40-A4E5-C66476F4683C}"/>
    <hyperlink ref="D7" r:id="rId2" xr:uid="{A83E4FF5-F7D4-2046-8D58-1A3FF474D731}"/>
    <hyperlink ref="D8" r:id="rId3" xr:uid="{15B98248-6023-A942-A34E-325B15FB3F29}"/>
    <hyperlink ref="D9" r:id="rId4" xr:uid="{CAC570F0-BA9A-2E41-AAB2-407B630E3EAD}"/>
    <hyperlink ref="D10" r:id="rId5" xr:uid="{286A0C8F-4322-B04B-862F-53528D8E5B24}"/>
    <hyperlink ref="D14" r:id="rId6" xr:uid="{1998D440-2020-CE44-BC66-27462F7AEB3A}"/>
    <hyperlink ref="D15" r:id="rId7" xr:uid="{C3C48A97-B4D4-1A43-B0A3-F377CBBDD40B}"/>
    <hyperlink ref="D16" r:id="rId8" xr:uid="{799EB86A-9AB3-6745-8183-3585B6771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2020-11-17T15:29:47Z</dcterms:modified>
</cp:coreProperties>
</file>