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/>
  <mc:AlternateContent xmlns:mc="http://schemas.openxmlformats.org/markup-compatibility/2006">
    <mc:Choice Requires="x15">
      <x15ac:absPath xmlns:x15ac="http://schemas.microsoft.com/office/spreadsheetml/2010/11/ac" url="/Users/michaelsjoeberg/Dropbox/_PROJECTS/_investing/stocks/"/>
    </mc:Choice>
  </mc:AlternateContent>
  <xr:revisionPtr revIDLastSave="0" documentId="13_ncr:1_{9731492E-1D03-DC49-8B4A-D18DE1BCB36F}" xr6:coauthVersionLast="46" xr6:coauthVersionMax="46" xr10:uidLastSave="{00000000-0000-0000-0000-000000000000}"/>
  <bookViews>
    <workbookView xWindow="-52260" yWindow="-5940" windowWidth="26120" windowHeight="26900" tabRatio="500" activeTab="1" xr2:uid="{00000000-000D-0000-FFFF-FFFF00000000}"/>
  </bookViews>
  <sheets>
    <sheet name="Main" sheetId="2" r:id="rId1"/>
    <sheet name="Reports" sheetId="1" r:id="rId2"/>
    <sheet name="Products" sheetId="3" r:id="rId3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6" i="2" l="1"/>
  <c r="R21" i="2"/>
  <c r="S21" i="2" s="1"/>
  <c r="T21" i="2" s="1"/>
  <c r="U21" i="2" s="1"/>
  <c r="Q21" i="2"/>
  <c r="R20" i="2"/>
  <c r="S20" i="2" s="1"/>
  <c r="T20" i="2" s="1"/>
  <c r="U20" i="2" s="1"/>
  <c r="Q20" i="2"/>
  <c r="R19" i="2"/>
  <c r="S19" i="2" s="1"/>
  <c r="T19" i="2" s="1"/>
  <c r="U19" i="2" s="1"/>
  <c r="Q19" i="2"/>
  <c r="M21" i="2"/>
  <c r="N21" i="2" s="1"/>
  <c r="O21" i="2" s="1"/>
  <c r="P21" i="2" s="1"/>
  <c r="L21" i="2"/>
  <c r="P20" i="2"/>
  <c r="N20" i="2"/>
  <c r="O20" i="2" s="1"/>
  <c r="M20" i="2"/>
  <c r="L20" i="2"/>
  <c r="M19" i="2"/>
  <c r="N19" i="2" s="1"/>
  <c r="O19" i="2" s="1"/>
  <c r="P19" i="2" s="1"/>
  <c r="L19" i="2"/>
  <c r="I21" i="2"/>
  <c r="J21" i="2" s="1"/>
  <c r="K21" i="2" s="1"/>
  <c r="H21" i="2"/>
  <c r="K20" i="2"/>
  <c r="J20" i="2"/>
  <c r="I20" i="2"/>
  <c r="H20" i="2"/>
  <c r="I19" i="2"/>
  <c r="J19" i="2" s="1"/>
  <c r="K19" i="2" s="1"/>
  <c r="H19" i="2"/>
  <c r="K14" i="2"/>
  <c r="J14" i="2"/>
  <c r="I14" i="2"/>
  <c r="H14" i="2"/>
  <c r="H16" i="2"/>
  <c r="H35" i="2" s="1"/>
  <c r="H13" i="2"/>
  <c r="I13" i="2"/>
  <c r="D6" i="2"/>
  <c r="D4" i="2"/>
  <c r="G18" i="2"/>
  <c r="G17" i="2"/>
  <c r="G14" i="2"/>
  <c r="G35" i="2"/>
  <c r="F41" i="2"/>
  <c r="H60" i="2"/>
  <c r="H59" i="2"/>
  <c r="G60" i="2"/>
  <c r="G59" i="2"/>
  <c r="G29" i="2"/>
  <c r="G22" i="2"/>
  <c r="G31" i="2"/>
  <c r="G26" i="2"/>
  <c r="G24" i="2"/>
  <c r="G21" i="2"/>
  <c r="G20" i="2"/>
  <c r="G19" i="2"/>
  <c r="G11" i="2"/>
  <c r="R51" i="1"/>
  <c r="R52" i="1"/>
  <c r="G16" i="2"/>
  <c r="G13" i="2"/>
  <c r="R20" i="1"/>
  <c r="R21" i="1" s="1"/>
  <c r="R19" i="1"/>
  <c r="R18" i="1"/>
  <c r="R17" i="1"/>
  <c r="R14" i="1"/>
  <c r="R31" i="1" s="1"/>
  <c r="R13" i="1"/>
  <c r="R12" i="1"/>
  <c r="R30" i="1"/>
  <c r="R28" i="1"/>
  <c r="R24" i="1"/>
  <c r="R10" i="1"/>
  <c r="R11" i="1"/>
  <c r="R7" i="1"/>
  <c r="R9" i="1" s="1"/>
  <c r="R6" i="1"/>
  <c r="R56" i="1"/>
  <c r="R57" i="1"/>
  <c r="Q57" i="1"/>
  <c r="P57" i="1"/>
  <c r="O57" i="1"/>
  <c r="O56" i="1"/>
  <c r="P56" i="1"/>
  <c r="Q56" i="1"/>
  <c r="C16" i="2"/>
  <c r="F47" i="2"/>
  <c r="F46" i="2"/>
  <c r="F45" i="2"/>
  <c r="F43" i="2"/>
  <c r="F29" i="2"/>
  <c r="F26" i="2"/>
  <c r="F24" i="2"/>
  <c r="F21" i="2"/>
  <c r="F20" i="2"/>
  <c r="F19" i="2"/>
  <c r="F17" i="2"/>
  <c r="F11" i="2"/>
  <c r="E46" i="2"/>
  <c r="E45" i="2"/>
  <c r="E43" i="2"/>
  <c r="D46" i="2"/>
  <c r="D45" i="2"/>
  <c r="D43" i="2"/>
  <c r="E29" i="2"/>
  <c r="E26" i="2"/>
  <c r="E24" i="2"/>
  <c r="E21" i="2"/>
  <c r="E20" i="2"/>
  <c r="E19" i="2"/>
  <c r="E17" i="2"/>
  <c r="E11" i="2"/>
  <c r="D26" i="2"/>
  <c r="D24" i="2"/>
  <c r="D21" i="2"/>
  <c r="D20" i="2"/>
  <c r="D19" i="2"/>
  <c r="D17" i="2"/>
  <c r="D11" i="2"/>
  <c r="D16" i="2" s="1"/>
  <c r="J54" i="1"/>
  <c r="I54" i="1"/>
  <c r="H54" i="1"/>
  <c r="G54" i="1"/>
  <c r="K54" i="1"/>
  <c r="L54" i="1"/>
  <c r="M54" i="1"/>
  <c r="N54" i="1"/>
  <c r="O54" i="1"/>
  <c r="P54" i="1"/>
  <c r="Q54" i="1"/>
  <c r="F40" i="1"/>
  <c r="D47" i="2" s="1"/>
  <c r="F35" i="1"/>
  <c r="D42" i="2" s="1"/>
  <c r="F9" i="1"/>
  <c r="E9" i="1"/>
  <c r="D9" i="1"/>
  <c r="C9" i="1"/>
  <c r="G9" i="1"/>
  <c r="H9" i="1"/>
  <c r="I9" i="1"/>
  <c r="K6" i="1"/>
  <c r="L6" i="1"/>
  <c r="M6" i="1"/>
  <c r="J40" i="1"/>
  <c r="E47" i="2" s="1"/>
  <c r="J35" i="1"/>
  <c r="E42" i="2" s="1"/>
  <c r="N35" i="1"/>
  <c r="N34" i="1" s="1"/>
  <c r="J9" i="1"/>
  <c r="N6" i="1"/>
  <c r="F13" i="2" s="1"/>
  <c r="O6" i="1"/>
  <c r="P6" i="1"/>
  <c r="P7" i="1" s="1"/>
  <c r="P9" i="1" s="1"/>
  <c r="Q43" i="1"/>
  <c r="Q35" i="1"/>
  <c r="Q42" i="1" s="1"/>
  <c r="Q34" i="1"/>
  <c r="Q6" i="1"/>
  <c r="Q31" i="1"/>
  <c r="Q30" i="1"/>
  <c r="Q29" i="1"/>
  <c r="Q15" i="1"/>
  <c r="N30" i="1"/>
  <c r="N29" i="1"/>
  <c r="O30" i="1"/>
  <c r="O29" i="1"/>
  <c r="O15" i="1"/>
  <c r="P30" i="1"/>
  <c r="P29" i="1"/>
  <c r="L15" i="1"/>
  <c r="P15" i="1"/>
  <c r="L30" i="1"/>
  <c r="L29" i="1"/>
  <c r="M30" i="1"/>
  <c r="M29" i="1"/>
  <c r="I16" i="2" l="1"/>
  <c r="G23" i="2"/>
  <c r="I59" i="2"/>
  <c r="J13" i="2" s="1"/>
  <c r="R26" i="1"/>
  <c r="R15" i="1"/>
  <c r="R16" i="1"/>
  <c r="R25" i="1" s="1"/>
  <c r="R32" i="1"/>
  <c r="R29" i="1"/>
  <c r="F14" i="2"/>
  <c r="F16" i="2" s="1"/>
  <c r="K7" i="1"/>
  <c r="K9" i="1" s="1"/>
  <c r="F42" i="2"/>
  <c r="O7" i="1"/>
  <c r="O9" i="1" s="1"/>
  <c r="O11" i="1" s="1"/>
  <c r="O24" i="1" s="1"/>
  <c r="N7" i="1"/>
  <c r="N9" i="1" s="1"/>
  <c r="M7" i="1"/>
  <c r="M9" i="1" s="1"/>
  <c r="L7" i="1"/>
  <c r="L9" i="1" s="1"/>
  <c r="Q7" i="1"/>
  <c r="Q9" i="1" s="1"/>
  <c r="N42" i="1"/>
  <c r="F50" i="2"/>
  <c r="Q28" i="1"/>
  <c r="N43" i="1"/>
  <c r="C18" i="2"/>
  <c r="P31" i="1"/>
  <c r="P32" i="1"/>
  <c r="N31" i="1"/>
  <c r="N15" i="1"/>
  <c r="O31" i="1"/>
  <c r="F49" i="2"/>
  <c r="N11" i="1"/>
  <c r="N24" i="1" s="1"/>
  <c r="M15" i="1"/>
  <c r="Q32" i="1" s="1"/>
  <c r="L11" i="1"/>
  <c r="L24" i="1" s="1"/>
  <c r="K30" i="1"/>
  <c r="K29" i="1"/>
  <c r="K15" i="1"/>
  <c r="O32" i="1" s="1"/>
  <c r="J59" i="2" l="1"/>
  <c r="K13" i="2" s="1"/>
  <c r="K59" i="2" s="1"/>
  <c r="J16" i="2"/>
  <c r="I60" i="2"/>
  <c r="G25" i="2"/>
  <c r="G33" i="2" s="1"/>
  <c r="G32" i="2"/>
  <c r="F18" i="2"/>
  <c r="F31" i="2" s="1"/>
  <c r="P51" i="1"/>
  <c r="M11" i="1"/>
  <c r="M24" i="1" s="1"/>
  <c r="Q51" i="1"/>
  <c r="O51" i="1"/>
  <c r="Q11" i="1"/>
  <c r="P11" i="1"/>
  <c r="P24" i="1" s="1"/>
  <c r="P28" i="1"/>
  <c r="O28" i="1"/>
  <c r="N51" i="1"/>
  <c r="N28" i="1"/>
  <c r="M51" i="1"/>
  <c r="M16" i="1"/>
  <c r="M18" i="1" s="1"/>
  <c r="F22" i="2"/>
  <c r="N16" i="1"/>
  <c r="N25" i="1" s="1"/>
  <c r="O16" i="1"/>
  <c r="J15" i="1"/>
  <c r="N32" i="1" s="1"/>
  <c r="K11" i="1"/>
  <c r="K24" i="1" s="1"/>
  <c r="J11" i="1"/>
  <c r="L16" i="1"/>
  <c r="Q37" i="2"/>
  <c r="J30" i="1"/>
  <c r="J29" i="1"/>
  <c r="J43" i="1"/>
  <c r="J34" i="1"/>
  <c r="J60" i="2" l="1"/>
  <c r="Q52" i="1"/>
  <c r="F23" i="2"/>
  <c r="F25" i="2" s="1"/>
  <c r="Q24" i="1"/>
  <c r="Q16" i="1"/>
  <c r="P16" i="1"/>
  <c r="P25" i="1" s="1"/>
  <c r="N18" i="1"/>
  <c r="N20" i="1" s="1"/>
  <c r="M25" i="1"/>
  <c r="J16" i="1"/>
  <c r="J18" i="1" s="1"/>
  <c r="O25" i="1"/>
  <c r="O18" i="1"/>
  <c r="N26" i="1"/>
  <c r="K16" i="1"/>
  <c r="L25" i="1"/>
  <c r="L18" i="1"/>
  <c r="M26" i="1"/>
  <c r="M20" i="1"/>
  <c r="E16" i="2"/>
  <c r="F35" i="2" s="1"/>
  <c r="E50" i="2"/>
  <c r="J42" i="1"/>
  <c r="D57" i="2"/>
  <c r="E41" i="2"/>
  <c r="E57" i="2"/>
  <c r="K31" i="1"/>
  <c r="G31" i="1"/>
  <c r="G30" i="1"/>
  <c r="G29" i="1"/>
  <c r="H30" i="1"/>
  <c r="H29" i="1"/>
  <c r="H51" i="1"/>
  <c r="L51" i="1"/>
  <c r="I30" i="1"/>
  <c r="I29" i="1"/>
  <c r="K60" i="2" l="1"/>
  <c r="K16" i="2"/>
  <c r="Q18" i="1"/>
  <c r="Q25" i="1"/>
  <c r="P18" i="1"/>
  <c r="P26" i="1" s="1"/>
  <c r="F51" i="1"/>
  <c r="I51" i="1"/>
  <c r="N21" i="1"/>
  <c r="L52" i="1"/>
  <c r="P52" i="1"/>
  <c r="K51" i="1"/>
  <c r="O52" i="1" s="1"/>
  <c r="G51" i="1"/>
  <c r="J51" i="1"/>
  <c r="O26" i="1"/>
  <c r="O20" i="1"/>
  <c r="O21" i="1" s="1"/>
  <c r="S37" i="2"/>
  <c r="T36" i="2"/>
  <c r="M21" i="1"/>
  <c r="J31" i="1"/>
  <c r="M31" i="1"/>
  <c r="K25" i="1"/>
  <c r="K18" i="1"/>
  <c r="K28" i="1"/>
  <c r="M28" i="1"/>
  <c r="H31" i="1"/>
  <c r="L31" i="1"/>
  <c r="H11" i="1"/>
  <c r="H24" i="1" s="1"/>
  <c r="L28" i="1"/>
  <c r="R37" i="2"/>
  <c r="L20" i="1"/>
  <c r="L26" i="1"/>
  <c r="F57" i="2"/>
  <c r="E49" i="2"/>
  <c r="J28" i="1"/>
  <c r="I31" i="1"/>
  <c r="G15" i="1"/>
  <c r="I15" i="1"/>
  <c r="H15" i="1"/>
  <c r="G11" i="1"/>
  <c r="E15" i="1"/>
  <c r="F15" i="1"/>
  <c r="H29" i="2"/>
  <c r="I29" i="2" s="1"/>
  <c r="J29" i="2" s="1"/>
  <c r="K29" i="2" s="1"/>
  <c r="L29" i="2" s="1"/>
  <c r="M29" i="2" s="1"/>
  <c r="N29" i="2" s="1"/>
  <c r="O29" i="2" s="1"/>
  <c r="P29" i="2" s="1"/>
  <c r="Q29" i="2" s="1"/>
  <c r="R29" i="2" s="1"/>
  <c r="S29" i="2" s="1"/>
  <c r="T29" i="2" s="1"/>
  <c r="U29" i="2" s="1"/>
  <c r="F42" i="1"/>
  <c r="F43" i="1"/>
  <c r="F34" i="1"/>
  <c r="G28" i="1"/>
  <c r="C15" i="1"/>
  <c r="D15" i="1"/>
  <c r="H28" i="1"/>
  <c r="D5" i="2"/>
  <c r="D10" i="2"/>
  <c r="E10" i="2" s="1"/>
  <c r="F10" i="2" s="1"/>
  <c r="G10" i="2" s="1"/>
  <c r="H10" i="2" s="1"/>
  <c r="I10" i="2" s="1"/>
  <c r="J10" i="2" s="1"/>
  <c r="K10" i="2" s="1"/>
  <c r="L10" i="2" s="1"/>
  <c r="M10" i="2" s="1"/>
  <c r="N10" i="2" s="1"/>
  <c r="O10" i="2" s="1"/>
  <c r="P10" i="2" s="1"/>
  <c r="Q20" i="1" l="1"/>
  <c r="Q21" i="1" s="1"/>
  <c r="Q26" i="1"/>
  <c r="P20" i="1"/>
  <c r="Q45" i="1" s="1"/>
  <c r="K52" i="1"/>
  <c r="O45" i="1"/>
  <c r="M52" i="1"/>
  <c r="J52" i="1"/>
  <c r="N52" i="1"/>
  <c r="L16" i="2"/>
  <c r="M16" i="2" s="1"/>
  <c r="N16" i="2" s="1"/>
  <c r="O16" i="2" s="1"/>
  <c r="P16" i="2" s="1"/>
  <c r="Q16" i="2" s="1"/>
  <c r="R16" i="2" s="1"/>
  <c r="S16" i="2" s="1"/>
  <c r="T16" i="2" s="1"/>
  <c r="T37" i="2"/>
  <c r="U37" i="2"/>
  <c r="U36" i="2"/>
  <c r="I32" i="1"/>
  <c r="M32" i="1"/>
  <c r="G32" i="1"/>
  <c r="K32" i="1"/>
  <c r="J32" i="1"/>
  <c r="K26" i="1"/>
  <c r="K20" i="1"/>
  <c r="N45" i="1" s="1"/>
  <c r="H16" i="1"/>
  <c r="H25" i="1" s="1"/>
  <c r="H32" i="1"/>
  <c r="L32" i="1"/>
  <c r="L21" i="1"/>
  <c r="Q10" i="2"/>
  <c r="R10" i="2" s="1"/>
  <c r="S10" i="2" s="1"/>
  <c r="T10" i="2" s="1"/>
  <c r="U10" i="2" s="1"/>
  <c r="Q36" i="2"/>
  <c r="E22" i="2"/>
  <c r="E38" i="2"/>
  <c r="D41" i="2"/>
  <c r="D50" i="2"/>
  <c r="G24" i="1"/>
  <c r="G16" i="1"/>
  <c r="D22" i="2"/>
  <c r="I28" i="1"/>
  <c r="I11" i="1"/>
  <c r="D7" i="2"/>
  <c r="D8" i="2" s="1"/>
  <c r="E36" i="2"/>
  <c r="E37" i="2"/>
  <c r="F11" i="1"/>
  <c r="C11" i="1"/>
  <c r="D11" i="1"/>
  <c r="E11" i="1"/>
  <c r="D38" i="2"/>
  <c r="D49" i="2"/>
  <c r="P21" i="1" l="1"/>
  <c r="P45" i="1"/>
  <c r="Q49" i="1"/>
  <c r="Q48" i="1"/>
  <c r="Q47" i="1"/>
  <c r="Q46" i="1"/>
  <c r="U16" i="2"/>
  <c r="U35" i="2" s="1"/>
  <c r="T35" i="2"/>
  <c r="T38" i="2"/>
  <c r="T22" i="2"/>
  <c r="K21" i="1"/>
  <c r="H18" i="1"/>
  <c r="H20" i="1" s="1"/>
  <c r="R36" i="2"/>
  <c r="E39" i="2"/>
  <c r="J22" i="2"/>
  <c r="G25" i="1"/>
  <c r="G18" i="1"/>
  <c r="I24" i="1"/>
  <c r="I16" i="1"/>
  <c r="D37" i="2"/>
  <c r="F38" i="2"/>
  <c r="D16" i="1"/>
  <c r="D24" i="1"/>
  <c r="F16" i="1"/>
  <c r="F24" i="1"/>
  <c r="C22" i="2"/>
  <c r="D36" i="2"/>
  <c r="F37" i="2"/>
  <c r="F39" i="2"/>
  <c r="F36" i="2"/>
  <c r="C16" i="1"/>
  <c r="C24" i="1"/>
  <c r="E16" i="1"/>
  <c r="E24" i="1"/>
  <c r="D39" i="2" l="1"/>
  <c r="U38" i="2"/>
  <c r="U22" i="2"/>
  <c r="U39" i="2" s="1"/>
  <c r="N49" i="1"/>
  <c r="N47" i="1"/>
  <c r="N48" i="1"/>
  <c r="N46" i="1"/>
  <c r="H26" i="1"/>
  <c r="Q38" i="2"/>
  <c r="Q22" i="2"/>
  <c r="S36" i="2"/>
  <c r="E18" i="2"/>
  <c r="E23" i="2" s="1"/>
  <c r="E25" i="2" s="1"/>
  <c r="J24" i="1"/>
  <c r="D35" i="2"/>
  <c r="G20" i="1"/>
  <c r="G26" i="1"/>
  <c r="H21" i="1"/>
  <c r="I25" i="1"/>
  <c r="I18" i="1"/>
  <c r="F18" i="1"/>
  <c r="F25" i="1"/>
  <c r="E18" i="1"/>
  <c r="E25" i="1"/>
  <c r="D25" i="1"/>
  <c r="D18" i="1"/>
  <c r="C25" i="1"/>
  <c r="C18" i="1"/>
  <c r="G38" i="2"/>
  <c r="G37" i="2"/>
  <c r="D18" i="2"/>
  <c r="G36" i="2"/>
  <c r="G39" i="2"/>
  <c r="R38" i="2" l="1"/>
  <c r="R22" i="2"/>
  <c r="R39" i="2" s="1"/>
  <c r="J25" i="1"/>
  <c r="C31" i="2"/>
  <c r="G21" i="1"/>
  <c r="I26" i="1"/>
  <c r="I20" i="1"/>
  <c r="H22" i="2"/>
  <c r="H39" i="2" s="1"/>
  <c r="H36" i="2"/>
  <c r="D23" i="2"/>
  <c r="D31" i="2"/>
  <c r="E35" i="2"/>
  <c r="F26" i="1"/>
  <c r="F20" i="1"/>
  <c r="C26" i="1"/>
  <c r="C20" i="1"/>
  <c r="D20" i="1"/>
  <c r="D26" i="1"/>
  <c r="H37" i="2"/>
  <c r="H38" i="2"/>
  <c r="D21" i="1" l="1"/>
  <c r="F21" i="1"/>
  <c r="I45" i="1"/>
  <c r="E26" i="1"/>
  <c r="E20" i="1"/>
  <c r="G45" i="1" s="1"/>
  <c r="S38" i="2"/>
  <c r="S22" i="2"/>
  <c r="J26" i="1"/>
  <c r="J20" i="1"/>
  <c r="M45" i="1" s="1"/>
  <c r="C23" i="2"/>
  <c r="C25" i="2" s="1"/>
  <c r="C27" i="2" s="1"/>
  <c r="C28" i="2" s="1"/>
  <c r="I21" i="1"/>
  <c r="C21" i="1"/>
  <c r="I22" i="2"/>
  <c r="I39" i="2" s="1"/>
  <c r="I36" i="2"/>
  <c r="I38" i="2"/>
  <c r="I37" i="2"/>
  <c r="D32" i="2"/>
  <c r="D25" i="2"/>
  <c r="J45" i="1" l="1"/>
  <c r="K45" i="1"/>
  <c r="F45" i="1"/>
  <c r="F49" i="1" s="1"/>
  <c r="E21" i="1"/>
  <c r="H45" i="1"/>
  <c r="L45" i="1"/>
  <c r="S39" i="2"/>
  <c r="T39" i="2"/>
  <c r="Q35" i="2"/>
  <c r="J21" i="1"/>
  <c r="R35" i="2"/>
  <c r="C32" i="2"/>
  <c r="E31" i="2"/>
  <c r="J37" i="2"/>
  <c r="F48" i="1"/>
  <c r="F47" i="1"/>
  <c r="J38" i="2"/>
  <c r="D27" i="2"/>
  <c r="D28" i="2" s="1"/>
  <c r="D33" i="2"/>
  <c r="J36" i="2"/>
  <c r="J39" i="2"/>
  <c r="C33" i="2"/>
  <c r="E32" i="2"/>
  <c r="F46" i="1" l="1"/>
  <c r="S35" i="2"/>
  <c r="J48" i="1"/>
  <c r="J47" i="1"/>
  <c r="J49" i="1"/>
  <c r="J46" i="1"/>
  <c r="D55" i="2"/>
  <c r="D54" i="2"/>
  <c r="D53" i="2"/>
  <c r="D52" i="2"/>
  <c r="K38" i="2"/>
  <c r="K37" i="2"/>
  <c r="K22" i="2"/>
  <c r="K39" i="2" s="1"/>
  <c r="K36" i="2"/>
  <c r="E33" i="2"/>
  <c r="F32" i="2" l="1"/>
  <c r="E27" i="2"/>
  <c r="E28" i="2" s="1"/>
  <c r="L37" i="2"/>
  <c r="L38" i="2"/>
  <c r="I35" i="2"/>
  <c r="L36" i="2"/>
  <c r="L22" i="2"/>
  <c r="L39" i="2" s="1"/>
  <c r="H18" i="2" l="1"/>
  <c r="H23" i="2" s="1"/>
  <c r="H32" i="2" s="1"/>
  <c r="E53" i="2"/>
  <c r="E54" i="2"/>
  <c r="E55" i="2"/>
  <c r="E52" i="2"/>
  <c r="M38" i="2"/>
  <c r="M22" i="2"/>
  <c r="M39" i="2" s="1"/>
  <c r="M36" i="2"/>
  <c r="J35" i="2"/>
  <c r="M37" i="2"/>
  <c r="H17" i="2" l="1"/>
  <c r="H31" i="2"/>
  <c r="I18" i="2" s="1"/>
  <c r="I17" i="2" s="1"/>
  <c r="F33" i="2"/>
  <c r="K35" i="2"/>
  <c r="N36" i="2"/>
  <c r="N22" i="2"/>
  <c r="N39" i="2" s="1"/>
  <c r="N37" i="2"/>
  <c r="N38" i="2"/>
  <c r="I31" i="2" l="1"/>
  <c r="J18" i="2" s="1"/>
  <c r="J23" i="2" s="1"/>
  <c r="J32" i="2" s="1"/>
  <c r="I23" i="2"/>
  <c r="I32" i="2" s="1"/>
  <c r="F27" i="2"/>
  <c r="F28" i="2" s="1"/>
  <c r="O37" i="2"/>
  <c r="P37" i="2"/>
  <c r="O36" i="2"/>
  <c r="O22" i="2"/>
  <c r="O39" i="2" s="1"/>
  <c r="L35" i="2"/>
  <c r="O38" i="2"/>
  <c r="P38" i="2"/>
  <c r="F54" i="2" l="1"/>
  <c r="F53" i="2"/>
  <c r="F52" i="2"/>
  <c r="F55" i="2"/>
  <c r="J31" i="2"/>
  <c r="K18" i="2" s="1"/>
  <c r="J17" i="2"/>
  <c r="M35" i="2"/>
  <c r="P36" i="2"/>
  <c r="P22" i="2"/>
  <c r="P39" i="2" l="1"/>
  <c r="Q39" i="2"/>
  <c r="K17" i="2"/>
  <c r="K31" i="2"/>
  <c r="L18" i="2" s="1"/>
  <c r="K23" i="2"/>
  <c r="K32" i="2" s="1"/>
  <c r="N35" i="2"/>
  <c r="L17" i="2" l="1"/>
  <c r="L23" i="2"/>
  <c r="L32" i="2" s="1"/>
  <c r="L31" i="2"/>
  <c r="M18" i="2" s="1"/>
  <c r="G27" i="2"/>
  <c r="O35" i="2"/>
  <c r="G28" i="2" l="1"/>
  <c r="G41" i="2"/>
  <c r="M17" i="2"/>
  <c r="M31" i="2"/>
  <c r="N18" i="2" s="1"/>
  <c r="M23" i="2"/>
  <c r="M32" i="2" s="1"/>
  <c r="H24" i="2"/>
  <c r="H25" i="2" s="1"/>
  <c r="H26" i="2" s="1"/>
  <c r="P35" i="2"/>
  <c r="N31" i="2" l="1"/>
  <c r="O18" i="2" s="1"/>
  <c r="N23" i="2"/>
  <c r="N32" i="2" s="1"/>
  <c r="N17" i="2"/>
  <c r="H33" i="2"/>
  <c r="O17" i="2" l="1"/>
  <c r="O23" i="2"/>
  <c r="O32" i="2" s="1"/>
  <c r="O31" i="2"/>
  <c r="P18" i="2" s="1"/>
  <c r="H27" i="2"/>
  <c r="P17" i="2" l="1"/>
  <c r="P31" i="2"/>
  <c r="Q18" i="2" s="1"/>
  <c r="P23" i="2"/>
  <c r="P32" i="2" s="1"/>
  <c r="H28" i="2"/>
  <c r="H41" i="2"/>
  <c r="I24" i="2" s="1"/>
  <c r="I25" i="2" s="1"/>
  <c r="I26" i="2" s="1"/>
  <c r="Q23" i="2" l="1"/>
  <c r="Q31" i="2"/>
  <c r="R18" i="2" s="1"/>
  <c r="Q17" i="2"/>
  <c r="I33" i="2"/>
  <c r="R23" i="2" l="1"/>
  <c r="R31" i="2"/>
  <c r="S18" i="2" s="1"/>
  <c r="R17" i="2"/>
  <c r="Q32" i="2"/>
  <c r="I27" i="2"/>
  <c r="S31" i="2" l="1"/>
  <c r="T18" i="2" s="1"/>
  <c r="S23" i="2"/>
  <c r="S17" i="2"/>
  <c r="R32" i="2"/>
  <c r="I28" i="2"/>
  <c r="I41" i="2"/>
  <c r="J24" i="2" s="1"/>
  <c r="J25" i="2" s="1"/>
  <c r="J26" i="2" s="1"/>
  <c r="T31" i="2" l="1"/>
  <c r="U18" i="2" s="1"/>
  <c r="T17" i="2"/>
  <c r="T23" i="2"/>
  <c r="T32" i="2" s="1"/>
  <c r="S32" i="2"/>
  <c r="J33" i="2"/>
  <c r="U31" i="2" l="1"/>
  <c r="U17" i="2"/>
  <c r="U23" i="2"/>
  <c r="U32" i="2" s="1"/>
  <c r="J27" i="2"/>
  <c r="J28" i="2" l="1"/>
  <c r="J41" i="2"/>
  <c r="K24" i="2" s="1"/>
  <c r="K25" i="2" s="1"/>
  <c r="K26" i="2" s="1"/>
  <c r="K33" i="2" l="1"/>
  <c r="K27" i="2" l="1"/>
  <c r="K28" i="2" l="1"/>
  <c r="K41" i="2"/>
  <c r="L24" i="2" l="1"/>
  <c r="L25" i="2" s="1"/>
  <c r="L26" i="2" s="1"/>
  <c r="L33" i="2" l="1"/>
  <c r="L27" i="2" l="1"/>
  <c r="L28" i="2" s="1"/>
  <c r="L41" i="2" l="1"/>
  <c r="M24" i="2" s="1"/>
  <c r="M25" i="2" s="1"/>
  <c r="M26" i="2" s="1"/>
  <c r="M33" i="2" l="1"/>
  <c r="M27" i="2" l="1"/>
  <c r="M28" i="2" s="1"/>
  <c r="M41" i="2" l="1"/>
  <c r="N24" i="2" s="1"/>
  <c r="N25" i="2" s="1"/>
  <c r="N26" i="2" s="1"/>
  <c r="N33" i="2" l="1"/>
  <c r="N27" i="2" l="1"/>
  <c r="N28" i="2" s="1"/>
  <c r="N41" i="2" l="1"/>
  <c r="O24" i="2" s="1"/>
  <c r="O25" i="2" s="1"/>
  <c r="O26" i="2" s="1"/>
  <c r="O33" i="2" l="1"/>
  <c r="O27" i="2" l="1"/>
  <c r="O28" i="2" s="1"/>
  <c r="O41" i="2" l="1"/>
  <c r="P24" i="2" s="1"/>
  <c r="P25" i="2" s="1"/>
  <c r="P26" i="2" s="1"/>
  <c r="P33" i="2" l="1"/>
  <c r="P27" i="2" l="1"/>
  <c r="P28" i="2" s="1"/>
  <c r="P41" i="2" l="1"/>
  <c r="Q24" i="2" s="1"/>
  <c r="Q25" i="2" s="1"/>
  <c r="Q26" i="2" s="1"/>
  <c r="Q33" i="2" l="1"/>
  <c r="Q27" i="2" l="1"/>
  <c r="Q28" i="2" s="1"/>
  <c r="Q41" i="2" l="1"/>
  <c r="R24" i="2" s="1"/>
  <c r="R25" i="2" s="1"/>
  <c r="R26" i="2" s="1"/>
  <c r="R33" i="2" l="1"/>
  <c r="R27" i="2" l="1"/>
  <c r="R28" i="2" s="1"/>
  <c r="R41" i="2" l="1"/>
  <c r="S24" i="2"/>
  <c r="S25" i="2" s="1"/>
  <c r="S26" i="2" s="1"/>
  <c r="S33" i="2" l="1"/>
  <c r="S27" i="2" l="1"/>
  <c r="S28" i="2" s="1"/>
  <c r="S41" i="2" l="1"/>
  <c r="T24" i="2" s="1"/>
  <c r="T25" i="2" s="1"/>
  <c r="T26" i="2" s="1"/>
  <c r="T33" i="2" l="1"/>
  <c r="T27" i="2" l="1"/>
  <c r="T28" i="2" l="1"/>
  <c r="T41" i="2"/>
  <c r="U24" i="2" l="1"/>
  <c r="U25" i="2" s="1"/>
  <c r="U26" i="2" s="1"/>
  <c r="U33" i="2" l="1"/>
  <c r="U27" i="2" l="1"/>
  <c r="U28" i="2" l="1"/>
  <c r="V27" i="2"/>
  <c r="U41" i="2"/>
  <c r="W27" i="2" l="1"/>
  <c r="X27" i="2" s="1"/>
  <c r="Y27" i="2" s="1"/>
  <c r="Z27" i="2" s="1"/>
  <c r="AA27" i="2" s="1"/>
  <c r="AB27" i="2" s="1"/>
  <c r="AC27" i="2" s="1"/>
  <c r="AD27" i="2" s="1"/>
  <c r="AE27" i="2" s="1"/>
  <c r="AF27" i="2" s="1"/>
  <c r="AG27" i="2" s="1"/>
  <c r="AH27" i="2" s="1"/>
  <c r="AI27" i="2" s="1"/>
  <c r="AJ27" i="2" s="1"/>
  <c r="AK27" i="2" s="1"/>
  <c r="AL27" i="2" s="1"/>
  <c r="AM27" i="2" s="1"/>
  <c r="AN27" i="2" s="1"/>
  <c r="AO27" i="2" s="1"/>
  <c r="AP27" i="2" s="1"/>
  <c r="AQ27" i="2" s="1"/>
  <c r="AR27" i="2" s="1"/>
  <c r="AS27" i="2" s="1"/>
  <c r="AT27" i="2" s="1"/>
  <c r="AU27" i="2" s="1"/>
  <c r="AV27" i="2" s="1"/>
  <c r="AW27" i="2" s="1"/>
  <c r="AX27" i="2" s="1"/>
  <c r="AY27" i="2" s="1"/>
  <c r="AZ27" i="2" s="1"/>
  <c r="BA27" i="2" s="1"/>
  <c r="BB27" i="2" s="1"/>
  <c r="BC27" i="2" s="1"/>
  <c r="BD27" i="2" s="1"/>
  <c r="BE27" i="2" s="1"/>
  <c r="BF27" i="2" s="1"/>
  <c r="BG27" i="2" s="1"/>
  <c r="BH27" i="2" s="1"/>
  <c r="BI27" i="2" s="1"/>
  <c r="BJ27" i="2" s="1"/>
  <c r="BK27" i="2" s="1"/>
  <c r="BL27" i="2" s="1"/>
  <c r="BM27" i="2" s="1"/>
  <c r="BN27" i="2" s="1"/>
  <c r="BO27" i="2" s="1"/>
  <c r="BP27" i="2" s="1"/>
  <c r="BQ27" i="2" s="1"/>
  <c r="BR27" i="2" s="1"/>
  <c r="BS27" i="2" s="1"/>
  <c r="BT27" i="2" s="1"/>
  <c r="BU27" i="2" s="1"/>
  <c r="BV27" i="2" s="1"/>
  <c r="BW27" i="2" s="1"/>
  <c r="BX27" i="2" s="1"/>
  <c r="BY27" i="2" s="1"/>
  <c r="BZ27" i="2" s="1"/>
  <c r="CA27" i="2" s="1"/>
  <c r="CB27" i="2" s="1"/>
  <c r="CC27" i="2" s="1"/>
  <c r="CD27" i="2" s="1"/>
  <c r="CE27" i="2" s="1"/>
  <c r="CF27" i="2" s="1"/>
  <c r="CG27" i="2" s="1"/>
  <c r="CH27" i="2" s="1"/>
  <c r="CI27" i="2" s="1"/>
  <c r="CJ27" i="2" s="1"/>
  <c r="CK27" i="2" s="1"/>
  <c r="CL27" i="2" s="1"/>
  <c r="CM27" i="2" s="1"/>
  <c r="CN27" i="2" s="1"/>
  <c r="CO27" i="2" s="1"/>
  <c r="CP27" i="2" s="1"/>
  <c r="CQ27" i="2" s="1"/>
  <c r="CR27" i="2" s="1"/>
  <c r="CS27" i="2" s="1"/>
  <c r="CT27" i="2" s="1"/>
  <c r="CU27" i="2" s="1"/>
  <c r="CV27" i="2" s="1"/>
  <c r="CW27" i="2" s="1"/>
  <c r="CX27" i="2" s="1"/>
  <c r="CY27" i="2" s="1"/>
  <c r="CZ27" i="2" s="1"/>
  <c r="DA27" i="2" s="1"/>
  <c r="DB27" i="2" s="1"/>
  <c r="DC27" i="2" s="1"/>
  <c r="DD27" i="2" s="1"/>
  <c r="DE27" i="2" s="1"/>
  <c r="DF27" i="2" s="1"/>
  <c r="DG27" i="2" s="1"/>
  <c r="DH27" i="2" s="1"/>
  <c r="DI27" i="2" s="1"/>
  <c r="DJ27" i="2" s="1"/>
  <c r="DK27" i="2" s="1"/>
  <c r="DL27" i="2" s="1"/>
  <c r="DM27" i="2" s="1"/>
  <c r="DN27" i="2" s="1"/>
  <c r="DO27" i="2" s="1"/>
  <c r="DP27" i="2" s="1"/>
  <c r="DQ27" i="2" s="1"/>
  <c r="DR27" i="2" l="1"/>
  <c r="DS27" i="2" s="1"/>
  <c r="DT27" i="2" s="1"/>
  <c r="DU27" i="2" s="1"/>
  <c r="DV27" i="2" s="1"/>
  <c r="DW27" i="2" s="1"/>
  <c r="DX27" i="2" s="1"/>
  <c r="DY27" i="2" s="1"/>
  <c r="DZ27" i="2" s="1"/>
  <c r="EA27" i="2" s="1"/>
  <c r="EB27" i="2" s="1"/>
  <c r="EC27" i="2" s="1"/>
  <c r="ED27" i="2" s="1"/>
  <c r="EE27" i="2" s="1"/>
  <c r="EF27" i="2" s="1"/>
  <c r="EG27" i="2" s="1"/>
  <c r="EH27" i="2" s="1"/>
  <c r="EI27" i="2" s="1"/>
  <c r="EJ27" i="2" s="1"/>
  <c r="EK27" i="2" s="1"/>
  <c r="EL27" i="2" s="1"/>
  <c r="EM27" i="2" s="1"/>
  <c r="EN27" i="2" s="1"/>
  <c r="EO27" i="2" s="1"/>
  <c r="EP27" i="2" s="1"/>
  <c r="EQ27" i="2" s="1"/>
  <c r="ER27" i="2" s="1"/>
  <c r="ES27" i="2" s="1"/>
  <c r="ET27" i="2" s="1"/>
  <c r="EU27" i="2" s="1"/>
  <c r="EV27" i="2" s="1"/>
  <c r="EW27" i="2" s="1"/>
  <c r="EX27" i="2" s="1"/>
  <c r="EY27" i="2" s="1"/>
  <c r="EZ27" i="2" s="1"/>
  <c r="FA27" i="2" s="1"/>
  <c r="FB27" i="2" s="1"/>
  <c r="FC27" i="2" s="1"/>
  <c r="FD27" i="2" s="1"/>
  <c r="FE27" i="2" s="1"/>
  <c r="FF27" i="2" s="1"/>
  <c r="FG27" i="2" s="1"/>
  <c r="FH27" i="2" s="1"/>
  <c r="FI27" i="2" s="1"/>
  <c r="FJ27" i="2" s="1"/>
  <c r="FK27" i="2" s="1"/>
  <c r="FL27" i="2" s="1"/>
  <c r="FM27" i="2" s="1"/>
  <c r="FN27" i="2" s="1"/>
  <c r="FO27" i="2" s="1"/>
  <c r="FP27" i="2" s="1"/>
  <c r="FQ27" i="2" s="1"/>
  <c r="FR27" i="2" s="1"/>
  <c r="FS27" i="2" s="1"/>
  <c r="FT27" i="2" s="1"/>
  <c r="FU27" i="2" s="1"/>
  <c r="FV27" i="2" s="1"/>
  <c r="FW27" i="2" s="1"/>
  <c r="FX27" i="2" s="1"/>
  <c r="FY27" i="2" s="1"/>
  <c r="FZ27" i="2" s="1"/>
  <c r="GA27" i="2" s="1"/>
  <c r="GB27" i="2" s="1"/>
  <c r="GC27" i="2" s="1"/>
  <c r="GD27" i="2" s="1"/>
  <c r="GE27" i="2" s="1"/>
  <c r="GF27" i="2" s="1"/>
  <c r="GG27" i="2" s="1"/>
  <c r="GH27" i="2" s="1"/>
  <c r="GI27" i="2" s="1"/>
  <c r="GJ27" i="2" s="1"/>
  <c r="GK27" i="2" s="1"/>
  <c r="GL27" i="2" s="1"/>
  <c r="GM27" i="2" s="1"/>
  <c r="GN27" i="2" s="1"/>
  <c r="GO27" i="2" s="1"/>
  <c r="GP27" i="2" s="1"/>
  <c r="GQ27" i="2" s="1"/>
  <c r="GR27" i="2" s="1"/>
  <c r="GS27" i="2" s="1"/>
  <c r="GT27" i="2" s="1"/>
  <c r="GU27" i="2" s="1"/>
  <c r="GV27" i="2" s="1"/>
  <c r="GW27" i="2" s="1"/>
  <c r="GX27" i="2" s="1"/>
  <c r="GY27" i="2" s="1"/>
  <c r="GZ27" i="2" s="1"/>
  <c r="HA27" i="2" s="1"/>
  <c r="HB27" i="2" s="1"/>
  <c r="HC27" i="2" s="1"/>
  <c r="HD27" i="2" s="1"/>
  <c r="HE27" i="2" s="1"/>
  <c r="HF27" i="2" s="1"/>
  <c r="HG27" i="2" s="1"/>
  <c r="HH27" i="2" s="1"/>
  <c r="HI27" i="2" s="1"/>
  <c r="HJ27" i="2" s="1"/>
  <c r="HK27" i="2" s="1"/>
  <c r="HL27" i="2" s="1"/>
  <c r="HM27" i="2" s="1"/>
  <c r="HN27" i="2" s="1"/>
  <c r="HO27" i="2" s="1"/>
  <c r="HP27" i="2" s="1"/>
  <c r="HQ27" i="2" s="1"/>
  <c r="HR27" i="2" s="1"/>
  <c r="HS27" i="2" s="1"/>
  <c r="HT27" i="2" s="1"/>
  <c r="HU27" i="2" s="1"/>
  <c r="HV27" i="2" s="1"/>
  <c r="HW27" i="2" s="1"/>
  <c r="HX27" i="2" s="1"/>
  <c r="HY27" i="2" s="1"/>
  <c r="HZ27" i="2" s="1"/>
  <c r="IA27" i="2" s="1"/>
  <c r="IB27" i="2" s="1"/>
  <c r="IC27" i="2" s="1"/>
  <c r="ID27" i="2" s="1"/>
  <c r="IE27" i="2" s="1"/>
  <c r="IF27" i="2" s="1"/>
  <c r="IG27" i="2" s="1"/>
  <c r="IH27" i="2" s="1"/>
  <c r="II27" i="2" s="1"/>
  <c r="IJ27" i="2" s="1"/>
  <c r="G7" i="2"/>
  <c r="G8" i="2" s="1"/>
  <c r="H8" i="2" s="1"/>
</calcChain>
</file>

<file path=xl/sharedStrings.xml><?xml version="1.0" encoding="utf-8"?>
<sst xmlns="http://schemas.openxmlformats.org/spreadsheetml/2006/main" count="124" uniqueCount="79">
  <si>
    <t>Revenue</t>
  </si>
  <si>
    <t>COGS</t>
  </si>
  <si>
    <t>Gross Profit</t>
  </si>
  <si>
    <t>R&amp;D</t>
  </si>
  <si>
    <t>S&amp;M</t>
  </si>
  <si>
    <t>G&amp;A</t>
  </si>
  <si>
    <t>Operating Expenses</t>
  </si>
  <si>
    <t>Operating Income</t>
  </si>
  <si>
    <t>Interest Income</t>
  </si>
  <si>
    <t>Pretax Income</t>
  </si>
  <si>
    <t>Taxes</t>
  </si>
  <si>
    <t>Net Income</t>
  </si>
  <si>
    <t>EPS</t>
  </si>
  <si>
    <t>Shares</t>
  </si>
  <si>
    <t>Revenue y/y</t>
  </si>
  <si>
    <t>Gross Margin</t>
  </si>
  <si>
    <t>Operating Margin</t>
  </si>
  <si>
    <t>Tax Rate</t>
  </si>
  <si>
    <t>Net Cash</t>
  </si>
  <si>
    <t>Cash</t>
  </si>
  <si>
    <t>Debt</t>
  </si>
  <si>
    <t>Maturity</t>
  </si>
  <si>
    <t>ROIC</t>
  </si>
  <si>
    <t>Discount</t>
  </si>
  <si>
    <t>NPV</t>
  </si>
  <si>
    <t>Value</t>
  </si>
  <si>
    <t>Q118</t>
  </si>
  <si>
    <t>Q218</t>
  </si>
  <si>
    <t>Q318</t>
  </si>
  <si>
    <t>Q418</t>
  </si>
  <si>
    <t>R&amp;D y/y</t>
  </si>
  <si>
    <t>S&amp;M y/y</t>
  </si>
  <si>
    <t>G&amp;A y/y</t>
  </si>
  <si>
    <t>EDGAR</t>
  </si>
  <si>
    <t>CEO</t>
  </si>
  <si>
    <t>Founder</t>
  </si>
  <si>
    <t>Price</t>
  </si>
  <si>
    <t>Market Cap</t>
  </si>
  <si>
    <t>EV</t>
  </si>
  <si>
    <t>per share</t>
  </si>
  <si>
    <t>Intangibles</t>
  </si>
  <si>
    <t>Total assets</t>
  </si>
  <si>
    <t>Total liabilities</t>
  </si>
  <si>
    <t>TWC</t>
  </si>
  <si>
    <t>Equity</t>
  </si>
  <si>
    <t>ROE</t>
  </si>
  <si>
    <t>ROA</t>
  </si>
  <si>
    <t>ROTB</t>
  </si>
  <si>
    <t>ROTWC</t>
  </si>
  <si>
    <t>Q119</t>
  </si>
  <si>
    <t>Q219</t>
  </si>
  <si>
    <t>Q319</t>
  </si>
  <si>
    <t>Q419</t>
  </si>
  <si>
    <t>OE y/y</t>
  </si>
  <si>
    <t>Q120</t>
  </si>
  <si>
    <t>Q220</t>
  </si>
  <si>
    <t>Q320</t>
  </si>
  <si>
    <t>Q420</t>
  </si>
  <si>
    <t>PRODUCTS</t>
  </si>
  <si>
    <t>Subscription</t>
  </si>
  <si>
    <t>Subscription y/y</t>
  </si>
  <si>
    <t>INVESTOR</t>
  </si>
  <si>
    <t>Net Income TTM</t>
  </si>
  <si>
    <t>Revenue TTM</t>
  </si>
  <si>
    <t>Revenue TTM y/y</t>
  </si>
  <si>
    <t>Zoom Video Communications Inc (ZM)</t>
  </si>
  <si>
    <t>Q121</t>
  </si>
  <si>
    <t>Q221</t>
  </si>
  <si>
    <t>Q321</t>
  </si>
  <si>
    <t>Q421</t>
  </si>
  <si>
    <t>Customers</t>
  </si>
  <si>
    <t>ARPC</t>
  </si>
  <si>
    <t>NER TTM</t>
  </si>
  <si>
    <t>Zoom Platform</t>
  </si>
  <si>
    <t>Video and voice communications</t>
  </si>
  <si>
    <t>Customers y/y</t>
  </si>
  <si>
    <t>APRC y/y</t>
  </si>
  <si>
    <t>ARPC y/y</t>
  </si>
  <si>
    <t>Eric Yuan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</si>
</sst>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_ ;[Red]\-#,##0\ "/>
    <numFmt numFmtId="166" formatCode="#,##0.000"/>
  </numFmts>
  <fonts count="12" x14ac:knownFonts="1">
    <font>
      <sz val="10"/>
      <color theme="1"/>
      <name val="Arial"/>
      <family val="2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Arial"/>
      <family val="2"/>
    </font>
    <font>
      <i/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sz val="10"/>
      <color theme="1"/>
      <name val="Arial"/>
      <family val="2"/>
    </font>
    <font>
      <u/>
      <sz val="10"/>
      <color theme="10"/>
      <name val="Arial"/>
      <family val="2"/>
    </font>
    <font>
      <b/>
      <sz val="10"/>
      <color theme="1"/>
      <name val="Arial"/>
      <family val="2"/>
    </font>
    <font>
      <b/>
      <u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16">
    <xf numFmtId="0" fontId="0" fillId="0" borderId="0" xfId="0"/>
    <xf numFmtId="0" fontId="4" fillId="0" borderId="0" xfId="0" applyFont="1"/>
    <xf numFmtId="4" fontId="4" fillId="0" borderId="0" xfId="0" applyNumberFormat="1" applyFont="1" applyBorder="1"/>
    <xf numFmtId="0" fontId="4" fillId="0" borderId="0" xfId="0" applyFont="1" applyBorder="1"/>
    <xf numFmtId="10" fontId="4" fillId="0" borderId="0" xfId="0" applyNumberFormat="1" applyFont="1"/>
    <xf numFmtId="3" fontId="4" fillId="0" borderId="0" xfId="0" applyNumberFormat="1" applyFont="1" applyBorder="1"/>
    <xf numFmtId="0" fontId="5" fillId="0" borderId="0" xfId="0" applyFont="1"/>
    <xf numFmtId="3" fontId="4" fillId="2" borderId="0" xfId="0" applyNumberFormat="1" applyFont="1" applyFill="1" applyBorder="1"/>
    <xf numFmtId="164" fontId="4" fillId="2" borderId="0" xfId="0" applyNumberFormat="1" applyFont="1" applyFill="1"/>
    <xf numFmtId="0" fontId="6" fillId="0" borderId="0" xfId="0" applyFont="1" applyBorder="1"/>
    <xf numFmtId="164" fontId="6" fillId="2" borderId="0" xfId="0" applyNumberFormat="1" applyFont="1" applyFill="1"/>
    <xf numFmtId="4" fontId="4" fillId="2" borderId="0" xfId="0" applyNumberFormat="1" applyFont="1" applyFill="1" applyBorder="1"/>
    <xf numFmtId="0" fontId="5" fillId="0" borderId="0" xfId="0" applyFont="1" applyBorder="1"/>
    <xf numFmtId="4" fontId="4" fillId="2" borderId="0" xfId="0" applyNumberFormat="1" applyFont="1" applyFill="1"/>
    <xf numFmtId="9" fontId="4" fillId="0" borderId="0" xfId="0" applyNumberFormat="1" applyFont="1"/>
    <xf numFmtId="0" fontId="6" fillId="0" borderId="0" xfId="0" applyFont="1"/>
    <xf numFmtId="3" fontId="4" fillId="0" borderId="0" xfId="0" applyNumberFormat="1" applyFont="1"/>
    <xf numFmtId="3" fontId="6" fillId="0" borderId="0" xfId="0" applyNumberFormat="1" applyFont="1" applyBorder="1"/>
    <xf numFmtId="2" fontId="4" fillId="0" borderId="0" xfId="0" applyNumberFormat="1" applyFont="1" applyBorder="1"/>
    <xf numFmtId="9" fontId="6" fillId="0" borderId="0" xfId="1" applyFont="1" applyBorder="1"/>
    <xf numFmtId="9" fontId="4" fillId="0" borderId="0" xfId="1" applyFont="1" applyBorder="1"/>
    <xf numFmtId="9" fontId="4" fillId="0" borderId="0" xfId="0" applyNumberFormat="1" applyFont="1" applyBorder="1"/>
    <xf numFmtId="3" fontId="6" fillId="2" borderId="0" xfId="0" applyNumberFormat="1" applyFont="1" applyFill="1" applyBorder="1"/>
    <xf numFmtId="3" fontId="4" fillId="2" borderId="0" xfId="0" applyNumberFormat="1" applyFont="1" applyFill="1"/>
    <xf numFmtId="0" fontId="8" fillId="0" borderId="0" xfId="0" applyFont="1" applyAlignment="1">
      <alignment horizontal="right"/>
    </xf>
    <xf numFmtId="0" fontId="8" fillId="0" borderId="1" xfId="0" applyFont="1" applyBorder="1" applyAlignment="1">
      <alignment horizontal="right"/>
    </xf>
    <xf numFmtId="3" fontId="8" fillId="0" borderId="1" xfId="0" applyNumberFormat="1" applyFont="1" applyBorder="1" applyAlignment="1">
      <alignment horizontal="right"/>
    </xf>
    <xf numFmtId="3" fontId="8" fillId="0" borderId="0" xfId="0" applyNumberFormat="1" applyFont="1" applyAlignment="1">
      <alignment horizontal="right"/>
    </xf>
    <xf numFmtId="3" fontId="8" fillId="0" borderId="0" xfId="0" applyNumberFormat="1" applyFont="1" applyFill="1" applyAlignment="1">
      <alignment horizontal="right"/>
    </xf>
    <xf numFmtId="0" fontId="8" fillId="0" borderId="0" xfId="0" applyFont="1"/>
    <xf numFmtId="0" fontId="9" fillId="0" borderId="0" xfId="4" applyFont="1"/>
    <xf numFmtId="0" fontId="8" fillId="0" borderId="0" xfId="0" applyFont="1" applyFill="1" applyAlignment="1">
      <alignment horizontal="right"/>
    </xf>
    <xf numFmtId="3" fontId="8" fillId="0" borderId="0" xfId="0" applyNumberFormat="1" applyFont="1"/>
    <xf numFmtId="3" fontId="8" fillId="0" borderId="0" xfId="0" applyNumberFormat="1" applyFont="1" applyBorder="1" applyAlignment="1">
      <alignment horizontal="right"/>
    </xf>
    <xf numFmtId="3" fontId="8" fillId="0" borderId="0" xfId="0" applyNumberFormat="1" applyFont="1" applyFill="1" applyBorder="1" applyAlignment="1">
      <alignment horizontal="right"/>
    </xf>
    <xf numFmtId="3" fontId="10" fillId="0" borderId="0" xfId="0" applyNumberFormat="1" applyFont="1"/>
    <xf numFmtId="3" fontId="10" fillId="2" borderId="0" xfId="0" applyNumberFormat="1" applyFont="1" applyFill="1" applyBorder="1" applyAlignment="1">
      <alignment horizontal="right"/>
    </xf>
    <xf numFmtId="3" fontId="10" fillId="2" borderId="1" xfId="0" applyNumberFormat="1" applyFont="1" applyFill="1" applyBorder="1" applyAlignment="1">
      <alignment horizontal="right"/>
    </xf>
    <xf numFmtId="3" fontId="8" fillId="2" borderId="0" xfId="0" applyNumberFormat="1" applyFont="1" applyFill="1" applyBorder="1" applyAlignment="1">
      <alignment horizontal="right"/>
    </xf>
    <xf numFmtId="3" fontId="8" fillId="2" borderId="1" xfId="0" applyNumberFormat="1" applyFont="1" applyFill="1" applyBorder="1" applyAlignment="1">
      <alignment horizontal="right"/>
    </xf>
    <xf numFmtId="2" fontId="8" fillId="2" borderId="0" xfId="0" applyNumberFormat="1" applyFont="1" applyFill="1" applyBorder="1" applyAlignment="1">
      <alignment horizontal="right"/>
    </xf>
    <xf numFmtId="2" fontId="8" fillId="2" borderId="1" xfId="0" applyNumberFormat="1" applyFont="1" applyFill="1" applyBorder="1" applyAlignment="1">
      <alignment horizontal="right"/>
    </xf>
    <xf numFmtId="9" fontId="8" fillId="0" borderId="0" xfId="0" applyNumberFormat="1" applyFont="1" applyBorder="1" applyAlignment="1">
      <alignment horizontal="right"/>
    </xf>
    <xf numFmtId="9" fontId="8" fillId="0" borderId="1" xfId="0" applyNumberFormat="1" applyFont="1" applyBorder="1" applyAlignment="1">
      <alignment horizontal="right"/>
    </xf>
    <xf numFmtId="9" fontId="8" fillId="0" borderId="0" xfId="0" applyNumberFormat="1" applyFont="1" applyFill="1" applyBorder="1" applyAlignment="1">
      <alignment horizontal="right"/>
    </xf>
    <xf numFmtId="9" fontId="8" fillId="0" borderId="0" xfId="1" applyFont="1" applyBorder="1" applyAlignment="1">
      <alignment horizontal="right"/>
    </xf>
    <xf numFmtId="9" fontId="8" fillId="0" borderId="1" xfId="1" applyFont="1" applyBorder="1" applyAlignment="1">
      <alignment horizontal="right"/>
    </xf>
    <xf numFmtId="9" fontId="8" fillId="0" borderId="0" xfId="1" applyFont="1" applyFill="1" applyBorder="1" applyAlignment="1">
      <alignment horizontal="right"/>
    </xf>
    <xf numFmtId="0" fontId="10" fillId="0" borderId="0" xfId="0" applyFont="1"/>
    <xf numFmtId="9" fontId="10" fillId="0" borderId="0" xfId="1" applyNumberFormat="1" applyFont="1" applyBorder="1" applyAlignment="1">
      <alignment horizontal="right"/>
    </xf>
    <xf numFmtId="9" fontId="10" fillId="0" borderId="1" xfId="1" applyNumberFormat="1" applyFont="1" applyBorder="1" applyAlignment="1">
      <alignment horizontal="right"/>
    </xf>
    <xf numFmtId="9" fontId="10" fillId="0" borderId="0" xfId="1" applyNumberFormat="1" applyFont="1" applyFill="1" applyBorder="1" applyAlignment="1">
      <alignment horizontal="right"/>
    </xf>
    <xf numFmtId="9" fontId="8" fillId="0" borderId="0" xfId="1" applyNumberFormat="1" applyFont="1" applyBorder="1" applyAlignment="1">
      <alignment horizontal="right"/>
    </xf>
    <xf numFmtId="9" fontId="8" fillId="0" borderId="1" xfId="1" applyNumberFormat="1" applyFont="1" applyBorder="1" applyAlignment="1">
      <alignment horizontal="right"/>
    </xf>
    <xf numFmtId="9" fontId="8" fillId="0" borderId="0" xfId="1" applyNumberFormat="1" applyFont="1" applyFill="1" applyBorder="1" applyAlignment="1">
      <alignment horizontal="right"/>
    </xf>
    <xf numFmtId="0" fontId="8" fillId="0" borderId="0" xfId="0" applyFont="1" applyBorder="1" applyAlignment="1">
      <alignment horizontal="right"/>
    </xf>
    <xf numFmtId="0" fontId="8" fillId="0" borderId="0" xfId="0" applyFont="1" applyFill="1" applyBorder="1" applyAlignment="1">
      <alignment horizontal="right"/>
    </xf>
    <xf numFmtId="9" fontId="8" fillId="0" borderId="0" xfId="0" applyNumberFormat="1" applyFont="1" applyFill="1" applyBorder="1"/>
    <xf numFmtId="9" fontId="8" fillId="0" borderId="0" xfId="0" applyNumberFormat="1" applyFont="1"/>
    <xf numFmtId="0" fontId="0" fillId="0" borderId="0" xfId="0" applyFont="1"/>
    <xf numFmtId="3" fontId="0" fillId="0" borderId="1" xfId="0" applyNumberFormat="1" applyFont="1" applyFill="1" applyBorder="1" applyAlignment="1">
      <alignment horizontal="right"/>
    </xf>
    <xf numFmtId="14" fontId="4" fillId="0" borderId="0" xfId="0" applyNumberFormat="1" applyFont="1" applyAlignment="1">
      <alignment horizontal="left"/>
    </xf>
    <xf numFmtId="3" fontId="0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  <xf numFmtId="3" fontId="0" fillId="0" borderId="0" xfId="0" applyNumberFormat="1" applyFont="1" applyFill="1" applyBorder="1" applyAlignment="1">
      <alignment horizontal="right"/>
    </xf>
    <xf numFmtId="3" fontId="0" fillId="0" borderId="0" xfId="0" applyNumberFormat="1" applyFont="1"/>
    <xf numFmtId="3" fontId="0" fillId="0" borderId="0" xfId="0" applyNumberFormat="1" applyFont="1" applyBorder="1" applyAlignment="1">
      <alignment horizontal="right"/>
    </xf>
    <xf numFmtId="0" fontId="11" fillId="0" borderId="0" xfId="0" applyFont="1"/>
    <xf numFmtId="3" fontId="6" fillId="0" borderId="0" xfId="0" applyNumberFormat="1" applyFont="1"/>
    <xf numFmtId="3" fontId="6" fillId="2" borderId="1" xfId="0" applyNumberFormat="1" applyFont="1" applyFill="1" applyBorder="1" applyAlignment="1">
      <alignment horizontal="right"/>
    </xf>
    <xf numFmtId="3" fontId="6" fillId="2" borderId="0" xfId="0" applyNumberFormat="1" applyFont="1" applyFill="1" applyBorder="1" applyAlignment="1">
      <alignment horizontal="right"/>
    </xf>
    <xf numFmtId="0" fontId="7" fillId="0" borderId="0" xfId="4"/>
    <xf numFmtId="14" fontId="8" fillId="0" borderId="0" xfId="0" applyNumberFormat="1" applyFont="1" applyFill="1" applyAlignment="1">
      <alignment horizontal="right"/>
    </xf>
    <xf numFmtId="14" fontId="8" fillId="0" borderId="0" xfId="0" applyNumberFormat="1" applyFont="1" applyAlignment="1">
      <alignment horizontal="right"/>
    </xf>
    <xf numFmtId="14" fontId="8" fillId="0" borderId="1" xfId="0" applyNumberFormat="1" applyFont="1" applyBorder="1" applyAlignment="1">
      <alignment horizontal="right"/>
    </xf>
    <xf numFmtId="3" fontId="5" fillId="0" borderId="0" xfId="0" applyNumberFormat="1" applyFont="1"/>
    <xf numFmtId="3" fontId="5" fillId="0" borderId="1" xfId="0" applyNumberFormat="1" applyFont="1" applyBorder="1" applyAlignment="1">
      <alignment horizontal="right"/>
    </xf>
    <xf numFmtId="3" fontId="5" fillId="0" borderId="0" xfId="0" applyNumberFormat="1" applyFont="1" applyBorder="1" applyAlignment="1">
      <alignment horizontal="right"/>
    </xf>
    <xf numFmtId="3" fontId="5" fillId="0" borderId="0" xfId="0" applyNumberFormat="1" applyFont="1" applyFill="1" applyBorder="1" applyAlignment="1">
      <alignment horizontal="right"/>
    </xf>
    <xf numFmtId="0" fontId="0" fillId="0" borderId="1" xfId="0" applyFont="1" applyBorder="1" applyAlignment="1">
      <alignment horizontal="right"/>
    </xf>
    <xf numFmtId="0" fontId="0" fillId="0" borderId="0" xfId="0" applyFont="1" applyAlignment="1">
      <alignment horizontal="right"/>
    </xf>
    <xf numFmtId="9" fontId="6" fillId="0" borderId="0" xfId="0" applyNumberFormat="1" applyFont="1" applyFill="1" applyBorder="1"/>
    <xf numFmtId="9" fontId="6" fillId="0" borderId="1" xfId="0" applyNumberFormat="1" applyFont="1" applyBorder="1" applyAlignment="1">
      <alignment horizontal="right"/>
    </xf>
    <xf numFmtId="9" fontId="6" fillId="0" borderId="0" xfId="0" applyNumberFormat="1" applyFont="1" applyBorder="1" applyAlignment="1">
      <alignment horizontal="right"/>
    </xf>
    <xf numFmtId="9" fontId="6" fillId="0" borderId="0" xfId="0" applyNumberFormat="1" applyFont="1" applyAlignment="1">
      <alignment horizontal="right"/>
    </xf>
    <xf numFmtId="9" fontId="6" fillId="0" borderId="0" xfId="0" applyNumberFormat="1" applyFont="1"/>
    <xf numFmtId="3" fontId="5" fillId="0" borderId="0" xfId="0" applyNumberFormat="1" applyFont="1" applyAlignment="1">
      <alignment horizontal="right"/>
    </xf>
    <xf numFmtId="3" fontId="6" fillId="0" borderId="0" xfId="0" applyNumberFormat="1" applyFont="1" applyAlignment="1">
      <alignment horizontal="right"/>
    </xf>
    <xf numFmtId="3" fontId="0" fillId="0" borderId="0" xfId="0" applyNumberFormat="1" applyFont="1" applyAlignment="1">
      <alignment horizontal="right"/>
    </xf>
    <xf numFmtId="3" fontId="10" fillId="0" borderId="0" xfId="0" applyNumberFormat="1" applyFont="1" applyAlignment="1">
      <alignment horizontal="right"/>
    </xf>
    <xf numFmtId="0" fontId="10" fillId="0" borderId="0" xfId="0" applyFont="1" applyAlignment="1">
      <alignment horizontal="right"/>
    </xf>
    <xf numFmtId="9" fontId="8" fillId="0" borderId="0" xfId="0" applyNumberFormat="1" applyFont="1" applyAlignment="1">
      <alignment horizontal="right"/>
    </xf>
    <xf numFmtId="0" fontId="6" fillId="0" borderId="0" xfId="0" applyFont="1" applyAlignment="1">
      <alignment horizontal="right"/>
    </xf>
    <xf numFmtId="166" fontId="8" fillId="0" borderId="0" xfId="0" applyNumberFormat="1" applyFont="1"/>
    <xf numFmtId="166" fontId="0" fillId="0" borderId="0" xfId="0" applyNumberFormat="1" applyFont="1"/>
    <xf numFmtId="166" fontId="8" fillId="0" borderId="1" xfId="0" applyNumberFormat="1" applyFont="1" applyBorder="1" applyAlignment="1">
      <alignment horizontal="right"/>
    </xf>
    <xf numFmtId="166" fontId="8" fillId="0" borderId="0" xfId="0" applyNumberFormat="1" applyFont="1" applyBorder="1" applyAlignment="1">
      <alignment horizontal="right"/>
    </xf>
    <xf numFmtId="166" fontId="8" fillId="0" borderId="0" xfId="0" applyNumberFormat="1" applyFont="1" applyFill="1" applyBorder="1" applyAlignment="1">
      <alignment horizontal="right"/>
    </xf>
    <xf numFmtId="166" fontId="0" fillId="0" borderId="0" xfId="0" applyNumberFormat="1" applyFont="1" applyBorder="1" applyAlignment="1">
      <alignment horizontal="right"/>
    </xf>
    <xf numFmtId="166" fontId="8" fillId="0" borderId="0" xfId="0" applyNumberFormat="1" applyFont="1" applyAlignment="1">
      <alignment horizontal="right"/>
    </xf>
    <xf numFmtId="9" fontId="0" fillId="0" borderId="0" xfId="0" applyNumberFormat="1" applyFont="1"/>
    <xf numFmtId="9" fontId="8" fillId="0" borderId="0" xfId="0" applyNumberFormat="1" applyFont="1" applyFill="1" applyAlignment="1">
      <alignment horizontal="right"/>
    </xf>
    <xf numFmtId="9" fontId="0" fillId="0" borderId="0" xfId="0" applyNumberFormat="1" applyFont="1" applyAlignment="1">
      <alignment horizontal="right"/>
    </xf>
    <xf numFmtId="9" fontId="5" fillId="0" borderId="0" xfId="0" applyNumberFormat="1" applyFont="1" applyAlignment="1">
      <alignment horizontal="right"/>
    </xf>
    <xf numFmtId="3" fontId="8" fillId="2" borderId="0" xfId="0" applyNumberFormat="1" applyFont="1" applyFill="1" applyAlignment="1">
      <alignment horizontal="right"/>
    </xf>
    <xf numFmtId="0" fontId="5" fillId="0" borderId="1" xfId="0" applyFont="1" applyBorder="1" applyAlignment="1">
      <alignment horizontal="right"/>
    </xf>
    <xf numFmtId="0" fontId="5" fillId="0" borderId="0" xfId="0" applyFont="1" applyAlignment="1">
      <alignment horizontal="right"/>
    </xf>
    <xf numFmtId="9" fontId="5" fillId="0" borderId="1" xfId="0" applyNumberFormat="1" applyFont="1" applyBorder="1" applyAlignment="1">
      <alignment horizontal="right"/>
    </xf>
    <xf numFmtId="2" fontId="4" fillId="2" borderId="0" xfId="0" applyNumberFormat="1" applyFont="1" applyFill="1" applyBorder="1" applyAlignment="1">
      <alignment horizontal="right"/>
    </xf>
    <xf numFmtId="166" fontId="4" fillId="0" borderId="0" xfId="0" applyNumberFormat="1" applyFont="1"/>
    <xf numFmtId="9" fontId="5" fillId="0" borderId="0" xfId="0" applyNumberFormat="1" applyFont="1" applyBorder="1" applyAlignment="1">
      <alignment horizontal="right"/>
    </xf>
    <xf numFmtId="3" fontId="0" fillId="0" borderId="1" xfId="0" applyNumberFormat="1" applyFont="1" applyBorder="1" applyAlignment="1">
      <alignment horizontal="right"/>
    </xf>
    <xf numFmtId="9" fontId="0" fillId="0" borderId="0" xfId="0" applyNumberFormat="1" applyFont="1" applyBorder="1" applyAlignment="1">
      <alignment horizontal="right"/>
    </xf>
    <xf numFmtId="9" fontId="0" fillId="0" borderId="1" xfId="0" applyNumberFormat="1" applyFont="1" applyBorder="1" applyAlignment="1">
      <alignment horizontal="right"/>
    </xf>
    <xf numFmtId="3" fontId="0" fillId="2" borderId="1" xfId="0" applyNumberFormat="1" applyFont="1" applyFill="1" applyBorder="1" applyAlignment="1">
      <alignment horizontal="right"/>
    </xf>
    <xf numFmtId="3" fontId="0" fillId="2" borderId="0" xfId="0" applyNumberFormat="1" applyFont="1" applyFill="1" applyBorder="1" applyAlignment="1">
      <alignment horizontal="right"/>
    </xf>
  </cellXfs>
  <cellStyles count="5">
    <cellStyle name="Followed Hyperlink" xfId="3" builtinId="9" hidden="1"/>
    <cellStyle name="Hyperlink" xfId="2" builtinId="8" hidden="1"/>
    <cellStyle name="Hyperlink" xfId="4" builtinId="8" customBuiltin="1"/>
    <cellStyle name="Normal" xfId="0" builtinId="0" customBuiltin="1"/>
    <cellStyle name="Per 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215899</xdr:colOff>
      <xdr:row>9</xdr:row>
      <xdr:rowOff>0</xdr:rowOff>
    </xdr:from>
    <xdr:to>
      <xdr:col>6</xdr:col>
      <xdr:colOff>215899</xdr:colOff>
      <xdr:row>61</xdr:row>
      <xdr:rowOff>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>
          <a:off x="5823437" y="1494692"/>
          <a:ext cx="0" cy="8636000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137746</xdr:colOff>
      <xdr:row>2</xdr:row>
      <xdr:rowOff>12700</xdr:rowOff>
    </xdr:from>
    <xdr:to>
      <xdr:col>17</xdr:col>
      <xdr:colOff>137746</xdr:colOff>
      <xdr:row>60</xdr:row>
      <xdr:rowOff>9770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CxnSpPr/>
      </xdr:nvCxnSpPr>
      <xdr:spPr>
        <a:xfrm>
          <a:off x="17995900" y="344854"/>
          <a:ext cx="0" cy="9463454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twitter.com/ericsyuan" TargetMode="External"/><Relationship Id="rId2" Type="http://schemas.openxmlformats.org/officeDocument/2006/relationships/hyperlink" Target="https://twitter.com/ericsyuan" TargetMode="External"/><Relationship Id="rId1" Type="http://schemas.openxmlformats.org/officeDocument/2006/relationships/hyperlink" Target="https://investors.zoom.us/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www.sec.gov/cgi-bin/browse-edgar?CIK=1585521&amp;owner=exclud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J60"/>
  <sheetViews>
    <sheetView zoomScale="130" zoomScaleNormal="130" workbookViewId="0">
      <pane xSplit="2" ySplit="10" topLeftCell="C11" activePane="bottomRight" state="frozen"/>
      <selection pane="topRight" activeCell="B1" sqref="B1"/>
      <selection pane="bottomLeft" activeCell="A11" sqref="A11"/>
      <selection pane="bottomRight" activeCell="K41" sqref="K41"/>
    </sheetView>
  </sheetViews>
  <sheetFormatPr baseColWidth="10" defaultRowHeight="13" x14ac:dyDescent="0.15"/>
  <cols>
    <col min="1" max="1" width="9.83203125" style="1" bestFit="1" customWidth="1"/>
    <col min="2" max="2" width="20.1640625" style="1" bestFit="1" customWidth="1"/>
    <col min="3" max="16384" width="10.83203125" style="1"/>
  </cols>
  <sheetData>
    <row r="1" spans="1:21" x14ac:dyDescent="0.15">
      <c r="A1" s="71" t="s">
        <v>61</v>
      </c>
    </row>
    <row r="2" spans="1:21" x14ac:dyDescent="0.15">
      <c r="B2" s="15" t="s">
        <v>34</v>
      </c>
      <c r="C2" s="15" t="s">
        <v>65</v>
      </c>
    </row>
    <row r="3" spans="1:21" x14ac:dyDescent="0.15">
      <c r="B3" s="71" t="s">
        <v>78</v>
      </c>
      <c r="C3" s="1" t="s">
        <v>36</v>
      </c>
      <c r="D3" s="2">
        <v>373.61</v>
      </c>
      <c r="E3" s="61">
        <v>44253</v>
      </c>
      <c r="F3" s="3" t="s">
        <v>21</v>
      </c>
      <c r="G3" s="4">
        <v>5.0000000000000001E-3</v>
      </c>
      <c r="J3" s="16"/>
    </row>
    <row r="4" spans="1:21" x14ac:dyDescent="0.15">
      <c r="C4" s="1" t="s">
        <v>13</v>
      </c>
      <c r="D4" s="5">
        <f>Reports!Q22</f>
        <v>299.25876499999998</v>
      </c>
      <c r="E4" s="62" t="s">
        <v>68</v>
      </c>
      <c r="F4" s="3" t="s">
        <v>22</v>
      </c>
      <c r="G4" s="4">
        <v>0.02</v>
      </c>
      <c r="H4" s="6"/>
      <c r="J4" s="16"/>
    </row>
    <row r="5" spans="1:21" x14ac:dyDescent="0.15">
      <c r="B5" s="15" t="s">
        <v>35</v>
      </c>
      <c r="C5" s="1" t="s">
        <v>37</v>
      </c>
      <c r="D5" s="7">
        <f>D3*D4</f>
        <v>111806.06719165</v>
      </c>
      <c r="E5" s="63"/>
      <c r="F5" s="3" t="s">
        <v>23</v>
      </c>
      <c r="G5" s="4">
        <v>7.0000000000000007E-2</v>
      </c>
      <c r="H5" s="6"/>
      <c r="J5" s="14"/>
    </row>
    <row r="6" spans="1:21" x14ac:dyDescent="0.15">
      <c r="B6" s="71" t="s">
        <v>78</v>
      </c>
      <c r="C6" s="1" t="s">
        <v>18</v>
      </c>
      <c r="D6" s="5">
        <f>Reports!Q34</f>
        <v>1872</v>
      </c>
      <c r="E6" s="62" t="s">
        <v>68</v>
      </c>
      <c r="F6" s="3" t="s">
        <v>24</v>
      </c>
      <c r="G6" s="8">
        <f>NPV(G5,G27:DQ27)</f>
        <v>114576.33307894784</v>
      </c>
      <c r="H6" s="6"/>
      <c r="J6" s="14"/>
    </row>
    <row r="7" spans="1:21" x14ac:dyDescent="0.15">
      <c r="B7" s="71"/>
      <c r="C7" s="1" t="s">
        <v>38</v>
      </c>
      <c r="D7" s="7">
        <f>D5-D6</f>
        <v>109934.06719165</v>
      </c>
      <c r="E7" s="63"/>
      <c r="F7" s="9" t="s">
        <v>25</v>
      </c>
      <c r="G7" s="10">
        <f>G6+D6</f>
        <v>116448.33307894784</v>
      </c>
      <c r="J7" s="14"/>
    </row>
    <row r="8" spans="1:21" x14ac:dyDescent="0.15">
      <c r="C8" s="6" t="s">
        <v>39</v>
      </c>
      <c r="D8" s="11">
        <f>D7/D4</f>
        <v>367.3545441238789</v>
      </c>
      <c r="E8" s="63"/>
      <c r="F8" s="12" t="s">
        <v>39</v>
      </c>
      <c r="G8" s="13">
        <f>G7/D4</f>
        <v>389.12254776881088</v>
      </c>
      <c r="H8" s="14">
        <f>G8/D3-1</f>
        <v>4.1520697435322607E-2</v>
      </c>
    </row>
    <row r="10" spans="1:21" x14ac:dyDescent="0.15">
      <c r="C10" s="1">
        <v>2017</v>
      </c>
      <c r="D10" s="1">
        <f>C10+1</f>
        <v>2018</v>
      </c>
      <c r="E10" s="1">
        <f t="shared" ref="E10:U10" si="0">D10+1</f>
        <v>2019</v>
      </c>
      <c r="F10" s="1">
        <f t="shared" si="0"/>
        <v>2020</v>
      </c>
      <c r="G10" s="1">
        <f t="shared" si="0"/>
        <v>2021</v>
      </c>
      <c r="H10" s="1">
        <f t="shared" si="0"/>
        <v>2022</v>
      </c>
      <c r="I10" s="1">
        <f t="shared" si="0"/>
        <v>2023</v>
      </c>
      <c r="J10" s="1">
        <f t="shared" si="0"/>
        <v>2024</v>
      </c>
      <c r="K10" s="1">
        <f t="shared" si="0"/>
        <v>2025</v>
      </c>
      <c r="L10" s="1">
        <f t="shared" si="0"/>
        <v>2026</v>
      </c>
      <c r="M10" s="1">
        <f t="shared" si="0"/>
        <v>2027</v>
      </c>
      <c r="N10" s="1">
        <f t="shared" si="0"/>
        <v>2028</v>
      </c>
      <c r="O10" s="1">
        <f t="shared" si="0"/>
        <v>2029</v>
      </c>
      <c r="P10" s="1">
        <f t="shared" si="0"/>
        <v>2030</v>
      </c>
      <c r="Q10" s="1">
        <f t="shared" si="0"/>
        <v>2031</v>
      </c>
      <c r="R10" s="1">
        <f t="shared" si="0"/>
        <v>2032</v>
      </c>
      <c r="S10" s="1">
        <f t="shared" si="0"/>
        <v>2033</v>
      </c>
      <c r="T10" s="1">
        <f t="shared" si="0"/>
        <v>2034</v>
      </c>
      <c r="U10" s="1">
        <f t="shared" si="0"/>
        <v>2035</v>
      </c>
    </row>
    <row r="11" spans="1:21" x14ac:dyDescent="0.15">
      <c r="B11" s="65" t="s">
        <v>59</v>
      </c>
      <c r="C11" s="16">
        <v>60.817</v>
      </c>
      <c r="D11" s="16">
        <f>SUM(Reports!C4:F4)</f>
        <v>151.47800000000001</v>
      </c>
      <c r="E11" s="16">
        <f>SUM(Reports!G4:J4)</f>
        <v>330.517</v>
      </c>
      <c r="F11" s="16">
        <f>SUM(Reports!K4:N4)</f>
        <v>622.6579999999999</v>
      </c>
      <c r="G11" s="16">
        <f>SUM(Reports!O4:R4)</f>
        <v>2587.8829999999998</v>
      </c>
      <c r="H11" s="16"/>
      <c r="I11" s="16"/>
      <c r="J11" s="16"/>
      <c r="K11" s="16"/>
    </row>
    <row r="12" spans="1:21" x14ac:dyDescent="0.15">
      <c r="B12" s="65"/>
      <c r="C12" s="16"/>
      <c r="D12" s="16"/>
      <c r="E12" s="16"/>
      <c r="F12" s="16"/>
      <c r="G12" s="16"/>
      <c r="H12" s="16"/>
      <c r="I12" s="16"/>
      <c r="J12" s="16"/>
      <c r="K12" s="16"/>
    </row>
    <row r="13" spans="1:21" s="109" customFormat="1" x14ac:dyDescent="0.15">
      <c r="B13" s="94" t="s">
        <v>70</v>
      </c>
      <c r="F13" s="109">
        <f>Reports!N6</f>
        <v>8.1900000000000001E-2</v>
      </c>
      <c r="G13" s="109">
        <f>Reports!R6</f>
        <v>0.47502</v>
      </c>
      <c r="H13" s="109">
        <f>G13*2</f>
        <v>0.95004</v>
      </c>
      <c r="I13" s="109">
        <f>H13*(1+H59-0.2)</f>
        <v>1.710072</v>
      </c>
      <c r="J13" s="109">
        <f>I13*(1+I59-0.2)</f>
        <v>2.7361152000000004</v>
      </c>
      <c r="K13" s="109">
        <f>J13*(1+J59-0.2)</f>
        <v>3.8305612800000017</v>
      </c>
    </row>
    <row r="14" spans="1:21" x14ac:dyDescent="0.15">
      <c r="B14" s="65" t="s">
        <v>71</v>
      </c>
      <c r="C14" s="16"/>
      <c r="D14" s="16"/>
      <c r="E14" s="16"/>
      <c r="F14" s="23">
        <f>SUM(F11)/F13</f>
        <v>7602.6617826617812</v>
      </c>
      <c r="G14" s="23">
        <f>SUM(G11)/G13</f>
        <v>5447.9453496694869</v>
      </c>
      <c r="H14" s="16">
        <f>G14*0.8</f>
        <v>4358.3562797355899</v>
      </c>
      <c r="I14" s="16">
        <f>H14*(1+H60+0.05)</f>
        <v>3704.6028377752518</v>
      </c>
      <c r="J14" s="16">
        <f>I14*(1+I60+0.05)</f>
        <v>3334.1425539977272</v>
      </c>
      <c r="K14" s="16">
        <f>J14*(1+J60+0.05)</f>
        <v>3167.4354262978413</v>
      </c>
    </row>
    <row r="15" spans="1:21" s="6" customFormat="1" x14ac:dyDescent="0.15">
      <c r="C15" s="75"/>
      <c r="D15" s="75"/>
      <c r="E15" s="75"/>
      <c r="F15" s="75"/>
      <c r="G15" s="75">
        <v>2575</v>
      </c>
      <c r="H15" s="75"/>
    </row>
    <row r="16" spans="1:21" x14ac:dyDescent="0.15">
      <c r="B16" s="15" t="s">
        <v>0</v>
      </c>
      <c r="C16" s="22">
        <f>SUM(C11)</f>
        <v>60.817</v>
      </c>
      <c r="D16" s="22">
        <f>SUM(D11)</f>
        <v>151.47800000000001</v>
      </c>
      <c r="E16" s="22">
        <f t="shared" ref="C16:G16" si="1">SUM(E11:E14)</f>
        <v>330.517</v>
      </c>
      <c r="F16" s="22">
        <f>F13*F14</f>
        <v>622.6579999999999</v>
      </c>
      <c r="G16" s="22">
        <f>G13*G14</f>
        <v>2587.8829999999998</v>
      </c>
      <c r="H16" s="17">
        <f>H13*H14</f>
        <v>4140.6127999999999</v>
      </c>
      <c r="I16" s="17">
        <f>I13*I14</f>
        <v>6335.137584000001</v>
      </c>
      <c r="J16" s="17">
        <f>J13*J14</f>
        <v>9122.5981209600031</v>
      </c>
      <c r="K16" s="17">
        <f t="shared" ref="I16:K16" si="2">K13*K14</f>
        <v>12133.05550087681</v>
      </c>
      <c r="L16" s="17">
        <f>K16*1.15</f>
        <v>13953.013826008329</v>
      </c>
      <c r="M16" s="17">
        <f t="shared" ref="M16:P16" si="3">L16*1.15</f>
        <v>16045.965899909577</v>
      </c>
      <c r="N16" s="17">
        <f t="shared" si="3"/>
        <v>18452.860784896013</v>
      </c>
      <c r="O16" s="17">
        <f t="shared" si="3"/>
        <v>21220.789902630411</v>
      </c>
      <c r="P16" s="17">
        <f t="shared" si="3"/>
        <v>24403.908388024971</v>
      </c>
      <c r="Q16" s="17">
        <f>P16*1.1</f>
        <v>26844.299226827468</v>
      </c>
      <c r="R16" s="17">
        <f t="shared" ref="R16:U16" si="4">Q16*1.1</f>
        <v>29528.729149510218</v>
      </c>
      <c r="S16" s="17">
        <f t="shared" si="4"/>
        <v>32481.602064461244</v>
      </c>
      <c r="T16" s="17">
        <f t="shared" si="4"/>
        <v>35729.762270907369</v>
      </c>
      <c r="U16" s="17">
        <f t="shared" si="4"/>
        <v>39302.738497998107</v>
      </c>
    </row>
    <row r="17" spans="2:244" x14ac:dyDescent="0.15">
      <c r="B17" s="1" t="s">
        <v>1</v>
      </c>
      <c r="C17" s="16">
        <v>12.472</v>
      </c>
      <c r="D17" s="16">
        <f>SUM(Reports!C10:F10)</f>
        <v>30.78</v>
      </c>
      <c r="E17" s="16">
        <f>SUM(Reports!G10:J10)</f>
        <v>61.000999999999998</v>
      </c>
      <c r="F17" s="16">
        <f>SUM(Reports!K10:N10)</f>
        <v>115.39599999999999</v>
      </c>
      <c r="G17" s="16">
        <f>SUM(Reports!O10:R10)</f>
        <v>827.31246539476524</v>
      </c>
      <c r="H17" s="5">
        <f t="shared" ref="H17:P17" si="5">H16-H18</f>
        <v>1323.6999446316245</v>
      </c>
      <c r="I17" s="5">
        <f t="shared" si="5"/>
        <v>2025.2609152863861</v>
      </c>
      <c r="J17" s="5">
        <f t="shared" si="5"/>
        <v>2916.3757180123957</v>
      </c>
      <c r="K17" s="5">
        <f t="shared" si="5"/>
        <v>3878.7797049564888</v>
      </c>
      <c r="L17" s="5">
        <f t="shared" si="5"/>
        <v>4460.5966606999609</v>
      </c>
      <c r="M17" s="5">
        <f t="shared" si="5"/>
        <v>5129.6861598049545</v>
      </c>
      <c r="N17" s="5">
        <f t="shared" si="5"/>
        <v>5899.139083775699</v>
      </c>
      <c r="O17" s="5">
        <f t="shared" si="5"/>
        <v>6784.009946342052</v>
      </c>
      <c r="P17" s="5">
        <f t="shared" si="5"/>
        <v>7801.6114382933592</v>
      </c>
      <c r="Q17" s="5">
        <f t="shared" ref="Q17:S17" si="6">Q16-Q18</f>
        <v>8581.7725821226959</v>
      </c>
      <c r="R17" s="5">
        <f t="shared" si="6"/>
        <v>9439.9498403349644</v>
      </c>
      <c r="S17" s="5">
        <f t="shared" si="6"/>
        <v>10383.944824368464</v>
      </c>
      <c r="T17" s="5">
        <f t="shared" ref="T17:U17" si="7">T16-T18</f>
        <v>11422.339306805308</v>
      </c>
      <c r="U17" s="5">
        <f t="shared" si="7"/>
        <v>12564.573237485842</v>
      </c>
    </row>
    <row r="18" spans="2:244" x14ac:dyDescent="0.15">
      <c r="B18" s="1" t="s">
        <v>2</v>
      </c>
      <c r="C18" s="7">
        <f>C16-C17</f>
        <v>48.344999999999999</v>
      </c>
      <c r="D18" s="7">
        <f>D16-D17</f>
        <v>120.69800000000001</v>
      </c>
      <c r="E18" s="7">
        <f>E16-E17</f>
        <v>269.51600000000002</v>
      </c>
      <c r="F18" s="7">
        <f>F16-F17</f>
        <v>507.26199999999994</v>
      </c>
      <c r="G18" s="7">
        <f>G16-G17</f>
        <v>1760.5705346052346</v>
      </c>
      <c r="H18" s="5">
        <f t="shared" ref="G18:U18" si="8">H16*G31</f>
        <v>2816.9128553683754</v>
      </c>
      <c r="I18" s="5">
        <f t="shared" si="8"/>
        <v>4309.8766687136149</v>
      </c>
      <c r="J18" s="5">
        <f t="shared" si="8"/>
        <v>6206.2224029476074</v>
      </c>
      <c r="K18" s="5">
        <f t="shared" si="8"/>
        <v>8254.2757959203209</v>
      </c>
      <c r="L18" s="5">
        <f t="shared" si="8"/>
        <v>9492.4171653083686</v>
      </c>
      <c r="M18" s="5">
        <f t="shared" si="8"/>
        <v>10916.279740104623</v>
      </c>
      <c r="N18" s="5">
        <f t="shared" si="8"/>
        <v>12553.721701120314</v>
      </c>
      <c r="O18" s="5">
        <f t="shared" si="8"/>
        <v>14436.779956288359</v>
      </c>
      <c r="P18" s="5">
        <f t="shared" si="8"/>
        <v>16602.296949731612</v>
      </c>
      <c r="Q18" s="5">
        <f t="shared" si="8"/>
        <v>18262.526644704772</v>
      </c>
      <c r="R18" s="5">
        <f t="shared" si="8"/>
        <v>20088.779309175254</v>
      </c>
      <c r="S18" s="5">
        <f t="shared" si="8"/>
        <v>22097.65724009278</v>
      </c>
      <c r="T18" s="5">
        <f t="shared" si="8"/>
        <v>24307.422964102061</v>
      </c>
      <c r="U18" s="5">
        <f t="shared" si="8"/>
        <v>26738.165260512265</v>
      </c>
    </row>
    <row r="19" spans="2:244" x14ac:dyDescent="0.15">
      <c r="B19" s="1" t="s">
        <v>3</v>
      </c>
      <c r="C19" s="16">
        <v>9</v>
      </c>
      <c r="D19" s="16">
        <f>SUM(Reports!C12:F12)</f>
        <v>16</v>
      </c>
      <c r="E19" s="16">
        <f>SUM(Reports!G12:J12)</f>
        <v>33</v>
      </c>
      <c r="F19" s="16">
        <f>SUM(Reports!K12:N12)</f>
        <v>68</v>
      </c>
      <c r="G19" s="16">
        <f>SUM(Reports!O12:R12)</f>
        <v>154</v>
      </c>
      <c r="H19" s="5">
        <f>G19*1.5</f>
        <v>231</v>
      </c>
      <c r="I19" s="5">
        <f t="shared" ref="I19:K19" si="9">H19*1.5</f>
        <v>346.5</v>
      </c>
      <c r="J19" s="5">
        <f t="shared" si="9"/>
        <v>519.75</v>
      </c>
      <c r="K19" s="5">
        <f t="shared" si="9"/>
        <v>779.625</v>
      </c>
      <c r="L19" s="5">
        <f>K19*1.2</f>
        <v>935.55</v>
      </c>
      <c r="M19" s="5">
        <f t="shared" ref="M19:P19" si="10">L19*1.2</f>
        <v>1122.6599999999999</v>
      </c>
      <c r="N19" s="5">
        <f t="shared" si="10"/>
        <v>1347.1919999999998</v>
      </c>
      <c r="O19" s="5">
        <f t="shared" si="10"/>
        <v>1616.6303999999998</v>
      </c>
      <c r="P19" s="5">
        <f t="shared" si="10"/>
        <v>1939.9564799999996</v>
      </c>
      <c r="Q19" s="5">
        <f>P19*1.15</f>
        <v>2230.9499519999995</v>
      </c>
      <c r="R19" s="5">
        <f t="shared" ref="R19:U19" si="11">Q19*1.15</f>
        <v>2565.5924447999992</v>
      </c>
      <c r="S19" s="5">
        <f t="shared" si="11"/>
        <v>2950.4313115199989</v>
      </c>
      <c r="T19" s="5">
        <f t="shared" si="11"/>
        <v>3392.9960082479984</v>
      </c>
      <c r="U19" s="5">
        <f t="shared" si="11"/>
        <v>3901.9454094851976</v>
      </c>
    </row>
    <row r="20" spans="2:244" x14ac:dyDescent="0.15">
      <c r="B20" s="1" t="s">
        <v>4</v>
      </c>
      <c r="C20" s="16">
        <v>32</v>
      </c>
      <c r="D20" s="16">
        <f>SUM(Reports!C13:F13)</f>
        <v>84</v>
      </c>
      <c r="E20" s="16">
        <f>SUM(Reports!G13:J13)</f>
        <v>185</v>
      </c>
      <c r="F20" s="16">
        <f>SUM(Reports!K13:N13)</f>
        <v>341</v>
      </c>
      <c r="G20" s="16">
        <f>SUM(Reports!O13:R13)</f>
        <v>673</v>
      </c>
      <c r="H20" s="5">
        <f>G20*1.4</f>
        <v>942.19999999999993</v>
      </c>
      <c r="I20" s="5">
        <f t="shared" ref="I20:K20" si="12">H20*1.4</f>
        <v>1319.08</v>
      </c>
      <c r="J20" s="5">
        <f t="shared" si="12"/>
        <v>1846.7119999999998</v>
      </c>
      <c r="K20" s="5">
        <f t="shared" si="12"/>
        <v>2585.3967999999995</v>
      </c>
      <c r="L20" s="5">
        <f>K20*1.15</f>
        <v>2973.2063199999993</v>
      </c>
      <c r="M20" s="5">
        <f t="shared" ref="M20:O20" si="13">L20*1.15</f>
        <v>3419.1872679999988</v>
      </c>
      <c r="N20" s="5">
        <f t="shared" si="13"/>
        <v>3932.0653581999982</v>
      </c>
      <c r="O20" s="5">
        <f t="shared" si="13"/>
        <v>4521.8751619299974</v>
      </c>
      <c r="P20" s="5">
        <f>O20*1.15</f>
        <v>5200.1564362194968</v>
      </c>
      <c r="Q20" s="5">
        <f>P20*1.05</f>
        <v>5460.1642580304715</v>
      </c>
      <c r="R20" s="5">
        <f t="shared" ref="R20:U20" si="14">Q20*1.05</f>
        <v>5733.1724709319951</v>
      </c>
      <c r="S20" s="5">
        <f t="shared" si="14"/>
        <v>6019.8310944785953</v>
      </c>
      <c r="T20" s="5">
        <f t="shared" si="14"/>
        <v>6320.8226492025251</v>
      </c>
      <c r="U20" s="5">
        <f t="shared" si="14"/>
        <v>6636.8637816626515</v>
      </c>
    </row>
    <row r="21" spans="2:244" x14ac:dyDescent="0.15">
      <c r="B21" s="1" t="s">
        <v>5</v>
      </c>
      <c r="C21" s="16">
        <v>8</v>
      </c>
      <c r="D21" s="16">
        <f>SUM(Reports!C14:F14)</f>
        <v>27</v>
      </c>
      <c r="E21" s="16">
        <f>SUM(Reports!G14:J14)</f>
        <v>45</v>
      </c>
      <c r="F21" s="16">
        <f>SUM(Reports!K14:N14)</f>
        <v>88</v>
      </c>
      <c r="G21" s="16">
        <f>SUM(Reports!O14:R14)</f>
        <v>311</v>
      </c>
      <c r="H21" s="5">
        <f>G21*1.45</f>
        <v>450.95</v>
      </c>
      <c r="I21" s="5">
        <f t="shared" ref="I21:K21" si="15">H21*1.45</f>
        <v>653.87749999999994</v>
      </c>
      <c r="J21" s="5">
        <f t="shared" si="15"/>
        <v>948.12237499999992</v>
      </c>
      <c r="K21" s="5">
        <f t="shared" si="15"/>
        <v>1374.7774437499997</v>
      </c>
      <c r="L21" s="5">
        <f>K21*1.05</f>
        <v>1443.5163159374997</v>
      </c>
      <c r="M21" s="5">
        <f t="shared" ref="M21:P21" si="16">L21*1.05</f>
        <v>1515.6921317343747</v>
      </c>
      <c r="N21" s="5">
        <f t="shared" si="16"/>
        <v>1591.4767383210935</v>
      </c>
      <c r="O21" s="5">
        <f t="shared" si="16"/>
        <v>1671.0505752371482</v>
      </c>
      <c r="P21" s="5">
        <f t="shared" si="16"/>
        <v>1754.6031039990057</v>
      </c>
      <c r="Q21" s="5">
        <f>P21*0.95</f>
        <v>1666.8729487990554</v>
      </c>
      <c r="R21" s="5">
        <f t="shared" ref="R21:U21" si="17">Q21*0.95</f>
        <v>1583.5293013591026</v>
      </c>
      <c r="S21" s="5">
        <f t="shared" si="17"/>
        <v>1504.3528362911475</v>
      </c>
      <c r="T21" s="5">
        <f t="shared" si="17"/>
        <v>1429.13519447659</v>
      </c>
      <c r="U21" s="5">
        <f t="shared" si="17"/>
        <v>1357.6784347527605</v>
      </c>
    </row>
    <row r="22" spans="2:244" x14ac:dyDescent="0.15">
      <c r="B22" s="1" t="s">
        <v>6</v>
      </c>
      <c r="C22" s="7">
        <f>SUM(C19:C21)</f>
        <v>49</v>
      </c>
      <c r="D22" s="7">
        <f>SUM(D19:D21)</f>
        <v>127</v>
      </c>
      <c r="E22" s="7">
        <f>SUM(E19:E21)</f>
        <v>263</v>
      </c>
      <c r="F22" s="7">
        <f>SUM(F19:F21)</f>
        <v>497</v>
      </c>
      <c r="G22" s="7">
        <f>SUM(G19:G21)</f>
        <v>1138</v>
      </c>
      <c r="H22" s="5">
        <f t="shared" ref="H22:P22" si="18">SUM(H19:H21)</f>
        <v>1624.1499999999999</v>
      </c>
      <c r="I22" s="5">
        <f t="shared" si="18"/>
        <v>2319.4575</v>
      </c>
      <c r="J22" s="5">
        <f>SUM(J19:J21)</f>
        <v>3314.5843749999995</v>
      </c>
      <c r="K22" s="5">
        <f t="shared" si="18"/>
        <v>4739.7992437499997</v>
      </c>
      <c r="L22" s="5">
        <f t="shared" si="18"/>
        <v>5352.2726359374992</v>
      </c>
      <c r="M22" s="5">
        <f t="shared" si="18"/>
        <v>6057.5393997343735</v>
      </c>
      <c r="N22" s="5">
        <f t="shared" si="18"/>
        <v>6870.7340965210915</v>
      </c>
      <c r="O22" s="5">
        <f t="shared" si="18"/>
        <v>7809.5561371671456</v>
      </c>
      <c r="P22" s="5">
        <f t="shared" si="18"/>
        <v>8894.7160202185023</v>
      </c>
      <c r="Q22" s="5">
        <f t="shared" ref="Q22:S22" si="19">SUM(Q19:Q21)</f>
        <v>9357.9871588295264</v>
      </c>
      <c r="R22" s="5">
        <f t="shared" si="19"/>
        <v>9882.2942170910974</v>
      </c>
      <c r="S22" s="5">
        <f t="shared" si="19"/>
        <v>10474.615242289741</v>
      </c>
      <c r="T22" s="5">
        <f t="shared" ref="T22:U22" si="20">SUM(T19:T21)</f>
        <v>11142.953851927114</v>
      </c>
      <c r="U22" s="5">
        <f t="shared" si="20"/>
        <v>11896.487625900611</v>
      </c>
    </row>
    <row r="23" spans="2:244" x14ac:dyDescent="0.15">
      <c r="B23" s="1" t="s">
        <v>7</v>
      </c>
      <c r="C23" s="7">
        <f>C18-C22</f>
        <v>-0.65500000000000114</v>
      </c>
      <c r="D23" s="7">
        <f>D18-D22</f>
        <v>-6.3019999999999925</v>
      </c>
      <c r="E23" s="7">
        <f>E18-E22</f>
        <v>6.5160000000000196</v>
      </c>
      <c r="F23" s="7">
        <f>F18-F22</f>
        <v>10.261999999999944</v>
      </c>
      <c r="G23" s="7">
        <f>G18-G22</f>
        <v>622.57053460523457</v>
      </c>
      <c r="H23" s="5">
        <f t="shared" ref="H23:P23" si="21">H18-H22</f>
        <v>1192.7628553683755</v>
      </c>
      <c r="I23" s="5">
        <f t="shared" si="21"/>
        <v>1990.4191687136149</v>
      </c>
      <c r="J23" s="5">
        <f>J18-J22</f>
        <v>2891.638027947608</v>
      </c>
      <c r="K23" s="5">
        <f t="shared" si="21"/>
        <v>3514.4765521703212</v>
      </c>
      <c r="L23" s="5">
        <f t="shared" si="21"/>
        <v>4140.1445293708693</v>
      </c>
      <c r="M23" s="5">
        <f t="shared" si="21"/>
        <v>4858.7403403702492</v>
      </c>
      <c r="N23" s="5">
        <f t="shared" si="21"/>
        <v>5682.9876045992223</v>
      </c>
      <c r="O23" s="5">
        <f t="shared" si="21"/>
        <v>6627.2238191212136</v>
      </c>
      <c r="P23" s="5">
        <f t="shared" si="21"/>
        <v>7707.5809295131094</v>
      </c>
      <c r="Q23" s="5">
        <f t="shared" ref="Q23:S23" si="22">Q18-Q22</f>
        <v>8904.5394858752461</v>
      </c>
      <c r="R23" s="5">
        <f t="shared" si="22"/>
        <v>10206.485092084156</v>
      </c>
      <c r="S23" s="5">
        <f t="shared" si="22"/>
        <v>11623.041997803039</v>
      </c>
      <c r="T23" s="5">
        <f t="shared" ref="T23:U23" si="23">T18-T22</f>
        <v>13164.469112174947</v>
      </c>
      <c r="U23" s="5">
        <f t="shared" si="23"/>
        <v>14841.677634611655</v>
      </c>
    </row>
    <row r="24" spans="2:244" x14ac:dyDescent="0.15">
      <c r="B24" s="1" t="s">
        <v>8</v>
      </c>
      <c r="C24" s="16">
        <v>0</v>
      </c>
      <c r="D24" s="16">
        <f>SUM(Reports!C17:F17)</f>
        <v>0</v>
      </c>
      <c r="E24" s="16">
        <f>SUM(Reports!G17:J17)</f>
        <v>1</v>
      </c>
      <c r="F24" s="16">
        <f>SUM(Reports!K17:N17)</f>
        <v>13</v>
      </c>
      <c r="G24" s="16">
        <f>SUM(Reports!O17:R17)</f>
        <v>12</v>
      </c>
      <c r="H24" s="5">
        <f>G41*$G$4</f>
        <v>29.88468549919746</v>
      </c>
      <c r="I24" s="5">
        <f>H41*$G$4</f>
        <v>49.447046153078631</v>
      </c>
      <c r="J24" s="5">
        <f>I41*$G$4</f>
        <v>82.084905590945723</v>
      </c>
      <c r="K24" s="5">
        <f>J41*$G$4</f>
        <v>129.66447252756257</v>
      </c>
      <c r="L24" s="5">
        <f>K41*$G$4</f>
        <v>187.97072892272874</v>
      </c>
      <c r="M24" s="5">
        <f>L41*$G$4</f>
        <v>257.22057305542631</v>
      </c>
      <c r="N24" s="5">
        <f>M41*$G$4</f>
        <v>339.07594767023716</v>
      </c>
      <c r="O24" s="5">
        <f>N41*$G$4</f>
        <v>435.42896450654854</v>
      </c>
      <c r="P24" s="5">
        <f>O41*$G$4</f>
        <v>548.43140904459278</v>
      </c>
      <c r="Q24" s="5">
        <f>P41*$G$4</f>
        <v>680.52760646151603</v>
      </c>
      <c r="R24" s="5">
        <f>Q41*$G$4</f>
        <v>833.88867993890415</v>
      </c>
      <c r="S24" s="5">
        <f>R41*$G$4</f>
        <v>1010.5346602912731</v>
      </c>
      <c r="T24" s="5">
        <f>S41*$G$4</f>
        <v>1212.6718868207822</v>
      </c>
      <c r="U24" s="5">
        <f>T41*$G$4</f>
        <v>1442.7061428047139</v>
      </c>
    </row>
    <row r="25" spans="2:244" x14ac:dyDescent="0.15">
      <c r="B25" s="1" t="s">
        <v>9</v>
      </c>
      <c r="C25" s="7">
        <f>C23+C24</f>
        <v>-0.65500000000000114</v>
      </c>
      <c r="D25" s="7">
        <f>D23+D24</f>
        <v>-6.3019999999999925</v>
      </c>
      <c r="E25" s="7">
        <f>E23+E24</f>
        <v>7.5160000000000196</v>
      </c>
      <c r="F25" s="7">
        <f>F23+F24</f>
        <v>23.261999999999944</v>
      </c>
      <c r="G25" s="7">
        <f>G23+G24</f>
        <v>634.57053460523457</v>
      </c>
      <c r="H25" s="5">
        <f t="shared" ref="H25:P25" si="24">H23+H24</f>
        <v>1222.6475408675731</v>
      </c>
      <c r="I25" s="5">
        <f t="shared" si="24"/>
        <v>2039.8662148666936</v>
      </c>
      <c r="J25" s="5">
        <f t="shared" si="24"/>
        <v>2973.7229335385537</v>
      </c>
      <c r="K25" s="5">
        <f t="shared" si="24"/>
        <v>3644.1410246978839</v>
      </c>
      <c r="L25" s="5">
        <f t="shared" si="24"/>
        <v>4328.1152582935983</v>
      </c>
      <c r="M25" s="5">
        <f t="shared" si="24"/>
        <v>5115.9609134256752</v>
      </c>
      <c r="N25" s="5">
        <f t="shared" si="24"/>
        <v>6022.0635522694593</v>
      </c>
      <c r="O25" s="5">
        <f t="shared" si="24"/>
        <v>7062.6527836277619</v>
      </c>
      <c r="P25" s="5">
        <f t="shared" si="24"/>
        <v>8256.0123385577026</v>
      </c>
      <c r="Q25" s="5">
        <f t="shared" ref="Q25:S25" si="25">Q23+Q24</f>
        <v>9585.0670923367616</v>
      </c>
      <c r="R25" s="5">
        <f t="shared" si="25"/>
        <v>11040.37377202306</v>
      </c>
      <c r="S25" s="5">
        <f t="shared" si="25"/>
        <v>12633.576658094311</v>
      </c>
      <c r="T25" s="5">
        <f t="shared" ref="T25:U25" si="26">T23+T24</f>
        <v>14377.14099899573</v>
      </c>
      <c r="U25" s="5">
        <f t="shared" si="26"/>
        <v>16284.383777416369</v>
      </c>
    </row>
    <row r="26" spans="2:244" x14ac:dyDescent="0.15">
      <c r="B26" s="1" t="s">
        <v>10</v>
      </c>
      <c r="C26" s="16">
        <v>0</v>
      </c>
      <c r="D26" s="16">
        <f>SUM(Reports!C19:F19)</f>
        <v>0</v>
      </c>
      <c r="E26" s="16">
        <f>SUM(Reports!G19:J19)</f>
        <v>0</v>
      </c>
      <c r="F26" s="16">
        <f>SUM(Reports!K19:N19)</f>
        <v>-2</v>
      </c>
      <c r="G26" s="16">
        <f>SUM(Reports!O19:R19)</f>
        <v>-4.6637403546383922</v>
      </c>
      <c r="H26" s="5">
        <f t="shared" ref="H26:U26" si="27">H25*0.2</f>
        <v>244.52950817351461</v>
      </c>
      <c r="I26" s="5">
        <f t="shared" si="27"/>
        <v>407.97324297333876</v>
      </c>
      <c r="J26" s="5">
        <f t="shared" si="27"/>
        <v>594.74458670771071</v>
      </c>
      <c r="K26" s="5">
        <f t="shared" si="27"/>
        <v>728.82820493957684</v>
      </c>
      <c r="L26" s="5">
        <f t="shared" si="27"/>
        <v>865.62305165871976</v>
      </c>
      <c r="M26" s="5">
        <f t="shared" si="27"/>
        <v>1023.1921826851351</v>
      </c>
      <c r="N26" s="5">
        <f t="shared" si="27"/>
        <v>1204.4127104538918</v>
      </c>
      <c r="O26" s="5">
        <f t="shared" si="27"/>
        <v>1412.5305567255525</v>
      </c>
      <c r="P26" s="5">
        <f t="shared" si="27"/>
        <v>1651.2024677115405</v>
      </c>
      <c r="Q26" s="5">
        <f t="shared" si="27"/>
        <v>1917.0134184673525</v>
      </c>
      <c r="R26" s="5">
        <f t="shared" si="27"/>
        <v>2208.0747544046121</v>
      </c>
      <c r="S26" s="5">
        <f t="shared" si="27"/>
        <v>2526.7153316188624</v>
      </c>
      <c r="T26" s="5">
        <f t="shared" si="27"/>
        <v>2875.4281997991461</v>
      </c>
      <c r="U26" s="5">
        <f t="shared" si="27"/>
        <v>3256.8767554832739</v>
      </c>
    </row>
    <row r="27" spans="2:244" s="15" customFormat="1" x14ac:dyDescent="0.15">
      <c r="B27" s="15" t="s">
        <v>11</v>
      </c>
      <c r="C27" s="22">
        <f>C25-C26</f>
        <v>-0.65500000000000114</v>
      </c>
      <c r="D27" s="22">
        <f>D25-D26</f>
        <v>-6.3019999999999925</v>
      </c>
      <c r="E27" s="22">
        <f t="shared" ref="E27:G27" si="28">E25-E26</f>
        <v>7.5160000000000196</v>
      </c>
      <c r="F27" s="22">
        <f t="shared" si="28"/>
        <v>25.261999999999944</v>
      </c>
      <c r="G27" s="22">
        <f t="shared" si="28"/>
        <v>639.23427495987301</v>
      </c>
      <c r="H27" s="22">
        <f t="shared" ref="H27" si="29">H25-H26</f>
        <v>978.11803269405846</v>
      </c>
      <c r="I27" s="22">
        <f t="shared" ref="I27" si="30">I25-I26</f>
        <v>1631.8929718933548</v>
      </c>
      <c r="J27" s="22">
        <f t="shared" ref="J27" si="31">J25-J26</f>
        <v>2378.9783468308428</v>
      </c>
      <c r="K27" s="22">
        <f t="shared" ref="K27" si="32">K25-K26</f>
        <v>2915.3128197583073</v>
      </c>
      <c r="L27" s="22">
        <f t="shared" ref="L27" si="33">L25-L26</f>
        <v>3462.4922066348786</v>
      </c>
      <c r="M27" s="22">
        <f t="shared" ref="M27" si="34">M25-M26</f>
        <v>4092.7687307405404</v>
      </c>
      <c r="N27" s="22">
        <f t="shared" ref="N27" si="35">N25-N26</f>
        <v>4817.6508418155672</v>
      </c>
      <c r="O27" s="22">
        <f t="shared" ref="O27" si="36">O25-O26</f>
        <v>5650.1222269022091</v>
      </c>
      <c r="P27" s="22">
        <f t="shared" ref="P27:Q27" si="37">P25-P26</f>
        <v>6604.8098708461621</v>
      </c>
      <c r="Q27" s="22">
        <f t="shared" si="37"/>
        <v>7668.0536738694091</v>
      </c>
      <c r="R27" s="22">
        <f t="shared" ref="R27:S27" si="38">R25-R26</f>
        <v>8832.2990176184485</v>
      </c>
      <c r="S27" s="22">
        <f t="shared" si="38"/>
        <v>10106.861326475449</v>
      </c>
      <c r="T27" s="22">
        <f t="shared" ref="T27:U27" si="39">T25-T26</f>
        <v>11501.712799196584</v>
      </c>
      <c r="U27" s="22">
        <f t="shared" si="39"/>
        <v>13027.507021933096</v>
      </c>
      <c r="V27" s="22">
        <f>U27*($G$3+1)</f>
        <v>13092.64455704276</v>
      </c>
      <c r="W27" s="22">
        <f>V27*($G$3+1)</f>
        <v>13158.107779827973</v>
      </c>
      <c r="X27" s="22">
        <f>W27*($G$3+1)</f>
        <v>13223.898318727111</v>
      </c>
      <c r="Y27" s="22">
        <f>X27*($G$3+1)</f>
        <v>13290.017810320745</v>
      </c>
      <c r="Z27" s="22">
        <f>Y27*($G$3+1)</f>
        <v>13356.467899372348</v>
      </c>
      <c r="AA27" s="22">
        <f>Z27*($G$3+1)</f>
        <v>13423.250238869208</v>
      </c>
      <c r="AB27" s="22">
        <f>AA27*($G$3+1)</f>
        <v>13490.366490063552</v>
      </c>
      <c r="AC27" s="22">
        <f>AB27*($G$3+1)</f>
        <v>13557.818322513869</v>
      </c>
      <c r="AD27" s="22">
        <f>AC27*($G$3+1)</f>
        <v>13625.607414126436</v>
      </c>
      <c r="AE27" s="22">
        <f>AD27*($G$3+1)</f>
        <v>13693.735451197066</v>
      </c>
      <c r="AF27" s="22">
        <f>AE27*($G$3+1)</f>
        <v>13762.20412845305</v>
      </c>
      <c r="AG27" s="22">
        <f>AF27*($G$3+1)</f>
        <v>13831.015149095314</v>
      </c>
      <c r="AH27" s="22">
        <f>AG27*($G$3+1)</f>
        <v>13900.170224840789</v>
      </c>
      <c r="AI27" s="22">
        <f>AH27*($G$3+1)</f>
        <v>13969.671075964992</v>
      </c>
      <c r="AJ27" s="22">
        <f>AI27*($G$3+1)</f>
        <v>14039.519431344816</v>
      </c>
      <c r="AK27" s="22">
        <f>AJ27*($G$3+1)</f>
        <v>14109.717028501538</v>
      </c>
      <c r="AL27" s="22">
        <f>AK27*($G$3+1)</f>
        <v>14180.265613644044</v>
      </c>
      <c r="AM27" s="22">
        <f>AL27*($G$3+1)</f>
        <v>14251.166941712263</v>
      </c>
      <c r="AN27" s="22">
        <f>AM27*($G$3+1)</f>
        <v>14322.422776420823</v>
      </c>
      <c r="AO27" s="22">
        <f>AN27*($G$3+1)</f>
        <v>14394.034890302924</v>
      </c>
      <c r="AP27" s="22">
        <f>AO27*($G$3+1)</f>
        <v>14466.005064754438</v>
      </c>
      <c r="AQ27" s="22">
        <f>AP27*($G$3+1)</f>
        <v>14538.335090078208</v>
      </c>
      <c r="AR27" s="22">
        <f>AQ27*($G$3+1)</f>
        <v>14611.026765528597</v>
      </c>
      <c r="AS27" s="22">
        <f>AR27*($G$3+1)</f>
        <v>14684.081899356239</v>
      </c>
      <c r="AT27" s="22">
        <f>AS27*($G$3+1)</f>
        <v>14757.502308853018</v>
      </c>
      <c r="AU27" s="22">
        <f>AT27*($G$3+1)</f>
        <v>14831.289820397282</v>
      </c>
      <c r="AV27" s="22">
        <f>AU27*($G$3+1)</f>
        <v>14905.446269499267</v>
      </c>
      <c r="AW27" s="22">
        <f>AV27*($G$3+1)</f>
        <v>14979.973500846761</v>
      </c>
      <c r="AX27" s="22">
        <f>AW27*($G$3+1)</f>
        <v>15054.873368350994</v>
      </c>
      <c r="AY27" s="22">
        <f>AX27*($G$3+1)</f>
        <v>15130.147735192748</v>
      </c>
      <c r="AZ27" s="22">
        <f>AY27*($G$3+1)</f>
        <v>15205.79847386871</v>
      </c>
      <c r="BA27" s="22">
        <f>AZ27*($G$3+1)</f>
        <v>15281.827466238052</v>
      </c>
      <c r="BB27" s="22">
        <f>BA27*($G$3+1)</f>
        <v>15358.236603569241</v>
      </c>
      <c r="BC27" s="22">
        <f>BB27*($G$3+1)</f>
        <v>15435.027786587087</v>
      </c>
      <c r="BD27" s="22">
        <f>BC27*($G$3+1)</f>
        <v>15512.20292552002</v>
      </c>
      <c r="BE27" s="22">
        <f>BD27*($G$3+1)</f>
        <v>15589.763940147617</v>
      </c>
      <c r="BF27" s="22">
        <f>BE27*($G$3+1)</f>
        <v>15667.712759848353</v>
      </c>
      <c r="BG27" s="22">
        <f>BF27*($G$3+1)</f>
        <v>15746.051323647593</v>
      </c>
      <c r="BH27" s="22">
        <f>BG27*($G$3+1)</f>
        <v>15824.78158026583</v>
      </c>
      <c r="BI27" s="22">
        <f>BH27*($G$3+1)</f>
        <v>15903.905488167156</v>
      </c>
      <c r="BJ27" s="22">
        <f>BI27*($G$3+1)</f>
        <v>15983.425015607991</v>
      </c>
      <c r="BK27" s="22">
        <f>BJ27*($G$3+1)</f>
        <v>16063.342140686029</v>
      </c>
      <c r="BL27" s="22">
        <f>BK27*($G$3+1)</f>
        <v>16143.658851389457</v>
      </c>
      <c r="BM27" s="22">
        <f>BL27*($G$3+1)</f>
        <v>16224.377145646402</v>
      </c>
      <c r="BN27" s="22">
        <f>BM27*($G$3+1)</f>
        <v>16305.499031374633</v>
      </c>
      <c r="BO27" s="22">
        <f>BN27*($G$3+1)</f>
        <v>16387.026526531503</v>
      </c>
      <c r="BP27" s="22">
        <f>BO27*($G$3+1)</f>
        <v>16468.961659164157</v>
      </c>
      <c r="BQ27" s="22">
        <f>BP27*($G$3+1)</f>
        <v>16551.306467459977</v>
      </c>
      <c r="BR27" s="22">
        <f>BQ27*($G$3+1)</f>
        <v>16634.062999797276</v>
      </c>
      <c r="BS27" s="22">
        <f>BR27*($G$3+1)</f>
        <v>16717.23331479626</v>
      </c>
      <c r="BT27" s="22">
        <f>BS27*($G$3+1)</f>
        <v>16800.819481370239</v>
      </c>
      <c r="BU27" s="22">
        <f>BT27*($G$3+1)</f>
        <v>16884.82357877709</v>
      </c>
      <c r="BV27" s="22">
        <f>BU27*($G$3+1)</f>
        <v>16969.247696670973</v>
      </c>
      <c r="BW27" s="22">
        <f>BV27*($G$3+1)</f>
        <v>17054.093935154327</v>
      </c>
      <c r="BX27" s="22">
        <f>BW27*($G$3+1)</f>
        <v>17139.364404830096</v>
      </c>
      <c r="BY27" s="22">
        <f>BX27*($G$3+1)</f>
        <v>17225.061226854243</v>
      </c>
      <c r="BZ27" s="22">
        <f>BY27*($G$3+1)</f>
        <v>17311.186532988511</v>
      </c>
      <c r="CA27" s="22">
        <f>BZ27*($G$3+1)</f>
        <v>17397.742465653453</v>
      </c>
      <c r="CB27" s="22">
        <f>CA27*($G$3+1)</f>
        <v>17484.731177981717</v>
      </c>
      <c r="CC27" s="22">
        <f>CB27*($G$3+1)</f>
        <v>17572.154833871624</v>
      </c>
      <c r="CD27" s="22">
        <f>CC27*($G$3+1)</f>
        <v>17660.01560804098</v>
      </c>
      <c r="CE27" s="22">
        <f>CD27*($G$3+1)</f>
        <v>17748.315686081183</v>
      </c>
      <c r="CF27" s="22">
        <f>CE27*($G$3+1)</f>
        <v>17837.057264511586</v>
      </c>
      <c r="CG27" s="22">
        <f>CF27*($G$3+1)</f>
        <v>17926.242550834144</v>
      </c>
      <c r="CH27" s="22">
        <f>CG27*($G$3+1)</f>
        <v>18015.873763588312</v>
      </c>
      <c r="CI27" s="22">
        <f>CH27*($G$3+1)</f>
        <v>18105.953132406252</v>
      </c>
      <c r="CJ27" s="22">
        <f>CI27*($G$3+1)</f>
        <v>18196.48289806828</v>
      </c>
      <c r="CK27" s="22">
        <f>CJ27*($G$3+1)</f>
        <v>18287.465312558619</v>
      </c>
      <c r="CL27" s="22">
        <f>CK27*($G$3+1)</f>
        <v>18378.90263912141</v>
      </c>
      <c r="CM27" s="22">
        <f>CL27*($G$3+1)</f>
        <v>18470.797152317016</v>
      </c>
      <c r="CN27" s="22">
        <f>CM27*($G$3+1)</f>
        <v>18563.1511380786</v>
      </c>
      <c r="CO27" s="22">
        <f>CN27*($G$3+1)</f>
        <v>18655.966893768989</v>
      </c>
      <c r="CP27" s="22">
        <f>CO27*($G$3+1)</f>
        <v>18749.246728237831</v>
      </c>
      <c r="CQ27" s="22">
        <f>CP27*($G$3+1)</f>
        <v>18842.992961879019</v>
      </c>
      <c r="CR27" s="22">
        <f>CQ27*($G$3+1)</f>
        <v>18937.207926688414</v>
      </c>
      <c r="CS27" s="22">
        <f>CR27*($G$3+1)</f>
        <v>19031.893966321855</v>
      </c>
      <c r="CT27" s="22">
        <f>CS27*($G$3+1)</f>
        <v>19127.053436153463</v>
      </c>
      <c r="CU27" s="22">
        <f>CT27*($G$3+1)</f>
        <v>19222.688703334228</v>
      </c>
      <c r="CV27" s="22">
        <f>CU27*($G$3+1)</f>
        <v>19318.802146850896</v>
      </c>
      <c r="CW27" s="22">
        <f>CV27*($G$3+1)</f>
        <v>19415.39615758515</v>
      </c>
      <c r="CX27" s="22">
        <f>CW27*($G$3+1)</f>
        <v>19512.473138373072</v>
      </c>
      <c r="CY27" s="22">
        <f>CX27*($G$3+1)</f>
        <v>19610.035504064934</v>
      </c>
      <c r="CZ27" s="22">
        <f>CY27*($G$3+1)</f>
        <v>19708.085681585257</v>
      </c>
      <c r="DA27" s="22">
        <f>CZ27*($G$3+1)</f>
        <v>19806.62610999318</v>
      </c>
      <c r="DB27" s="22">
        <f>DA27*($G$3+1)</f>
        <v>19905.659240543144</v>
      </c>
      <c r="DC27" s="22">
        <f>DB27*($G$3+1)</f>
        <v>20005.187536745856</v>
      </c>
      <c r="DD27" s="22">
        <f>DC27*($G$3+1)</f>
        <v>20105.213474429584</v>
      </c>
      <c r="DE27" s="22">
        <f>DD27*($G$3+1)</f>
        <v>20205.73954180173</v>
      </c>
      <c r="DF27" s="22">
        <f>DE27*($G$3+1)</f>
        <v>20306.768239510737</v>
      </c>
      <c r="DG27" s="22">
        <f>DF27*($G$3+1)</f>
        <v>20408.302080708287</v>
      </c>
      <c r="DH27" s="22">
        <f>DG27*($G$3+1)</f>
        <v>20510.343591111825</v>
      </c>
      <c r="DI27" s="22">
        <f>DH27*($G$3+1)</f>
        <v>20612.895309067382</v>
      </c>
      <c r="DJ27" s="22">
        <f>DI27*($G$3+1)</f>
        <v>20715.959785612718</v>
      </c>
      <c r="DK27" s="22">
        <f>DJ27*($G$3+1)</f>
        <v>20819.53958454078</v>
      </c>
      <c r="DL27" s="22">
        <f>DK27*($G$3+1)</f>
        <v>20923.637282463482</v>
      </c>
      <c r="DM27" s="22">
        <f>DL27*($G$3+1)</f>
        <v>21028.255468875795</v>
      </c>
      <c r="DN27" s="22">
        <f>DM27*($G$3+1)</f>
        <v>21133.396746220173</v>
      </c>
      <c r="DO27" s="22">
        <f>DN27*($G$3+1)</f>
        <v>21239.063729951271</v>
      </c>
      <c r="DP27" s="22">
        <f>DO27*($G$3+1)</f>
        <v>21345.259048601027</v>
      </c>
      <c r="DQ27" s="22">
        <f>DP27*($G$3+1)</f>
        <v>21451.98534384403</v>
      </c>
      <c r="DR27" s="22">
        <f>DQ27*($G$3+1)</f>
        <v>21559.245270563246</v>
      </c>
      <c r="DS27" s="22">
        <f>DR27*($G$3+1)</f>
        <v>21667.041496916059</v>
      </c>
      <c r="DT27" s="22">
        <f>DS27*($G$3+1)</f>
        <v>21775.376704400638</v>
      </c>
      <c r="DU27" s="22">
        <f>DT27*($G$3+1)</f>
        <v>21884.253587922638</v>
      </c>
      <c r="DV27" s="22">
        <f>DU27*($G$3+1)</f>
        <v>21993.674855862249</v>
      </c>
      <c r="DW27" s="22">
        <f>DV27*($G$3+1)</f>
        <v>22103.643230141559</v>
      </c>
      <c r="DX27" s="22">
        <f>DW27*($G$3+1)</f>
        <v>22214.161446292263</v>
      </c>
      <c r="DY27" s="22">
        <f>DX27*($G$3+1)</f>
        <v>22325.232253523722</v>
      </c>
      <c r="DZ27" s="22">
        <f>DY27*($G$3+1)</f>
        <v>22436.858414791339</v>
      </c>
      <c r="EA27" s="22">
        <f>DZ27*($G$3+1)</f>
        <v>22549.042706865293</v>
      </c>
      <c r="EB27" s="22">
        <f>EA27*($G$3+1)</f>
        <v>22661.787920399616</v>
      </c>
      <c r="EC27" s="22">
        <f>EB27*($G$3+1)</f>
        <v>22775.096860001613</v>
      </c>
      <c r="ED27" s="22">
        <f>EC27*($G$3+1)</f>
        <v>22888.972344301619</v>
      </c>
      <c r="EE27" s="22">
        <f>ED27*($G$3+1)</f>
        <v>23003.417206023125</v>
      </c>
      <c r="EF27" s="22">
        <f>EE27*($G$3+1)</f>
        <v>23118.434292053236</v>
      </c>
      <c r="EG27" s="22">
        <f>EF27*($G$3+1)</f>
        <v>23234.026463513499</v>
      </c>
      <c r="EH27" s="22">
        <f>EG27*($G$3+1)</f>
        <v>23350.196595831065</v>
      </c>
      <c r="EI27" s="22">
        <f>EH27*($G$3+1)</f>
        <v>23466.947578810217</v>
      </c>
      <c r="EJ27" s="22">
        <f>EI27*($G$3+1)</f>
        <v>23584.282316704266</v>
      </c>
      <c r="EK27" s="22">
        <f>EJ27*($G$3+1)</f>
        <v>23702.203728287786</v>
      </c>
      <c r="EL27" s="22">
        <f>EK27*($G$3+1)</f>
        <v>23820.714746929221</v>
      </c>
      <c r="EM27" s="22">
        <f>EL27*($G$3+1)</f>
        <v>23939.818320663864</v>
      </c>
      <c r="EN27" s="22">
        <f>EM27*($G$3+1)</f>
        <v>24059.517412267181</v>
      </c>
      <c r="EO27" s="22">
        <f>EN27*($G$3+1)</f>
        <v>24179.814999328515</v>
      </c>
      <c r="EP27" s="22">
        <f>EO27*($G$3+1)</f>
        <v>24300.714074325155</v>
      </c>
      <c r="EQ27" s="22">
        <f>EP27*($G$3+1)</f>
        <v>24422.217644696779</v>
      </c>
      <c r="ER27" s="22">
        <f>EQ27*($G$3+1)</f>
        <v>24544.328732920261</v>
      </c>
      <c r="ES27" s="22">
        <f>ER27*($G$3+1)</f>
        <v>24667.050376584859</v>
      </c>
      <c r="ET27" s="22">
        <f>ES27*($G$3+1)</f>
        <v>24790.385628467782</v>
      </c>
      <c r="EU27" s="22">
        <f>ET27*($G$3+1)</f>
        <v>24914.337556610117</v>
      </c>
      <c r="EV27" s="22">
        <f>EU27*($G$3+1)</f>
        <v>25038.909244393166</v>
      </c>
      <c r="EW27" s="22">
        <f>EV27*($G$3+1)</f>
        <v>25164.103790615129</v>
      </c>
      <c r="EX27" s="22">
        <f>EW27*($G$3+1)</f>
        <v>25289.924309568203</v>
      </c>
      <c r="EY27" s="22">
        <f>EX27*($G$3+1)</f>
        <v>25416.373931116043</v>
      </c>
      <c r="EZ27" s="22">
        <f>EY27*($G$3+1)</f>
        <v>25543.455800771619</v>
      </c>
      <c r="FA27" s="22">
        <f>EZ27*($G$3+1)</f>
        <v>25671.173079775475</v>
      </c>
      <c r="FB27" s="22">
        <f>FA27*($G$3+1)</f>
        <v>25799.528945174348</v>
      </c>
      <c r="FC27" s="22">
        <f>FB27*($G$3+1)</f>
        <v>25928.526589900219</v>
      </c>
      <c r="FD27" s="22">
        <f>FC27*($G$3+1)</f>
        <v>26058.169222849716</v>
      </c>
      <c r="FE27" s="22">
        <f>FD27*($G$3+1)</f>
        <v>26188.460068963963</v>
      </c>
      <c r="FF27" s="22">
        <f>FE27*($G$3+1)</f>
        <v>26319.40236930878</v>
      </c>
      <c r="FG27" s="22">
        <f>FF27*($G$3+1)</f>
        <v>26450.999381155321</v>
      </c>
      <c r="FH27" s="22">
        <f>FG27*($G$3+1)</f>
        <v>26583.254378061094</v>
      </c>
      <c r="FI27" s="22">
        <f>FH27*($G$3+1)</f>
        <v>26716.170649951397</v>
      </c>
      <c r="FJ27" s="22">
        <f>FI27*($G$3+1)</f>
        <v>26849.751503201151</v>
      </c>
      <c r="FK27" s="22">
        <f>FJ27*($G$3+1)</f>
        <v>26984.000260717152</v>
      </c>
      <c r="FL27" s="22">
        <f>FK27*($G$3+1)</f>
        <v>27118.920262020736</v>
      </c>
      <c r="FM27" s="22">
        <f>FL27*($G$3+1)</f>
        <v>27254.514863330838</v>
      </c>
      <c r="FN27" s="22">
        <f>FM27*($G$3+1)</f>
        <v>27390.78743764749</v>
      </c>
      <c r="FO27" s="22">
        <f>FN27*($G$3+1)</f>
        <v>27527.741374835725</v>
      </c>
      <c r="FP27" s="22">
        <f>FO27*($G$3+1)</f>
        <v>27665.3800817099</v>
      </c>
      <c r="FQ27" s="22">
        <f>FP27*($G$3+1)</f>
        <v>27803.706982118445</v>
      </c>
      <c r="FR27" s="22">
        <f>FQ27*($G$3+1)</f>
        <v>27942.725517029034</v>
      </c>
      <c r="FS27" s="22">
        <f>FR27*($G$3+1)</f>
        <v>28082.439144614174</v>
      </c>
      <c r="FT27" s="22">
        <f>FS27*($G$3+1)</f>
        <v>28222.851340337242</v>
      </c>
      <c r="FU27" s="22">
        <f>FT27*($G$3+1)</f>
        <v>28363.965597038925</v>
      </c>
      <c r="FV27" s="22">
        <f>FU27*($G$3+1)</f>
        <v>28505.785425024118</v>
      </c>
      <c r="FW27" s="22">
        <f>FV27*($G$3+1)</f>
        <v>28648.314352149235</v>
      </c>
      <c r="FX27" s="22">
        <f>FW27*($G$3+1)</f>
        <v>28791.555923909978</v>
      </c>
      <c r="FY27" s="22">
        <f>FX27*($G$3+1)</f>
        <v>28935.513703529527</v>
      </c>
      <c r="FZ27" s="22">
        <f>FY27*($G$3+1)</f>
        <v>29080.19127204717</v>
      </c>
      <c r="GA27" s="22">
        <f>FZ27*($G$3+1)</f>
        <v>29225.592228407404</v>
      </c>
      <c r="GB27" s="22">
        <f>GA27*($G$3+1)</f>
        <v>29371.720189549436</v>
      </c>
      <c r="GC27" s="22">
        <f>GB27*($G$3+1)</f>
        <v>29518.57879049718</v>
      </c>
      <c r="GD27" s="22">
        <f>GC27*($G$3+1)</f>
        <v>29666.171684449662</v>
      </c>
      <c r="GE27" s="22">
        <f>GD27*($G$3+1)</f>
        <v>29814.502542871909</v>
      </c>
      <c r="GF27" s="22">
        <f>GE27*($G$3+1)</f>
        <v>29963.575055586265</v>
      </c>
      <c r="GG27" s="22">
        <f>GF27*($G$3+1)</f>
        <v>30113.392930864193</v>
      </c>
      <c r="GH27" s="22">
        <f>GG27*($G$3+1)</f>
        <v>30263.95989551851</v>
      </c>
      <c r="GI27" s="22">
        <f>GH27*($G$3+1)</f>
        <v>30415.279694996101</v>
      </c>
      <c r="GJ27" s="22">
        <f>GI27*($G$3+1)</f>
        <v>30567.356093471077</v>
      </c>
      <c r="GK27" s="22">
        <f>GJ27*($G$3+1)</f>
        <v>30720.192873938428</v>
      </c>
      <c r="GL27" s="22">
        <f>GK27*($G$3+1)</f>
        <v>30873.793838308116</v>
      </c>
      <c r="GM27" s="22">
        <f>GL27*($G$3+1)</f>
        <v>31028.162807499655</v>
      </c>
      <c r="GN27" s="22">
        <f>GM27*($G$3+1)</f>
        <v>31183.30362153715</v>
      </c>
      <c r="GO27" s="22">
        <f>GN27*($G$3+1)</f>
        <v>31339.220139644833</v>
      </c>
      <c r="GP27" s="22">
        <f>GO27*($G$3+1)</f>
        <v>31495.916240343053</v>
      </c>
      <c r="GQ27" s="22">
        <f>GP27*($G$3+1)</f>
        <v>31653.395821544764</v>
      </c>
      <c r="GR27" s="22">
        <f>GQ27*($G$3+1)</f>
        <v>31811.662800652484</v>
      </c>
      <c r="GS27" s="22">
        <f>GR27*($G$3+1)</f>
        <v>31970.721114655742</v>
      </c>
      <c r="GT27" s="22">
        <f>GS27*($G$3+1)</f>
        <v>32130.574720229019</v>
      </c>
      <c r="GU27" s="22">
        <f>GT27*($G$3+1)</f>
        <v>32291.227593830161</v>
      </c>
      <c r="GV27" s="22">
        <f>GU27*($G$3+1)</f>
        <v>32452.683731799309</v>
      </c>
      <c r="GW27" s="22">
        <f>GV27*($G$3+1)</f>
        <v>32614.947150458302</v>
      </c>
      <c r="GX27" s="22">
        <f>GW27*($G$3+1)</f>
        <v>32778.02188621059</v>
      </c>
      <c r="GY27" s="22">
        <f>GX27*($G$3+1)</f>
        <v>32941.91199564164</v>
      </c>
      <c r="GZ27" s="22">
        <f>GY27*($G$3+1)</f>
        <v>33106.621555619844</v>
      </c>
      <c r="HA27" s="22">
        <f>GZ27*($G$3+1)</f>
        <v>33272.154663397938</v>
      </c>
      <c r="HB27" s="22">
        <f>HA27*($G$3+1)</f>
        <v>33438.515436714923</v>
      </c>
      <c r="HC27" s="22">
        <f>HB27*($G$3+1)</f>
        <v>33605.708013898497</v>
      </c>
      <c r="HD27" s="22">
        <f>HC27*($G$3+1)</f>
        <v>33773.736553967989</v>
      </c>
      <c r="HE27" s="22">
        <f>HD27*($G$3+1)</f>
        <v>33942.605236737822</v>
      </c>
      <c r="HF27" s="22">
        <f>HE27*($G$3+1)</f>
        <v>34112.318262921508</v>
      </c>
      <c r="HG27" s="22">
        <f>HF27*($G$3+1)</f>
        <v>34282.879854236111</v>
      </c>
      <c r="HH27" s="22">
        <f>HG27*($G$3+1)</f>
        <v>34454.294253507287</v>
      </c>
      <c r="HI27" s="22">
        <f>HH27*($G$3+1)</f>
        <v>34626.565724774817</v>
      </c>
      <c r="HJ27" s="22">
        <f>HI27*($G$3+1)</f>
        <v>34799.698553398688</v>
      </c>
      <c r="HK27" s="22">
        <f>HJ27*($G$3+1)</f>
        <v>34973.697046165675</v>
      </c>
      <c r="HL27" s="22">
        <f>HK27*($G$3+1)</f>
        <v>35148.565531396496</v>
      </c>
      <c r="HM27" s="22">
        <f>HL27*($G$3+1)</f>
        <v>35324.308359053473</v>
      </c>
      <c r="HN27" s="22">
        <f>HM27*($G$3+1)</f>
        <v>35500.929900848736</v>
      </c>
      <c r="HO27" s="22">
        <f>HN27*($G$3+1)</f>
        <v>35678.434550352977</v>
      </c>
      <c r="HP27" s="22">
        <f>HO27*($G$3+1)</f>
        <v>35856.826723104736</v>
      </c>
      <c r="HQ27" s="22">
        <f>HP27*($G$3+1)</f>
        <v>36036.110856720254</v>
      </c>
      <c r="HR27" s="22">
        <f>HQ27*($G$3+1)</f>
        <v>36216.291411003855</v>
      </c>
      <c r="HS27" s="22">
        <f>HR27*($G$3+1)</f>
        <v>36397.372868058868</v>
      </c>
      <c r="HT27" s="22">
        <f>HS27*($G$3+1)</f>
        <v>36579.359732399156</v>
      </c>
      <c r="HU27" s="22">
        <f>HT27*($G$3+1)</f>
        <v>36762.256531061146</v>
      </c>
      <c r="HV27" s="22">
        <f>HU27*($G$3+1)</f>
        <v>36946.06781371645</v>
      </c>
      <c r="HW27" s="22">
        <f>HV27*($G$3+1)</f>
        <v>37130.798152785028</v>
      </c>
      <c r="HX27" s="22">
        <f>HW27*($G$3+1)</f>
        <v>37316.452143548951</v>
      </c>
      <c r="HY27" s="22">
        <f>HX27*($G$3+1)</f>
        <v>37503.034404266691</v>
      </c>
      <c r="HZ27" s="22">
        <f>HY27*($G$3+1)</f>
        <v>37690.549576288024</v>
      </c>
      <c r="IA27" s="22">
        <f>HZ27*($G$3+1)</f>
        <v>37879.002324169458</v>
      </c>
      <c r="IB27" s="22">
        <f>IA27*($G$3+1)</f>
        <v>38068.397335790301</v>
      </c>
      <c r="IC27" s="22">
        <f>IB27*($G$3+1)</f>
        <v>38258.73932246925</v>
      </c>
      <c r="ID27" s="22">
        <f>IC27*($G$3+1)</f>
        <v>38450.033019081595</v>
      </c>
      <c r="IE27" s="22">
        <f>ID27*($G$3+1)</f>
        <v>38642.283184177002</v>
      </c>
      <c r="IF27" s="22">
        <f>IE27*($G$3+1)</f>
        <v>38835.494600097882</v>
      </c>
      <c r="IG27" s="22">
        <f>IF27*($G$3+1)</f>
        <v>39029.672073098365</v>
      </c>
      <c r="IH27" s="22">
        <f>IG27*($G$3+1)</f>
        <v>39224.82043346385</v>
      </c>
      <c r="II27" s="22">
        <f>IH27*($G$3+1)</f>
        <v>39420.944535631163</v>
      </c>
      <c r="IJ27" s="22">
        <f>II27*($G$3+1)</f>
        <v>39618.049258309315</v>
      </c>
    </row>
    <row r="28" spans="2:244" x14ac:dyDescent="0.15">
      <c r="B28" s="1" t="s">
        <v>12</v>
      </c>
      <c r="C28" s="108">
        <f>IFERROR(C27/C29,0)</f>
        <v>0</v>
      </c>
      <c r="D28" s="108">
        <f t="shared" ref="D28:G28" si="40">IFERROR(D27/D29,0)</f>
        <v>0</v>
      </c>
      <c r="E28" s="108">
        <f t="shared" si="40"/>
        <v>6.4385320133303475E-2</v>
      </c>
      <c r="F28" s="108">
        <f t="shared" si="40"/>
        <v>8.6280494568046331E-2</v>
      </c>
      <c r="G28" s="108">
        <f t="shared" si="40"/>
        <v>2.1832574375894418</v>
      </c>
      <c r="H28" s="18">
        <f t="shared" ref="H28:P28" si="41">H27/H29</f>
        <v>3.3406898743871456</v>
      </c>
      <c r="I28" s="18">
        <f t="shared" si="41"/>
        <v>5.5736098763786677</v>
      </c>
      <c r="J28" s="18">
        <f t="shared" si="41"/>
        <v>8.1252247775805095</v>
      </c>
      <c r="K28" s="18">
        <f t="shared" si="41"/>
        <v>9.9570355438727347</v>
      </c>
      <c r="L28" s="18">
        <f t="shared" si="41"/>
        <v>11.825886312503526</v>
      </c>
      <c r="M28" s="18">
        <f t="shared" si="41"/>
        <v>13.978549213875777</v>
      </c>
      <c r="N28" s="18">
        <f t="shared" si="41"/>
        <v>16.454330507798783</v>
      </c>
      <c r="O28" s="18">
        <f t="shared" si="41"/>
        <v>19.297575018091798</v>
      </c>
      <c r="P28" s="18">
        <f t="shared" si="41"/>
        <v>22.558240130810006</v>
      </c>
      <c r="Q28" s="18">
        <f t="shared" ref="Q28:S28" si="42">Q27/Q29</f>
        <v>26.189670784410527</v>
      </c>
      <c r="R28" s="18">
        <f t="shared" si="42"/>
        <v>30.16606473806473</v>
      </c>
      <c r="S28" s="18">
        <f t="shared" si="42"/>
        <v>34.519238135498554</v>
      </c>
      <c r="T28" s="18">
        <f t="shared" ref="T28:U28" si="43">T27/T29</f>
        <v>39.283250284787911</v>
      </c>
      <c r="U28" s="18">
        <f t="shared" si="43"/>
        <v>44.494487722313615</v>
      </c>
    </row>
    <row r="29" spans="2:244" x14ac:dyDescent="0.15">
      <c r="B29" s="1" t="s">
        <v>13</v>
      </c>
      <c r="C29" s="5"/>
      <c r="D29" s="5"/>
      <c r="E29" s="5">
        <f>Reports!J22</f>
        <v>116.734684</v>
      </c>
      <c r="F29" s="5">
        <f>Reports!N22</f>
        <v>292.78923500000002</v>
      </c>
      <c r="G29" s="5">
        <f>F29</f>
        <v>292.78923500000002</v>
      </c>
      <c r="H29" s="5">
        <f t="shared" ref="H29" si="44">G29</f>
        <v>292.78923500000002</v>
      </c>
      <c r="I29" s="5">
        <f t="shared" ref="I29" si="45">H29</f>
        <v>292.78923500000002</v>
      </c>
      <c r="J29" s="5">
        <f t="shared" ref="J29" si="46">I29</f>
        <v>292.78923500000002</v>
      </c>
      <c r="K29" s="5">
        <f t="shared" ref="K29" si="47">J29</f>
        <v>292.78923500000002</v>
      </c>
      <c r="L29" s="5">
        <f t="shared" ref="L29" si="48">K29</f>
        <v>292.78923500000002</v>
      </c>
      <c r="M29" s="5">
        <f t="shared" ref="M29" si="49">L29</f>
        <v>292.78923500000002</v>
      </c>
      <c r="N29" s="5">
        <f t="shared" ref="N29" si="50">M29</f>
        <v>292.78923500000002</v>
      </c>
      <c r="O29" s="5">
        <f t="shared" ref="O29" si="51">N29</f>
        <v>292.78923500000002</v>
      </c>
      <c r="P29" s="5">
        <f t="shared" ref="P29:U29" si="52">O29</f>
        <v>292.78923500000002</v>
      </c>
      <c r="Q29" s="5">
        <f t="shared" si="52"/>
        <v>292.78923500000002</v>
      </c>
      <c r="R29" s="5">
        <f t="shared" si="52"/>
        <v>292.78923500000002</v>
      </c>
      <c r="S29" s="5">
        <f t="shared" si="52"/>
        <v>292.78923500000002</v>
      </c>
      <c r="T29" s="5">
        <f t="shared" si="52"/>
        <v>292.78923500000002</v>
      </c>
      <c r="U29" s="5">
        <f t="shared" si="52"/>
        <v>292.78923500000002</v>
      </c>
    </row>
    <row r="30" spans="2:244" x14ac:dyDescent="0.15"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</row>
    <row r="31" spans="2:244" x14ac:dyDescent="0.15">
      <c r="B31" s="1" t="s">
        <v>15</v>
      </c>
      <c r="C31" s="21">
        <f t="shared" ref="C31:P31" si="53">IFERROR(C18/C16,0)</f>
        <v>0.79492576088922506</v>
      </c>
      <c r="D31" s="21">
        <f t="shared" si="53"/>
        <v>0.79680217589352909</v>
      </c>
      <c r="E31" s="21">
        <f t="shared" si="53"/>
        <v>0.81543763255747825</v>
      </c>
      <c r="F31" s="21">
        <f>IFERROR(F18/F16,0)</f>
        <v>0.81467193868865417</v>
      </c>
      <c r="G31" s="21">
        <f>IFERROR(G18/G16,0)</f>
        <v>0.68031303370563301</v>
      </c>
      <c r="H31" s="21">
        <f t="shared" si="53"/>
        <v>0.68031303370563301</v>
      </c>
      <c r="I31" s="21">
        <f t="shared" si="53"/>
        <v>0.68031303370563301</v>
      </c>
      <c r="J31" s="21">
        <f t="shared" si="53"/>
        <v>0.68031303370563301</v>
      </c>
      <c r="K31" s="21">
        <f t="shared" si="53"/>
        <v>0.68031303370563301</v>
      </c>
      <c r="L31" s="21">
        <f t="shared" si="53"/>
        <v>0.68031303370563301</v>
      </c>
      <c r="M31" s="21">
        <f t="shared" si="53"/>
        <v>0.68031303370563301</v>
      </c>
      <c r="N31" s="21">
        <f t="shared" si="53"/>
        <v>0.68031303370563301</v>
      </c>
      <c r="O31" s="21">
        <f t="shared" si="53"/>
        <v>0.68031303370563301</v>
      </c>
      <c r="P31" s="21">
        <f t="shared" si="53"/>
        <v>0.68031303370563301</v>
      </c>
      <c r="Q31" s="21">
        <f t="shared" ref="Q31:S31" si="54">IFERROR(Q18/Q16,0)</f>
        <v>0.68031303370563301</v>
      </c>
      <c r="R31" s="21">
        <f t="shared" si="54"/>
        <v>0.68031303370563301</v>
      </c>
      <c r="S31" s="21">
        <f t="shared" si="54"/>
        <v>0.68031303370563301</v>
      </c>
      <c r="T31" s="21">
        <f t="shared" ref="T31:U31" si="55">IFERROR(T18/T16,0)</f>
        <v>0.68031303370563301</v>
      </c>
      <c r="U31" s="21">
        <f t="shared" si="55"/>
        <v>0.68031303370563301</v>
      </c>
    </row>
    <row r="32" spans="2:244" x14ac:dyDescent="0.15">
      <c r="B32" s="1" t="s">
        <v>16</v>
      </c>
      <c r="C32" s="20">
        <f t="shared" ref="C32:P32" si="56">IFERROR(C23/C16,0)</f>
        <v>-1.077001496292157E-2</v>
      </c>
      <c r="D32" s="20">
        <f t="shared" si="56"/>
        <v>-4.1603401153962903E-2</v>
      </c>
      <c r="E32" s="20">
        <f t="shared" si="56"/>
        <v>1.9714568388312915E-2</v>
      </c>
      <c r="F32" s="20">
        <f t="shared" si="56"/>
        <v>1.6480957443733069E-2</v>
      </c>
      <c r="G32" s="20">
        <f>IFERROR(G23/G16,0)</f>
        <v>0.24057136068563942</v>
      </c>
      <c r="H32" s="20">
        <f t="shared" si="56"/>
        <v>0.28806433080832278</v>
      </c>
      <c r="I32" s="20">
        <f t="shared" si="56"/>
        <v>0.31418720466949446</v>
      </c>
      <c r="J32" s="20">
        <f t="shared" si="56"/>
        <v>0.31697527279030357</v>
      </c>
      <c r="K32" s="20">
        <f t="shared" si="56"/>
        <v>0.28966129363838677</v>
      </c>
      <c r="L32" s="20">
        <f t="shared" si="56"/>
        <v>0.29672044914437523</v>
      </c>
      <c r="M32" s="20">
        <f t="shared" si="56"/>
        <v>0.30280136270248642</v>
      </c>
      <c r="N32" s="20">
        <f t="shared" si="56"/>
        <v>0.3079732552499852</v>
      </c>
      <c r="O32" s="20">
        <f t="shared" si="56"/>
        <v>0.31229863966089877</v>
      </c>
      <c r="P32" s="20">
        <f t="shared" si="56"/>
        <v>0.31583387410580632</v>
      </c>
      <c r="Q32" s="20">
        <f t="shared" ref="Q32:S32" si="57">IFERROR(Q23/Q16,0)</f>
        <v>0.3317106328846271</v>
      </c>
      <c r="R32" s="20">
        <f t="shared" si="57"/>
        <v>0.34564593147258582</v>
      </c>
      <c r="S32" s="20">
        <f t="shared" si="57"/>
        <v>0.35783462819157053</v>
      </c>
      <c r="T32" s="20">
        <f t="shared" ref="T32:U32" si="58">IFERROR(T23/T16,0)</f>
        <v>0.36844547165918301</v>
      </c>
      <c r="U32" s="20">
        <f t="shared" si="58"/>
        <v>0.37762451680988129</v>
      </c>
    </row>
    <row r="33" spans="2:21" x14ac:dyDescent="0.15">
      <c r="B33" s="1" t="s">
        <v>17</v>
      </c>
      <c r="C33" s="20">
        <f t="shared" ref="C33:P33" si="59">IFERROR(C26/C25,0)</f>
        <v>0</v>
      </c>
      <c r="D33" s="20">
        <f t="shared" si="59"/>
        <v>0</v>
      </c>
      <c r="E33" s="20">
        <f t="shared" si="59"/>
        <v>0</v>
      </c>
      <c r="F33" s="20">
        <f t="shared" si="59"/>
        <v>-8.5977130083398023E-2</v>
      </c>
      <c r="G33" s="20">
        <f>IFERROR(G26/G25,0)</f>
        <v>-7.3494436005285034E-3</v>
      </c>
      <c r="H33" s="20">
        <f t="shared" si="59"/>
        <v>0.2</v>
      </c>
      <c r="I33" s="20">
        <f t="shared" si="59"/>
        <v>0.2</v>
      </c>
      <c r="J33" s="20">
        <f t="shared" si="59"/>
        <v>0.19999999999999998</v>
      </c>
      <c r="K33" s="20">
        <f t="shared" si="59"/>
        <v>0.2</v>
      </c>
      <c r="L33" s="20">
        <f t="shared" si="59"/>
        <v>0.2</v>
      </c>
      <c r="M33" s="20">
        <f t="shared" si="59"/>
        <v>0.2</v>
      </c>
      <c r="N33" s="20">
        <f t="shared" si="59"/>
        <v>0.19999999999999998</v>
      </c>
      <c r="O33" s="20">
        <f t="shared" si="59"/>
        <v>0.2</v>
      </c>
      <c r="P33" s="20">
        <f t="shared" si="59"/>
        <v>0.2</v>
      </c>
      <c r="Q33" s="20">
        <f t="shared" ref="Q33:S33" si="60">IFERROR(Q26/Q25,0)</f>
        <v>0.2</v>
      </c>
      <c r="R33" s="20">
        <f t="shared" si="60"/>
        <v>0.2</v>
      </c>
      <c r="S33" s="20">
        <f t="shared" si="60"/>
        <v>0.2</v>
      </c>
      <c r="T33" s="20">
        <f t="shared" ref="T33:U33" si="61">IFERROR(T26/T25,0)</f>
        <v>0.2</v>
      </c>
      <c r="U33" s="20">
        <f t="shared" si="61"/>
        <v>0.2</v>
      </c>
    </row>
    <row r="34" spans="2:21" x14ac:dyDescent="0.15">
      <c r="C34" s="20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</row>
    <row r="35" spans="2:21" x14ac:dyDescent="0.15">
      <c r="B35" s="15" t="s">
        <v>14</v>
      </c>
      <c r="C35" s="20"/>
      <c r="D35" s="19">
        <f>D16/C16-1</f>
        <v>1.4907180558067648</v>
      </c>
      <c r="E35" s="19">
        <f t="shared" ref="E35:U35" si="62">E16/D16-1</f>
        <v>1.1819472134567395</v>
      </c>
      <c r="F35" s="19">
        <f>F16/E16-1</f>
        <v>0.88389099501689739</v>
      </c>
      <c r="G35" s="19">
        <f>G16/F16-1</f>
        <v>3.1561868634145878</v>
      </c>
      <c r="H35" s="19">
        <f>H16/G16-1</f>
        <v>0.60000000000000009</v>
      </c>
      <c r="I35" s="19">
        <f t="shared" si="62"/>
        <v>0.53000000000000025</v>
      </c>
      <c r="J35" s="19">
        <f t="shared" si="62"/>
        <v>0.44000000000000017</v>
      </c>
      <c r="K35" s="19">
        <f t="shared" si="62"/>
        <v>0.33000000000000052</v>
      </c>
      <c r="L35" s="19">
        <f t="shared" si="62"/>
        <v>0.14999999999999991</v>
      </c>
      <c r="M35" s="19">
        <f t="shared" si="62"/>
        <v>0.14999999999999991</v>
      </c>
      <c r="N35" s="19">
        <f t="shared" si="62"/>
        <v>0.14999999999999991</v>
      </c>
      <c r="O35" s="19">
        <f t="shared" si="62"/>
        <v>0.14999999999999991</v>
      </c>
      <c r="P35" s="19">
        <f t="shared" si="62"/>
        <v>0.14999999999999991</v>
      </c>
      <c r="Q35" s="19">
        <f t="shared" si="62"/>
        <v>0.10000000000000009</v>
      </c>
      <c r="R35" s="19">
        <f t="shared" si="62"/>
        <v>0.10000000000000009</v>
      </c>
      <c r="S35" s="19">
        <f t="shared" si="62"/>
        <v>0.10000000000000009</v>
      </c>
      <c r="T35" s="19">
        <f t="shared" si="62"/>
        <v>0.10000000000000009</v>
      </c>
      <c r="U35" s="19">
        <f t="shared" si="62"/>
        <v>0.10000000000000009</v>
      </c>
    </row>
    <row r="36" spans="2:21" x14ac:dyDescent="0.15">
      <c r="B36" s="1" t="s">
        <v>30</v>
      </c>
      <c r="C36" s="20"/>
      <c r="D36" s="20">
        <f t="shared" ref="D36:U36" si="63">D19/C19-1</f>
        <v>0.77777777777777768</v>
      </c>
      <c r="E36" s="20">
        <f t="shared" si="63"/>
        <v>1.0625</v>
      </c>
      <c r="F36" s="20">
        <f t="shared" si="63"/>
        <v>1.0606060606060606</v>
      </c>
      <c r="G36" s="20">
        <f t="shared" si="63"/>
        <v>1.2647058823529411</v>
      </c>
      <c r="H36" s="20">
        <f t="shared" si="63"/>
        <v>0.5</v>
      </c>
      <c r="I36" s="20">
        <f t="shared" si="63"/>
        <v>0.5</v>
      </c>
      <c r="J36" s="20">
        <f t="shared" si="63"/>
        <v>0.5</v>
      </c>
      <c r="K36" s="20">
        <f t="shared" si="63"/>
        <v>0.5</v>
      </c>
      <c r="L36" s="20">
        <f t="shared" si="63"/>
        <v>0.19999999999999996</v>
      </c>
      <c r="M36" s="20">
        <f t="shared" si="63"/>
        <v>0.19999999999999996</v>
      </c>
      <c r="N36" s="20">
        <f t="shared" si="63"/>
        <v>0.19999999999999996</v>
      </c>
      <c r="O36" s="20">
        <f t="shared" si="63"/>
        <v>0.19999999999999996</v>
      </c>
      <c r="P36" s="20">
        <f t="shared" si="63"/>
        <v>0.19999999999999996</v>
      </c>
      <c r="Q36" s="20">
        <f t="shared" si="63"/>
        <v>0.14999999999999991</v>
      </c>
      <c r="R36" s="20">
        <f t="shared" si="63"/>
        <v>0.14999999999999991</v>
      </c>
      <c r="S36" s="20">
        <f t="shared" si="63"/>
        <v>0.14999999999999991</v>
      </c>
      <c r="T36" s="20">
        <f t="shared" si="63"/>
        <v>0.14999999999999991</v>
      </c>
      <c r="U36" s="20">
        <f t="shared" si="63"/>
        <v>0.14999999999999991</v>
      </c>
    </row>
    <row r="37" spans="2:21" x14ac:dyDescent="0.15">
      <c r="B37" s="1" t="s">
        <v>31</v>
      </c>
      <c r="C37" s="20"/>
      <c r="D37" s="20">
        <f t="shared" ref="D37:U37" si="64">D20/C20-1</f>
        <v>1.625</v>
      </c>
      <c r="E37" s="20">
        <f t="shared" si="64"/>
        <v>1.2023809523809526</v>
      </c>
      <c r="F37" s="20">
        <f t="shared" si="64"/>
        <v>0.84324324324324329</v>
      </c>
      <c r="G37" s="20">
        <f t="shared" si="64"/>
        <v>0.97360703812316718</v>
      </c>
      <c r="H37" s="20">
        <f t="shared" si="64"/>
        <v>0.39999999999999991</v>
      </c>
      <c r="I37" s="20">
        <f t="shared" si="64"/>
        <v>0.40000000000000013</v>
      </c>
      <c r="J37" s="20">
        <f t="shared" si="64"/>
        <v>0.39999999999999991</v>
      </c>
      <c r="K37" s="20">
        <f t="shared" si="64"/>
        <v>0.39999999999999991</v>
      </c>
      <c r="L37" s="20">
        <f t="shared" si="64"/>
        <v>0.14999999999999991</v>
      </c>
      <c r="M37" s="20">
        <f t="shared" si="64"/>
        <v>0.14999999999999991</v>
      </c>
      <c r="N37" s="20">
        <f t="shared" si="64"/>
        <v>0.14999999999999991</v>
      </c>
      <c r="O37" s="20">
        <f t="shared" si="64"/>
        <v>0.14999999999999991</v>
      </c>
      <c r="P37" s="20">
        <f t="shared" si="64"/>
        <v>0.14999999999999991</v>
      </c>
      <c r="Q37" s="20">
        <f t="shared" si="64"/>
        <v>5.0000000000000044E-2</v>
      </c>
      <c r="R37" s="20">
        <f t="shared" si="64"/>
        <v>5.0000000000000044E-2</v>
      </c>
      <c r="S37" s="20">
        <f t="shared" si="64"/>
        <v>5.0000000000000044E-2</v>
      </c>
      <c r="T37" s="20">
        <f t="shared" si="64"/>
        <v>5.0000000000000044E-2</v>
      </c>
      <c r="U37" s="20">
        <f t="shared" si="64"/>
        <v>5.0000000000000044E-2</v>
      </c>
    </row>
    <row r="38" spans="2:21" x14ac:dyDescent="0.15">
      <c r="B38" s="1" t="s">
        <v>32</v>
      </c>
      <c r="C38" s="20"/>
      <c r="D38" s="20">
        <f t="shared" ref="D38:U38" si="65">D21/C21-1</f>
        <v>2.375</v>
      </c>
      <c r="E38" s="20">
        <f t="shared" si="65"/>
        <v>0.66666666666666674</v>
      </c>
      <c r="F38" s="20">
        <f t="shared" si="65"/>
        <v>0.95555555555555549</v>
      </c>
      <c r="G38" s="20">
        <f t="shared" si="65"/>
        <v>2.5340909090909092</v>
      </c>
      <c r="H38" s="20">
        <f t="shared" si="65"/>
        <v>0.44999999999999996</v>
      </c>
      <c r="I38" s="20">
        <f t="shared" si="65"/>
        <v>0.44999999999999996</v>
      </c>
      <c r="J38" s="20">
        <f t="shared" si="65"/>
        <v>0.44999999999999996</v>
      </c>
      <c r="K38" s="20">
        <f t="shared" si="65"/>
        <v>0.44999999999999996</v>
      </c>
      <c r="L38" s="20">
        <f t="shared" si="65"/>
        <v>5.0000000000000044E-2</v>
      </c>
      <c r="M38" s="20">
        <f t="shared" si="65"/>
        <v>5.0000000000000044E-2</v>
      </c>
      <c r="N38" s="20">
        <f t="shared" si="65"/>
        <v>5.0000000000000044E-2</v>
      </c>
      <c r="O38" s="20">
        <f t="shared" si="65"/>
        <v>5.0000000000000044E-2</v>
      </c>
      <c r="P38" s="20">
        <f t="shared" si="65"/>
        <v>5.0000000000000044E-2</v>
      </c>
      <c r="Q38" s="20">
        <f t="shared" si="65"/>
        <v>-5.0000000000000044E-2</v>
      </c>
      <c r="R38" s="20">
        <f t="shared" si="65"/>
        <v>-4.9999999999999933E-2</v>
      </c>
      <c r="S38" s="20">
        <f t="shared" si="65"/>
        <v>-5.0000000000000044E-2</v>
      </c>
      <c r="T38" s="20">
        <f t="shared" si="65"/>
        <v>-5.0000000000000044E-2</v>
      </c>
      <c r="U38" s="20">
        <f t="shared" si="65"/>
        <v>-4.9999999999999933E-2</v>
      </c>
    </row>
    <row r="39" spans="2:21" s="59" customFormat="1" x14ac:dyDescent="0.15">
      <c r="B39" s="59" t="s">
        <v>53</v>
      </c>
      <c r="C39" s="20"/>
      <c r="D39" s="20">
        <f>D22/C22-1</f>
        <v>1.5918367346938775</v>
      </c>
      <c r="E39" s="20">
        <f t="shared" ref="E39:U39" si="66">E22/D22-1</f>
        <v>1.0708661417322833</v>
      </c>
      <c r="F39" s="20">
        <f t="shared" si="66"/>
        <v>0.88973384030418257</v>
      </c>
      <c r="G39" s="20">
        <f t="shared" si="66"/>
        <v>1.2897384305835011</v>
      </c>
      <c r="H39" s="20">
        <f t="shared" si="66"/>
        <v>0.42719683655536023</v>
      </c>
      <c r="I39" s="20">
        <f t="shared" si="66"/>
        <v>0.4281054705538283</v>
      </c>
      <c r="J39" s="20">
        <f t="shared" si="66"/>
        <v>0.42903432160321953</v>
      </c>
      <c r="K39" s="20">
        <f t="shared" si="66"/>
        <v>0.42998298052074801</v>
      </c>
      <c r="L39" s="20">
        <f t="shared" si="66"/>
        <v>0.12921926872643819</v>
      </c>
      <c r="M39" s="20">
        <f t="shared" si="66"/>
        <v>0.13176958869049482</v>
      </c>
      <c r="N39" s="20">
        <f t="shared" si="66"/>
        <v>0.13424505283818333</v>
      </c>
      <c r="O39" s="20">
        <f t="shared" si="66"/>
        <v>0.13664071807427614</v>
      </c>
      <c r="P39" s="20">
        <f t="shared" si="66"/>
        <v>0.13895282446167156</v>
      </c>
      <c r="Q39" s="20">
        <f t="shared" si="66"/>
        <v>5.2083859401240717E-2</v>
      </c>
      <c r="R39" s="20">
        <f t="shared" si="66"/>
        <v>5.602775996191367E-2</v>
      </c>
      <c r="S39" s="20">
        <f t="shared" si="66"/>
        <v>5.9937602765787412E-2</v>
      </c>
      <c r="T39" s="20">
        <f t="shared" si="66"/>
        <v>6.3805552201960714E-2</v>
      </c>
      <c r="U39" s="20">
        <f t="shared" si="66"/>
        <v>6.7624238957354921E-2</v>
      </c>
    </row>
    <row r="40" spans="2:21" x14ac:dyDescent="0.15">
      <c r="C40" s="20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</row>
    <row r="41" spans="2:21" x14ac:dyDescent="0.15">
      <c r="B41" s="15" t="s">
        <v>18</v>
      </c>
      <c r="C41" s="20"/>
      <c r="D41" s="22">
        <f>D42-D43</f>
        <v>139</v>
      </c>
      <c r="E41" s="22">
        <f>E42-E43</f>
        <v>177</v>
      </c>
      <c r="F41" s="22">
        <f>F42-F43</f>
        <v>855</v>
      </c>
      <c r="G41" s="17">
        <f>F41+G27</f>
        <v>1494.2342749598729</v>
      </c>
      <c r="H41" s="17">
        <f t="shared" ref="G41:U41" si="67">G41+H27</f>
        <v>2472.3523076539313</v>
      </c>
      <c r="I41" s="17">
        <f t="shared" si="67"/>
        <v>4104.2452795472864</v>
      </c>
      <c r="J41" s="17">
        <f t="shared" si="67"/>
        <v>6483.2236263781288</v>
      </c>
      <c r="K41" s="17">
        <f t="shared" si="67"/>
        <v>9398.536446136437</v>
      </c>
      <c r="L41" s="17">
        <f t="shared" si="67"/>
        <v>12861.028652771316</v>
      </c>
      <c r="M41" s="17">
        <f t="shared" si="67"/>
        <v>16953.797383511857</v>
      </c>
      <c r="N41" s="17">
        <f t="shared" si="67"/>
        <v>21771.448225327425</v>
      </c>
      <c r="O41" s="17">
        <f t="shared" si="67"/>
        <v>27421.570452229636</v>
      </c>
      <c r="P41" s="17">
        <f t="shared" si="67"/>
        <v>34026.380323075799</v>
      </c>
      <c r="Q41" s="17">
        <f t="shared" si="67"/>
        <v>41694.433996945205</v>
      </c>
      <c r="R41" s="17">
        <f t="shared" si="67"/>
        <v>50526.733014563652</v>
      </c>
      <c r="S41" s="17">
        <f t="shared" si="67"/>
        <v>60633.594341039105</v>
      </c>
      <c r="T41" s="17">
        <f t="shared" si="67"/>
        <v>72135.307140235687</v>
      </c>
      <c r="U41" s="17">
        <f t="shared" si="67"/>
        <v>85162.814162168783</v>
      </c>
    </row>
    <row r="42" spans="2:21" x14ac:dyDescent="0.15">
      <c r="B42" s="1" t="s">
        <v>19</v>
      </c>
      <c r="C42" s="20"/>
      <c r="D42" s="16">
        <f>Reports!F35</f>
        <v>139</v>
      </c>
      <c r="E42" s="16">
        <f>Reports!J35</f>
        <v>177</v>
      </c>
      <c r="F42" s="16">
        <f>Reports!N35</f>
        <v>855</v>
      </c>
    </row>
    <row r="43" spans="2:21" x14ac:dyDescent="0.15">
      <c r="B43" s="1" t="s">
        <v>20</v>
      </c>
      <c r="C43" s="20"/>
      <c r="D43" s="16">
        <f>Reports!F36</f>
        <v>0</v>
      </c>
      <c r="E43" s="16">
        <f>Reports!J36</f>
        <v>0</v>
      </c>
      <c r="F43" s="16">
        <f>Reports!N36</f>
        <v>0</v>
      </c>
    </row>
    <row r="44" spans="2:21" x14ac:dyDescent="0.15">
      <c r="C44" s="20"/>
    </row>
    <row r="45" spans="2:21" x14ac:dyDescent="0.15">
      <c r="B45" s="1" t="s">
        <v>40</v>
      </c>
      <c r="C45" s="20"/>
      <c r="D45" s="16">
        <f>Reports!F38</f>
        <v>0</v>
      </c>
      <c r="E45" s="16">
        <f>Reports!J38</f>
        <v>0</v>
      </c>
      <c r="F45" s="16">
        <f>Reports!N38</f>
        <v>0</v>
      </c>
    </row>
    <row r="46" spans="2:21" x14ac:dyDescent="0.15">
      <c r="B46" s="1" t="s">
        <v>41</v>
      </c>
      <c r="C46" s="20"/>
      <c r="D46" s="16">
        <f>Reports!F39</f>
        <v>215</v>
      </c>
      <c r="E46" s="16">
        <f>Reports!J39</f>
        <v>355</v>
      </c>
      <c r="F46" s="16">
        <f>Reports!N39</f>
        <v>1290</v>
      </c>
    </row>
    <row r="47" spans="2:21" x14ac:dyDescent="0.15">
      <c r="B47" s="1" t="s">
        <v>42</v>
      </c>
      <c r="C47" s="20"/>
      <c r="D47" s="16">
        <f>Reports!F40</f>
        <v>242</v>
      </c>
      <c r="E47" s="16">
        <f>Reports!J40</f>
        <v>362</v>
      </c>
      <c r="F47" s="16">
        <f>Reports!N40</f>
        <v>456</v>
      </c>
    </row>
    <row r="48" spans="2:21" x14ac:dyDescent="0.15">
      <c r="C48" s="20"/>
    </row>
    <row r="49" spans="2:11" x14ac:dyDescent="0.15">
      <c r="B49" s="1" t="s">
        <v>43</v>
      </c>
      <c r="C49" s="20"/>
      <c r="D49" s="23">
        <f>D46-D45-D42</f>
        <v>76</v>
      </c>
      <c r="E49" s="23">
        <f>E46-E45-E42</f>
        <v>178</v>
      </c>
      <c r="F49" s="23">
        <f>F46-F45-F42</f>
        <v>435</v>
      </c>
    </row>
    <row r="50" spans="2:11" x14ac:dyDescent="0.15">
      <c r="B50" s="1" t="s">
        <v>44</v>
      </c>
      <c r="C50" s="20"/>
      <c r="D50" s="23">
        <f>D46-D47</f>
        <v>-27</v>
      </c>
      <c r="E50" s="23">
        <f>E46-E47</f>
        <v>-7</v>
      </c>
      <c r="F50" s="23">
        <f>F46-F47</f>
        <v>834</v>
      </c>
    </row>
    <row r="51" spans="2:11" x14ac:dyDescent="0.15">
      <c r="C51" s="20"/>
    </row>
    <row r="52" spans="2:11" x14ac:dyDescent="0.15">
      <c r="B52" s="1" t="s">
        <v>45</v>
      </c>
      <c r="C52" s="20"/>
      <c r="D52" s="14">
        <f>D27/D50</f>
        <v>0.23340740740740712</v>
      </c>
      <c r="E52" s="14">
        <f>E27/E50</f>
        <v>-1.0737142857142885</v>
      </c>
      <c r="F52" s="14">
        <f>F27/F50</f>
        <v>3.0290167865707367E-2</v>
      </c>
    </row>
    <row r="53" spans="2:11" x14ac:dyDescent="0.15">
      <c r="B53" s="1" t="s">
        <v>46</v>
      </c>
      <c r="C53" s="20"/>
      <c r="D53" s="14">
        <f>D27/D46</f>
        <v>-2.9311627906976709E-2</v>
      </c>
      <c r="E53" s="14">
        <f>E27/E46</f>
        <v>2.117183098591555E-2</v>
      </c>
      <c r="F53" s="14">
        <f>F27/F46</f>
        <v>1.9582945736434064E-2</v>
      </c>
    </row>
    <row r="54" spans="2:11" x14ac:dyDescent="0.15">
      <c r="B54" s="1" t="s">
        <v>47</v>
      </c>
      <c r="C54" s="20"/>
      <c r="D54" s="14">
        <f>D27/(D50-D45)</f>
        <v>0.23340740740740712</v>
      </c>
      <c r="E54" s="14">
        <f>E27/(E50-E45)</f>
        <v>-1.0737142857142885</v>
      </c>
      <c r="F54" s="14">
        <f>F27/(F50-F45)</f>
        <v>3.0290167865707367E-2</v>
      </c>
    </row>
    <row r="55" spans="2:11" x14ac:dyDescent="0.15">
      <c r="B55" s="1" t="s">
        <v>48</v>
      </c>
      <c r="C55" s="20"/>
      <c r="D55" s="14">
        <f>D27/D49</f>
        <v>-8.2921052631578854E-2</v>
      </c>
      <c r="E55" s="14">
        <f>E27/E49</f>
        <v>4.2224719101123707E-2</v>
      </c>
      <c r="F55" s="14">
        <f>F27/F49</f>
        <v>5.8073563218390675E-2</v>
      </c>
    </row>
    <row r="56" spans="2:11" x14ac:dyDescent="0.15">
      <c r="C56" s="20"/>
    </row>
    <row r="57" spans="2:11" x14ac:dyDescent="0.15">
      <c r="B57" s="65" t="s">
        <v>60</v>
      </c>
      <c r="C57" s="20"/>
      <c r="D57" s="14">
        <f t="shared" ref="D57:K60" si="68">D11/C11-1</f>
        <v>1.4907180558067648</v>
      </c>
      <c r="E57" s="14">
        <f t="shared" si="68"/>
        <v>1.1819472134567395</v>
      </c>
      <c r="F57" s="14">
        <f t="shared" si="68"/>
        <v>0.88389099501689739</v>
      </c>
      <c r="G57" s="14"/>
      <c r="H57" s="14"/>
      <c r="I57" s="14"/>
      <c r="J57" s="14"/>
      <c r="K57" s="14"/>
    </row>
    <row r="58" spans="2:11" x14ac:dyDescent="0.15">
      <c r="C58" s="20"/>
    </row>
    <row r="59" spans="2:11" x14ac:dyDescent="0.15">
      <c r="B59" s="59" t="s">
        <v>75</v>
      </c>
      <c r="F59" s="14"/>
      <c r="G59" s="14">
        <f t="shared" si="68"/>
        <v>4.8</v>
      </c>
      <c r="H59" s="14">
        <f t="shared" ref="H59:H60" si="69">H13/G13-1</f>
        <v>1</v>
      </c>
      <c r="I59" s="14">
        <f t="shared" ref="I59:I60" si="70">I13/H13-1</f>
        <v>0.8</v>
      </c>
      <c r="J59" s="14">
        <f t="shared" ref="J59:J60" si="71">J13/I13-1</f>
        <v>0.60000000000000031</v>
      </c>
      <c r="K59" s="14">
        <f t="shared" ref="K59:K60" si="72">K13/J13-1</f>
        <v>0.40000000000000036</v>
      </c>
    </row>
    <row r="60" spans="2:11" x14ac:dyDescent="0.15">
      <c r="B60" s="59" t="s">
        <v>77</v>
      </c>
      <c r="G60" s="14">
        <f t="shared" si="68"/>
        <v>-0.28341605803196768</v>
      </c>
      <c r="H60" s="14">
        <f t="shared" si="69"/>
        <v>-0.19999999999999996</v>
      </c>
      <c r="I60" s="14">
        <f t="shared" si="70"/>
        <v>-0.14999999999999991</v>
      </c>
      <c r="J60" s="14">
        <f t="shared" si="71"/>
        <v>-9.9999999999999867E-2</v>
      </c>
      <c r="K60" s="14">
        <f t="shared" si="72"/>
        <v>-4.9999999999999822E-2</v>
      </c>
    </row>
  </sheetData>
  <hyperlinks>
    <hyperlink ref="A1" r:id="rId1" xr:uid="{00000000-0004-0000-0000-000005000000}"/>
    <hyperlink ref="B3" r:id="rId2" xr:uid="{48E21357-1E5A-9541-9E7C-315664EBEFC9}"/>
    <hyperlink ref="B6" r:id="rId3" xr:uid="{3C270BC2-2D10-D542-9650-ED83D19070A4}"/>
  </hyperlinks>
  <pageMargins left="0.7" right="0.7" top="0.75" bottom="0.75" header="0.3" footer="0.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62"/>
  <sheetViews>
    <sheetView tabSelected="1" zoomScale="130" zoomScaleNormal="130" workbookViewId="0">
      <pane xSplit="2" ySplit="3" topLeftCell="J4" activePane="bottomRight" state="frozen"/>
      <selection pane="topRight" activeCell="B1" sqref="B1"/>
      <selection pane="bottomLeft" activeCell="A3" sqref="A3"/>
      <selection pane="bottomRight" activeCell="T13" sqref="T13"/>
    </sheetView>
  </sheetViews>
  <sheetFormatPr baseColWidth="10" defaultRowHeight="13" x14ac:dyDescent="0.15"/>
  <cols>
    <col min="1" max="1" width="7.1640625" style="29" bestFit="1" customWidth="1"/>
    <col min="2" max="2" width="20.1640625" style="29" bestFit="1" customWidth="1"/>
    <col min="3" max="3" width="10.83203125" style="25"/>
    <col min="4" max="5" width="10.83203125" style="24"/>
    <col min="6" max="6" width="10.83203125" style="31"/>
    <col min="7" max="7" width="10.83203125" style="25"/>
    <col min="8" max="10" width="10.83203125" style="24"/>
    <col min="11" max="11" width="10.83203125" style="25"/>
    <col min="12" max="14" width="10.83203125" style="24"/>
    <col min="15" max="15" width="10.83203125" style="25"/>
    <col min="16" max="16384" width="10.83203125" style="24"/>
  </cols>
  <sheetData>
    <row r="1" spans="1:18" x14ac:dyDescent="0.15">
      <c r="A1" s="71" t="s">
        <v>33</v>
      </c>
    </row>
    <row r="2" spans="1:18" x14ac:dyDescent="0.15">
      <c r="C2" s="26" t="s">
        <v>26</v>
      </c>
      <c r="D2" s="27" t="s">
        <v>27</v>
      </c>
      <c r="E2" s="27" t="s">
        <v>28</v>
      </c>
      <c r="F2" s="28" t="s">
        <v>29</v>
      </c>
      <c r="G2" s="26" t="s">
        <v>49</v>
      </c>
      <c r="H2" s="27" t="s">
        <v>50</v>
      </c>
      <c r="I2" s="27" t="s">
        <v>51</v>
      </c>
      <c r="J2" s="28" t="s">
        <v>52</v>
      </c>
      <c r="K2" s="60" t="s">
        <v>54</v>
      </c>
      <c r="L2" s="64" t="s">
        <v>55</v>
      </c>
      <c r="M2" s="64" t="s">
        <v>56</v>
      </c>
      <c r="N2" s="64" t="s">
        <v>57</v>
      </c>
      <c r="O2" s="79" t="s">
        <v>66</v>
      </c>
      <c r="P2" s="64" t="s">
        <v>67</v>
      </c>
      <c r="Q2" s="64" t="s">
        <v>68</v>
      </c>
      <c r="R2" s="64" t="s">
        <v>69</v>
      </c>
    </row>
    <row r="3" spans="1:18" x14ac:dyDescent="0.15">
      <c r="B3" s="30"/>
      <c r="C3" s="74">
        <v>42855</v>
      </c>
      <c r="D3" s="73">
        <v>42947</v>
      </c>
      <c r="E3" s="73">
        <v>43039</v>
      </c>
      <c r="F3" s="72">
        <v>43131</v>
      </c>
      <c r="G3" s="74">
        <v>43220</v>
      </c>
      <c r="H3" s="73">
        <v>43312</v>
      </c>
      <c r="I3" s="73">
        <v>43404</v>
      </c>
      <c r="J3" s="72">
        <v>43496</v>
      </c>
      <c r="K3" s="74">
        <v>43585</v>
      </c>
      <c r="L3" s="73">
        <v>43677</v>
      </c>
      <c r="M3" s="73">
        <v>43769</v>
      </c>
      <c r="N3" s="73">
        <v>43861</v>
      </c>
      <c r="O3" s="74">
        <v>43951</v>
      </c>
      <c r="P3" s="73">
        <v>44043</v>
      </c>
      <c r="Q3" s="73">
        <v>44135</v>
      </c>
      <c r="R3" s="73"/>
    </row>
    <row r="4" spans="1:18" s="27" customFormat="1" x14ac:dyDescent="0.15">
      <c r="A4" s="32"/>
      <c r="B4" s="65" t="s">
        <v>59</v>
      </c>
      <c r="C4" s="26">
        <v>26.753</v>
      </c>
      <c r="D4" s="27">
        <v>32.920999999999999</v>
      </c>
      <c r="E4" s="27">
        <v>40.89</v>
      </c>
      <c r="F4" s="28">
        <v>50.914000000000001</v>
      </c>
      <c r="G4" s="26">
        <v>60.07</v>
      </c>
      <c r="H4" s="27">
        <v>74.525999999999996</v>
      </c>
      <c r="I4" s="27">
        <v>90.120999999999995</v>
      </c>
      <c r="J4" s="28">
        <v>105.8</v>
      </c>
      <c r="K4" s="26">
        <v>121.988</v>
      </c>
      <c r="L4" s="27">
        <v>145.82599999999999</v>
      </c>
      <c r="M4" s="27">
        <v>166.59299999999999</v>
      </c>
      <c r="N4" s="27">
        <v>188.251</v>
      </c>
      <c r="O4" s="26">
        <v>328.16699999999997</v>
      </c>
      <c r="P4" s="27">
        <v>663.52</v>
      </c>
      <c r="Q4" s="27">
        <v>777.19600000000003</v>
      </c>
      <c r="R4" s="27">
        <v>819</v>
      </c>
    </row>
    <row r="5" spans="1:18" x14ac:dyDescent="0.15">
      <c r="B5" s="30"/>
      <c r="C5" s="74"/>
      <c r="D5" s="73"/>
      <c r="E5" s="73"/>
      <c r="F5" s="72"/>
      <c r="G5" s="74"/>
      <c r="H5" s="73"/>
      <c r="I5" s="73"/>
      <c r="J5" s="72"/>
      <c r="K5" s="74"/>
      <c r="L5" s="73"/>
      <c r="M5" s="73"/>
      <c r="N5" s="73"/>
      <c r="O5" s="74"/>
      <c r="P5" s="73"/>
      <c r="Q5" s="73"/>
      <c r="R5" s="73"/>
    </row>
    <row r="6" spans="1:18" s="99" customFormat="1" x14ac:dyDescent="0.15">
      <c r="A6" s="93"/>
      <c r="B6" s="94" t="s">
        <v>70</v>
      </c>
      <c r="C6" s="95"/>
      <c r="D6" s="96"/>
      <c r="E6" s="96"/>
      <c r="F6" s="97"/>
      <c r="G6" s="95"/>
      <c r="H6" s="96"/>
      <c r="I6" s="98"/>
      <c r="J6" s="96"/>
      <c r="K6" s="95">
        <f>58500/1000000</f>
        <v>5.8500000000000003E-2</v>
      </c>
      <c r="L6" s="99">
        <f>66300/1000000</f>
        <v>6.6299999999999998E-2</v>
      </c>
      <c r="M6" s="98">
        <f>74100/1000000</f>
        <v>7.4099999999999999E-2</v>
      </c>
      <c r="N6" s="99">
        <f>81900/1000000</f>
        <v>8.1900000000000001E-2</v>
      </c>
      <c r="O6" s="95">
        <f>265400/1000000</f>
        <v>0.26540000000000002</v>
      </c>
      <c r="P6" s="99">
        <f>370200/1000000</f>
        <v>0.37019999999999997</v>
      </c>
      <c r="Q6" s="99">
        <f>433700/1000000</f>
        <v>0.43369999999999997</v>
      </c>
      <c r="R6" s="99">
        <f>N6*5.8</f>
        <v>0.47502</v>
      </c>
    </row>
    <row r="7" spans="1:18" s="27" customFormat="1" x14ac:dyDescent="0.15">
      <c r="A7" s="32"/>
      <c r="B7" s="65" t="s">
        <v>71</v>
      </c>
      <c r="C7" s="26"/>
      <c r="D7" s="33"/>
      <c r="E7" s="33"/>
      <c r="F7" s="34"/>
      <c r="G7" s="26"/>
      <c r="H7" s="33"/>
      <c r="I7" s="33"/>
      <c r="J7" s="33"/>
      <c r="K7" s="39">
        <f>SUM(K4)/K6</f>
        <v>2085.264957264957</v>
      </c>
      <c r="L7" s="104">
        <f>SUM(L4)/L6</f>
        <v>2199.4871794871797</v>
      </c>
      <c r="M7" s="104">
        <f>SUM(M4)/M6</f>
        <v>2248.2186234817814</v>
      </c>
      <c r="N7" s="104">
        <f>SUM(N4)/N6</f>
        <v>2298.5470085470088</v>
      </c>
      <c r="O7" s="39">
        <f>SUM(O4)/O6</f>
        <v>1236.4996232102485</v>
      </c>
      <c r="P7" s="104">
        <f>SUM(P4)/P6</f>
        <v>1792.3284710967046</v>
      </c>
      <c r="Q7" s="104">
        <f>SUM(Q4)/Q6</f>
        <v>1792.0129121512568</v>
      </c>
      <c r="R7" s="27">
        <f>N7*0.75</f>
        <v>1723.9102564102566</v>
      </c>
    </row>
    <row r="8" spans="1:18" s="86" customFormat="1" x14ac:dyDescent="0.15">
      <c r="A8" s="75"/>
      <c r="B8" s="75"/>
      <c r="C8" s="76"/>
      <c r="D8" s="77"/>
      <c r="E8" s="77"/>
      <c r="F8" s="78"/>
      <c r="G8" s="76"/>
      <c r="H8" s="77"/>
      <c r="I8" s="77"/>
      <c r="J8" s="77"/>
      <c r="K8" s="76"/>
      <c r="O8" s="76">
        <v>199</v>
      </c>
      <c r="P8" s="86">
        <v>495</v>
      </c>
      <c r="R8" s="86">
        <v>806</v>
      </c>
    </row>
    <row r="9" spans="1:18" s="87" customFormat="1" x14ac:dyDescent="0.15">
      <c r="A9" s="68"/>
      <c r="B9" s="68" t="s">
        <v>0</v>
      </c>
      <c r="C9" s="69">
        <f>SUM(C4)</f>
        <v>26.753</v>
      </c>
      <c r="D9" s="70">
        <f>SUM(D4)</f>
        <v>32.920999999999999</v>
      </c>
      <c r="E9" s="70">
        <f>SUM(E4)</f>
        <v>40.89</v>
      </c>
      <c r="F9" s="70">
        <f>SUM(F4)</f>
        <v>50.914000000000001</v>
      </c>
      <c r="G9" s="69">
        <f>SUM(G4)</f>
        <v>60.07</v>
      </c>
      <c r="H9" s="70">
        <f>SUM(H4)</f>
        <v>74.525999999999996</v>
      </c>
      <c r="I9" s="70">
        <f>SUM(I4)</f>
        <v>90.120999999999995</v>
      </c>
      <c r="J9" s="70">
        <f>SUM(J4)</f>
        <v>105.8</v>
      </c>
      <c r="K9" s="69">
        <f>K6*K7</f>
        <v>121.988</v>
      </c>
      <c r="L9" s="70">
        <f>L6*L7</f>
        <v>145.82599999999999</v>
      </c>
      <c r="M9" s="70">
        <f>M6*M7</f>
        <v>166.59299999999999</v>
      </c>
      <c r="N9" s="70">
        <f>N6*N7</f>
        <v>188.25100000000003</v>
      </c>
      <c r="O9" s="69">
        <f>O6*O7</f>
        <v>328.16699999999997</v>
      </c>
      <c r="P9" s="70">
        <f>P6*P7</f>
        <v>663.52</v>
      </c>
      <c r="Q9" s="70">
        <f>Q6*Q7</f>
        <v>777.19600000000003</v>
      </c>
      <c r="R9" s="70">
        <f>R6*R7</f>
        <v>818.89185000000009</v>
      </c>
    </row>
    <row r="10" spans="1:18" s="88" customFormat="1" x14ac:dyDescent="0.15">
      <c r="A10" s="65"/>
      <c r="B10" s="65" t="s">
        <v>1</v>
      </c>
      <c r="C10" s="111">
        <v>5.4989999999999997</v>
      </c>
      <c r="D10" s="66">
        <v>6.7770000000000001</v>
      </c>
      <c r="E10" s="66">
        <v>7.7549999999999999</v>
      </c>
      <c r="F10" s="64">
        <v>10.749000000000001</v>
      </c>
      <c r="G10" s="111">
        <v>11.66</v>
      </c>
      <c r="H10" s="66">
        <v>12.973000000000001</v>
      </c>
      <c r="I10" s="66">
        <v>16.843</v>
      </c>
      <c r="J10" s="66">
        <v>19.524999999999999</v>
      </c>
      <c r="K10" s="111">
        <v>24.103999999999999</v>
      </c>
      <c r="L10" s="88">
        <v>27.9</v>
      </c>
      <c r="M10" s="88">
        <v>30.844999999999999</v>
      </c>
      <c r="N10" s="88">
        <v>32.546999999999997</v>
      </c>
      <c r="O10" s="111">
        <v>103.70699999999999</v>
      </c>
      <c r="P10" s="88">
        <v>192.27099999999999</v>
      </c>
      <c r="Q10" s="88">
        <v>258.72699999999998</v>
      </c>
      <c r="R10" s="88">
        <f>R9-R11</f>
        <v>272.60746539476531</v>
      </c>
    </row>
    <row r="11" spans="1:18" s="88" customFormat="1" x14ac:dyDescent="0.15">
      <c r="A11" s="65"/>
      <c r="B11" s="65" t="s">
        <v>2</v>
      </c>
      <c r="C11" s="114">
        <f t="shared" ref="C11" si="0">C9-C10</f>
        <v>21.254000000000001</v>
      </c>
      <c r="D11" s="115">
        <f t="shared" ref="D11" si="1">D9-D10</f>
        <v>26.143999999999998</v>
      </c>
      <c r="E11" s="115">
        <f t="shared" ref="E11:M11" si="2">E9-E10</f>
        <v>33.134999999999998</v>
      </c>
      <c r="F11" s="115">
        <f t="shared" si="2"/>
        <v>40.164999999999999</v>
      </c>
      <c r="G11" s="114">
        <f t="shared" si="2"/>
        <v>48.41</v>
      </c>
      <c r="H11" s="115">
        <f t="shared" si="2"/>
        <v>61.552999999999997</v>
      </c>
      <c r="I11" s="115">
        <f t="shared" si="2"/>
        <v>73.277999999999992</v>
      </c>
      <c r="J11" s="115">
        <f t="shared" si="2"/>
        <v>86.275000000000006</v>
      </c>
      <c r="K11" s="114">
        <f t="shared" si="2"/>
        <v>97.884</v>
      </c>
      <c r="L11" s="115">
        <f t="shared" si="2"/>
        <v>117.92599999999999</v>
      </c>
      <c r="M11" s="115">
        <f t="shared" si="2"/>
        <v>135.74799999999999</v>
      </c>
      <c r="N11" s="115">
        <f t="shared" ref="N11:Q11" si="3">N9-N10</f>
        <v>155.70400000000004</v>
      </c>
      <c r="O11" s="114">
        <f t="shared" si="3"/>
        <v>224.45999999999998</v>
      </c>
      <c r="P11" s="115">
        <f t="shared" si="3"/>
        <v>471.24900000000002</v>
      </c>
      <c r="Q11" s="115">
        <f t="shared" si="3"/>
        <v>518.46900000000005</v>
      </c>
      <c r="R11" s="88">
        <f>R9*Q24</f>
        <v>546.28438460523478</v>
      </c>
    </row>
    <row r="12" spans="1:18" s="88" customFormat="1" x14ac:dyDescent="0.15">
      <c r="A12" s="65"/>
      <c r="B12" s="65" t="s">
        <v>3</v>
      </c>
      <c r="C12" s="111">
        <v>4</v>
      </c>
      <c r="D12" s="66">
        <v>4</v>
      </c>
      <c r="E12" s="66">
        <v>4</v>
      </c>
      <c r="F12" s="64">
        <v>4</v>
      </c>
      <c r="G12" s="111">
        <v>6</v>
      </c>
      <c r="H12" s="66">
        <v>7</v>
      </c>
      <c r="I12" s="66">
        <v>9</v>
      </c>
      <c r="J12" s="66">
        <v>11</v>
      </c>
      <c r="K12" s="111">
        <v>14</v>
      </c>
      <c r="L12" s="88">
        <v>15</v>
      </c>
      <c r="M12" s="88">
        <v>18</v>
      </c>
      <c r="N12" s="88">
        <v>21</v>
      </c>
      <c r="O12" s="111">
        <v>26</v>
      </c>
      <c r="P12" s="88">
        <v>43</v>
      </c>
      <c r="Q12" s="88">
        <v>43</v>
      </c>
      <c r="R12" s="88">
        <f>N12*2</f>
        <v>42</v>
      </c>
    </row>
    <row r="13" spans="1:18" s="88" customFormat="1" x14ac:dyDescent="0.15">
      <c r="A13" s="65"/>
      <c r="B13" s="65" t="s">
        <v>4</v>
      </c>
      <c r="C13" s="111">
        <v>13</v>
      </c>
      <c r="D13" s="66">
        <v>17</v>
      </c>
      <c r="E13" s="66">
        <v>24</v>
      </c>
      <c r="F13" s="64">
        <v>30</v>
      </c>
      <c r="G13" s="111">
        <v>36</v>
      </c>
      <c r="H13" s="66">
        <v>41</v>
      </c>
      <c r="I13" s="66">
        <v>53</v>
      </c>
      <c r="J13" s="66">
        <v>55</v>
      </c>
      <c r="K13" s="111">
        <v>64</v>
      </c>
      <c r="L13" s="88">
        <v>80</v>
      </c>
      <c r="M13" s="88">
        <v>96</v>
      </c>
      <c r="N13" s="88">
        <v>101</v>
      </c>
      <c r="O13" s="111">
        <v>122</v>
      </c>
      <c r="P13" s="88">
        <v>159</v>
      </c>
      <c r="Q13" s="88">
        <v>190</v>
      </c>
      <c r="R13" s="88">
        <f>N13*2</f>
        <v>202</v>
      </c>
    </row>
    <row r="14" spans="1:18" s="88" customFormat="1" x14ac:dyDescent="0.15">
      <c r="A14" s="65"/>
      <c r="B14" s="65" t="s">
        <v>5</v>
      </c>
      <c r="C14" s="111">
        <v>3</v>
      </c>
      <c r="D14" s="66">
        <v>13</v>
      </c>
      <c r="E14" s="66">
        <v>5</v>
      </c>
      <c r="F14" s="64">
        <v>6</v>
      </c>
      <c r="G14" s="111">
        <v>8</v>
      </c>
      <c r="H14" s="66">
        <v>10</v>
      </c>
      <c r="I14" s="66">
        <v>12</v>
      </c>
      <c r="J14" s="66">
        <v>15</v>
      </c>
      <c r="K14" s="111">
        <v>19</v>
      </c>
      <c r="L14" s="88">
        <v>21</v>
      </c>
      <c r="M14" s="88">
        <v>24</v>
      </c>
      <c r="N14" s="88">
        <v>24</v>
      </c>
      <c r="O14" s="111">
        <v>53</v>
      </c>
      <c r="P14" s="88">
        <v>81</v>
      </c>
      <c r="Q14" s="88">
        <v>93</v>
      </c>
      <c r="R14" s="88">
        <f>N14*3.5</f>
        <v>84</v>
      </c>
    </row>
    <row r="15" spans="1:18" s="27" customFormat="1" x14ac:dyDescent="0.15">
      <c r="A15" s="32"/>
      <c r="B15" s="32" t="s">
        <v>6</v>
      </c>
      <c r="C15" s="39">
        <f t="shared" ref="C15" si="4">SUM(C12:C14)</f>
        <v>20</v>
      </c>
      <c r="D15" s="38">
        <f t="shared" ref="D15" si="5">SUM(D12:D14)</f>
        <v>34</v>
      </c>
      <c r="E15" s="38">
        <f t="shared" ref="E15:I15" si="6">SUM(E12:E14)</f>
        <v>33</v>
      </c>
      <c r="F15" s="38">
        <f t="shared" si="6"/>
        <v>40</v>
      </c>
      <c r="G15" s="39">
        <f t="shared" si="6"/>
        <v>50</v>
      </c>
      <c r="H15" s="38">
        <f t="shared" si="6"/>
        <v>58</v>
      </c>
      <c r="I15" s="38">
        <f t="shared" si="6"/>
        <v>74</v>
      </c>
      <c r="J15" s="38">
        <f t="shared" ref="J15:K15" si="7">SUM(J12:J14)</f>
        <v>81</v>
      </c>
      <c r="K15" s="39">
        <f t="shared" si="7"/>
        <v>97</v>
      </c>
      <c r="L15" s="38">
        <f t="shared" ref="L15:N15" si="8">SUM(L12:L14)</f>
        <v>116</v>
      </c>
      <c r="M15" s="38">
        <f t="shared" si="8"/>
        <v>138</v>
      </c>
      <c r="N15" s="38">
        <f t="shared" si="8"/>
        <v>146</v>
      </c>
      <c r="O15" s="39">
        <f t="shared" ref="O15:P15" si="9">SUM(O12:O14)</f>
        <v>201</v>
      </c>
      <c r="P15" s="38">
        <f t="shared" si="9"/>
        <v>283</v>
      </c>
      <c r="Q15" s="38">
        <f t="shared" ref="Q15:R15" si="10">SUM(Q12:Q14)</f>
        <v>326</v>
      </c>
      <c r="R15" s="38">
        <f t="shared" si="10"/>
        <v>328</v>
      </c>
    </row>
    <row r="16" spans="1:18" s="27" customFormat="1" x14ac:dyDescent="0.15">
      <c r="A16" s="32"/>
      <c r="B16" s="32" t="s">
        <v>7</v>
      </c>
      <c r="C16" s="39">
        <f t="shared" ref="C16:E16" si="11">C11-C15</f>
        <v>1.2540000000000013</v>
      </c>
      <c r="D16" s="38">
        <f t="shared" si="11"/>
        <v>-7.8560000000000016</v>
      </c>
      <c r="E16" s="38">
        <f t="shared" si="11"/>
        <v>0.13499999999999801</v>
      </c>
      <c r="F16" s="38">
        <f>F11-F15</f>
        <v>0.16499999999999915</v>
      </c>
      <c r="G16" s="39">
        <f t="shared" ref="G16" si="12">G11-G15</f>
        <v>-1.5900000000000034</v>
      </c>
      <c r="H16" s="38">
        <f t="shared" ref="H16:I16" si="13">H11-H15</f>
        <v>3.5529999999999973</v>
      </c>
      <c r="I16" s="38">
        <f t="shared" si="13"/>
        <v>-0.72200000000000841</v>
      </c>
      <c r="J16" s="38">
        <f t="shared" ref="J16:K16" si="14">J11-J15</f>
        <v>5.2750000000000057</v>
      </c>
      <c r="K16" s="39">
        <f t="shared" si="14"/>
        <v>0.88400000000000034</v>
      </c>
      <c r="L16" s="38">
        <f t="shared" ref="L16:N16" si="15">L11-L15</f>
        <v>1.9259999999999877</v>
      </c>
      <c r="M16" s="38">
        <f t="shared" si="15"/>
        <v>-2.2520000000000095</v>
      </c>
      <c r="N16" s="38">
        <f t="shared" si="15"/>
        <v>9.7040000000000362</v>
      </c>
      <c r="O16" s="39">
        <f t="shared" ref="O16:P16" si="16">O11-O15</f>
        <v>23.45999999999998</v>
      </c>
      <c r="P16" s="38">
        <f t="shared" si="16"/>
        <v>188.24900000000002</v>
      </c>
      <c r="Q16" s="38">
        <f t="shared" ref="Q16:R16" si="17">Q11-Q15</f>
        <v>192.46900000000005</v>
      </c>
      <c r="R16" s="38">
        <f t="shared" si="17"/>
        <v>218.28438460523478</v>
      </c>
    </row>
    <row r="17" spans="1:18" s="88" customFormat="1" x14ac:dyDescent="0.15">
      <c r="A17" s="65"/>
      <c r="B17" s="65" t="s">
        <v>8</v>
      </c>
      <c r="C17" s="111">
        <v>0</v>
      </c>
      <c r="D17" s="66">
        <v>0</v>
      </c>
      <c r="E17" s="66">
        <v>0</v>
      </c>
      <c r="F17" s="64">
        <v>0</v>
      </c>
      <c r="G17" s="111">
        <v>0</v>
      </c>
      <c r="H17" s="66">
        <v>0</v>
      </c>
      <c r="I17" s="66">
        <v>0</v>
      </c>
      <c r="J17" s="66">
        <v>1</v>
      </c>
      <c r="K17" s="111">
        <v>1</v>
      </c>
      <c r="L17" s="88">
        <v>4</v>
      </c>
      <c r="M17" s="88">
        <v>4</v>
      </c>
      <c r="N17" s="88">
        <v>4</v>
      </c>
      <c r="O17" s="111">
        <v>6</v>
      </c>
      <c r="P17" s="88">
        <v>2</v>
      </c>
      <c r="Q17" s="88">
        <v>2</v>
      </c>
      <c r="R17" s="88">
        <f>Q17</f>
        <v>2</v>
      </c>
    </row>
    <row r="18" spans="1:18" s="27" customFormat="1" x14ac:dyDescent="0.15">
      <c r="A18" s="32"/>
      <c r="B18" s="32" t="s">
        <v>9</v>
      </c>
      <c r="C18" s="39">
        <f t="shared" ref="C18" si="18">C16+C17</f>
        <v>1.2540000000000013</v>
      </c>
      <c r="D18" s="38">
        <f t="shared" ref="D18:E18" si="19">D16+D17</f>
        <v>-7.8560000000000016</v>
      </c>
      <c r="E18" s="38">
        <f t="shared" si="19"/>
        <v>0.13499999999999801</v>
      </c>
      <c r="F18" s="38">
        <f>F16+F17</f>
        <v>0.16499999999999915</v>
      </c>
      <c r="G18" s="39">
        <f t="shared" ref="G18" si="20">G16+G17</f>
        <v>-1.5900000000000034</v>
      </c>
      <c r="H18" s="38">
        <f t="shared" ref="H18:M18" si="21">H16+H17</f>
        <v>3.5529999999999973</v>
      </c>
      <c r="I18" s="38">
        <f t="shared" si="21"/>
        <v>-0.72200000000000841</v>
      </c>
      <c r="J18" s="38">
        <f t="shared" si="21"/>
        <v>6.2750000000000057</v>
      </c>
      <c r="K18" s="39">
        <f t="shared" si="21"/>
        <v>1.8840000000000003</v>
      </c>
      <c r="L18" s="38">
        <f t="shared" si="21"/>
        <v>5.9259999999999877</v>
      </c>
      <c r="M18" s="38">
        <f t="shared" si="21"/>
        <v>1.7479999999999905</v>
      </c>
      <c r="N18" s="38">
        <f t="shared" ref="N18:R18" si="22">N16+N17</f>
        <v>13.704000000000036</v>
      </c>
      <c r="O18" s="39">
        <f t="shared" si="22"/>
        <v>29.45999999999998</v>
      </c>
      <c r="P18" s="38">
        <f t="shared" si="22"/>
        <v>190.24900000000002</v>
      </c>
      <c r="Q18" s="38">
        <f t="shared" si="22"/>
        <v>194.46900000000005</v>
      </c>
      <c r="R18" s="38">
        <f t="shared" si="22"/>
        <v>220.28438460523478</v>
      </c>
    </row>
    <row r="19" spans="1:18" s="88" customFormat="1" x14ac:dyDescent="0.15">
      <c r="A19" s="65"/>
      <c r="B19" s="65" t="s">
        <v>10</v>
      </c>
      <c r="C19" s="111">
        <v>0</v>
      </c>
      <c r="D19" s="66">
        <v>0</v>
      </c>
      <c r="E19" s="66">
        <v>0</v>
      </c>
      <c r="F19" s="64">
        <v>0</v>
      </c>
      <c r="G19" s="111">
        <v>0</v>
      </c>
      <c r="H19" s="66">
        <v>0</v>
      </c>
      <c r="I19" s="66">
        <v>0</v>
      </c>
      <c r="J19" s="66">
        <v>0</v>
      </c>
      <c r="K19" s="111">
        <v>-2</v>
      </c>
      <c r="L19" s="88">
        <v>1</v>
      </c>
      <c r="M19" s="88">
        <v>0</v>
      </c>
      <c r="N19" s="88">
        <v>-1</v>
      </c>
      <c r="O19" s="111">
        <v>2</v>
      </c>
      <c r="P19" s="88">
        <v>4</v>
      </c>
      <c r="Q19" s="88">
        <v>-5</v>
      </c>
      <c r="R19" s="88">
        <f>R18*Q26</f>
        <v>-5.6637403546383922</v>
      </c>
    </row>
    <row r="20" spans="1:18" s="89" customFormat="1" x14ac:dyDescent="0.15">
      <c r="A20" s="35"/>
      <c r="B20" s="35" t="s">
        <v>11</v>
      </c>
      <c r="C20" s="37">
        <f>C18-C19</f>
        <v>1.2540000000000013</v>
      </c>
      <c r="D20" s="36">
        <f>D18-D19</f>
        <v>-7.8560000000000016</v>
      </c>
      <c r="E20" s="36">
        <f>E18-E19</f>
        <v>0.13499999999999801</v>
      </c>
      <c r="F20" s="36">
        <f>F18-F19</f>
        <v>0.16499999999999915</v>
      </c>
      <c r="G20" s="37">
        <f>G18-G19</f>
        <v>-1.5900000000000034</v>
      </c>
      <c r="H20" s="36">
        <f>H18-H19</f>
        <v>3.5529999999999973</v>
      </c>
      <c r="I20" s="36">
        <f>I18-I19</f>
        <v>-0.72200000000000841</v>
      </c>
      <c r="J20" s="36">
        <f>J18-J19</f>
        <v>6.2750000000000057</v>
      </c>
      <c r="K20" s="37">
        <f>K18-K19</f>
        <v>3.8840000000000003</v>
      </c>
      <c r="L20" s="36">
        <f>L18-L19</f>
        <v>4.9259999999999877</v>
      </c>
      <c r="M20" s="36">
        <f>M18-M19</f>
        <v>1.7479999999999905</v>
      </c>
      <c r="N20" s="36">
        <f>N18-N19</f>
        <v>14.704000000000036</v>
      </c>
      <c r="O20" s="37">
        <f>O18-O19</f>
        <v>27.45999999999998</v>
      </c>
      <c r="P20" s="36">
        <f>P18-P19</f>
        <v>186.24900000000002</v>
      </c>
      <c r="Q20" s="36">
        <f>Q18-Q19</f>
        <v>199.46900000000005</v>
      </c>
      <c r="R20" s="36">
        <f>R18-R19</f>
        <v>225.94812495987316</v>
      </c>
    </row>
    <row r="21" spans="1:18" x14ac:dyDescent="0.15">
      <c r="B21" s="29" t="s">
        <v>12</v>
      </c>
      <c r="C21" s="41">
        <f t="shared" ref="C21" si="23">IFERROR(C20/C22,0)</f>
        <v>0</v>
      </c>
      <c r="D21" s="40">
        <f t="shared" ref="D21:E21" si="24">IFERROR(D20/D22,0)</f>
        <v>0</v>
      </c>
      <c r="E21" s="40">
        <f t="shared" si="24"/>
        <v>0</v>
      </c>
      <c r="F21" s="40">
        <f t="shared" ref="F21:G21" si="25">IFERROR(F20/F22,0)</f>
        <v>0</v>
      </c>
      <c r="G21" s="41">
        <f t="shared" si="25"/>
        <v>0</v>
      </c>
      <c r="H21" s="40">
        <f t="shared" ref="H21:I21" si="26">IFERROR(H20/H22,0)</f>
        <v>0</v>
      </c>
      <c r="I21" s="40">
        <f t="shared" si="26"/>
        <v>0</v>
      </c>
      <c r="J21" s="40">
        <f t="shared" ref="J21:K21" si="27">IFERROR(J20/J22,0)</f>
        <v>5.3754375177817809E-2</v>
      </c>
      <c r="K21" s="41">
        <f t="shared" si="27"/>
        <v>2.8469150102560407E-2</v>
      </c>
      <c r="L21" s="40">
        <f t="shared" ref="L21:N21" si="28">IFERROR(L20/L22,0)</f>
        <v>1.6859143312181274E-2</v>
      </c>
      <c r="M21" s="40">
        <f t="shared" si="28"/>
        <v>5.9705342113625217E-3</v>
      </c>
      <c r="N21" s="40">
        <f t="shared" si="28"/>
        <v>5.0220425624596596E-2</v>
      </c>
      <c r="O21" s="41">
        <f t="shared" ref="O21:P21" si="29">IFERROR(O20/O22,0)</f>
        <v>9.3026420404524746E-2</v>
      </c>
      <c r="P21" s="40">
        <f t="shared" si="29"/>
        <v>0.6267584897518077</v>
      </c>
      <c r="Q21" s="40">
        <f t="shared" ref="Q21:R21" si="30">IFERROR(Q20/Q22,0)</f>
        <v>0.66654355136431864</v>
      </c>
      <c r="R21" s="40">
        <f t="shared" si="30"/>
        <v>0</v>
      </c>
    </row>
    <row r="22" spans="1:18" s="27" customFormat="1" x14ac:dyDescent="0.15">
      <c r="A22" s="32"/>
      <c r="B22" s="32" t="s">
        <v>13</v>
      </c>
      <c r="C22" s="26"/>
      <c r="D22" s="33"/>
      <c r="E22" s="33"/>
      <c r="F22" s="34"/>
      <c r="G22" s="26"/>
      <c r="H22" s="33"/>
      <c r="I22" s="33"/>
      <c r="J22" s="33">
        <v>116.734684</v>
      </c>
      <c r="K22" s="60">
        <v>136.42837900000001</v>
      </c>
      <c r="L22" s="64">
        <v>292.18566499999997</v>
      </c>
      <c r="M22" s="33">
        <v>292.77112199999999</v>
      </c>
      <c r="N22" s="88">
        <v>292.78923500000002</v>
      </c>
      <c r="O22" s="26">
        <v>295.18495799999999</v>
      </c>
      <c r="P22" s="64">
        <v>297.16230899999999</v>
      </c>
      <c r="Q22" s="88">
        <v>299.25876499999998</v>
      </c>
      <c r="R22" s="86"/>
    </row>
    <row r="23" spans="1:18" x14ac:dyDescent="0.15">
      <c r="C23" s="26"/>
      <c r="D23" s="33"/>
      <c r="E23" s="33"/>
      <c r="F23" s="34"/>
      <c r="G23" s="26"/>
      <c r="H23" s="33"/>
      <c r="I23" s="33"/>
      <c r="J23" s="33"/>
      <c r="N23" s="88"/>
      <c r="Q23" s="88"/>
      <c r="R23" s="86"/>
    </row>
    <row r="24" spans="1:18" x14ac:dyDescent="0.15">
      <c r="B24" s="29" t="s">
        <v>15</v>
      </c>
      <c r="C24" s="43">
        <f>IFERROR(C11/C9,0)</f>
        <v>0.79445295854670506</v>
      </c>
      <c r="D24" s="42">
        <f>IFERROR(D11/D9,0)</f>
        <v>0.79414355578506113</v>
      </c>
      <c r="E24" s="42">
        <f>IFERROR(E11/E9,0)</f>
        <v>0.81034482758620685</v>
      </c>
      <c r="F24" s="44">
        <f>IFERROR(F11/F9,0)</f>
        <v>0.78887928664021678</v>
      </c>
      <c r="G24" s="43">
        <f>IFERROR(G11/G9,0)</f>
        <v>0.80589312468786412</v>
      </c>
      <c r="H24" s="42">
        <f>IFERROR(H11/H9,0)</f>
        <v>0.82592652228752383</v>
      </c>
      <c r="I24" s="42">
        <f>IFERROR(I11/I9,0)</f>
        <v>0.81310682304901183</v>
      </c>
      <c r="J24" s="42">
        <f>IFERROR(J11/J9,0)</f>
        <v>0.81545368620037817</v>
      </c>
      <c r="K24" s="43">
        <f>IFERROR(K11/K9,0)</f>
        <v>0.8024067941108961</v>
      </c>
      <c r="L24" s="42">
        <f>IFERROR(L11/L9,0)</f>
        <v>0.80867609342641222</v>
      </c>
      <c r="M24" s="42">
        <f>IFERROR(M11/M9,0)</f>
        <v>0.81484816288799644</v>
      </c>
      <c r="N24" s="42">
        <f>IFERROR(N11/N9,0)</f>
        <v>0.82710848813552129</v>
      </c>
      <c r="O24" s="43">
        <f>IFERROR(O11/O9,0)</f>
        <v>0.68398102185777365</v>
      </c>
      <c r="P24" s="42">
        <f>IFERROR(P11/P9,0)</f>
        <v>0.71022576561369666</v>
      </c>
      <c r="Q24" s="42">
        <f>IFERROR(Q11/Q9,0)</f>
        <v>0.66710199229023315</v>
      </c>
      <c r="R24" s="42">
        <f>IFERROR(R11/R9,0)</f>
        <v>0.66710199229023315</v>
      </c>
    </row>
    <row r="25" spans="1:18" x14ac:dyDescent="0.15">
      <c r="B25" s="29" t="s">
        <v>16</v>
      </c>
      <c r="C25" s="46">
        <f>IFERROR(C16/C9,0)</f>
        <v>4.6873247860053126E-2</v>
      </c>
      <c r="D25" s="45">
        <f>IFERROR(D16/D9,0)</f>
        <v>-0.23863187630995419</v>
      </c>
      <c r="E25" s="45">
        <f>IFERROR(E16/E9,0)</f>
        <v>3.3015407190021525E-3</v>
      </c>
      <c r="F25" s="47">
        <f>IFERROR(F16/F9,0)</f>
        <v>3.2407589268177543E-3</v>
      </c>
      <c r="G25" s="46">
        <f>IFERROR(G16/G9,0)</f>
        <v>-2.6469119360745853E-2</v>
      </c>
      <c r="H25" s="45">
        <f>IFERROR(H16/H9,0)</f>
        <v>4.767463703942245E-2</v>
      </c>
      <c r="I25" s="45">
        <f>IFERROR(I16/I9,0)</f>
        <v>-8.0114512710689895E-3</v>
      </c>
      <c r="J25" s="45">
        <f>IFERROR(J16/J9,0)</f>
        <v>4.9858223062381905E-2</v>
      </c>
      <c r="K25" s="46">
        <f>IFERROR(K16/K9,0)</f>
        <v>7.2466144210906018E-3</v>
      </c>
      <c r="L25" s="45">
        <f>IFERROR(L16/L9,0)</f>
        <v>1.3207521292499197E-2</v>
      </c>
      <c r="M25" s="45">
        <f>IFERROR(M16/M9,0)</f>
        <v>-1.3517974944925716E-2</v>
      </c>
      <c r="N25" s="45">
        <f>IFERROR(N16/N9,0)</f>
        <v>5.1548198947150528E-2</v>
      </c>
      <c r="O25" s="46">
        <f>IFERROR(O16/O9,0)</f>
        <v>7.1487992394116351E-2</v>
      </c>
      <c r="P25" s="45">
        <f>IFERROR(P16/P9,0)</f>
        <v>0.28371262358331328</v>
      </c>
      <c r="Q25" s="45">
        <f>IFERROR(Q16/Q9,0)</f>
        <v>0.24764538160258165</v>
      </c>
      <c r="R25" s="45">
        <f>IFERROR(R16/R9,0)</f>
        <v>0.26656069981064623</v>
      </c>
    </row>
    <row r="26" spans="1:18" x14ac:dyDescent="0.15">
      <c r="B26" s="29" t="s">
        <v>17</v>
      </c>
      <c r="C26" s="46">
        <f>IFERROR(C19/C18,0)</f>
        <v>0</v>
      </c>
      <c r="D26" s="45">
        <f>IFERROR(D19/D18,0)</f>
        <v>0</v>
      </c>
      <c r="E26" s="45">
        <f>IFERROR(E19/E18,0)</f>
        <v>0</v>
      </c>
      <c r="F26" s="47">
        <f>IFERROR(F19/F18,0)</f>
        <v>0</v>
      </c>
      <c r="G26" s="46">
        <f>IFERROR(G19/G18,0)</f>
        <v>0</v>
      </c>
      <c r="H26" s="45">
        <f>IFERROR(H19/H18,0)</f>
        <v>0</v>
      </c>
      <c r="I26" s="45">
        <f>IFERROR(I19/I18,0)</f>
        <v>0</v>
      </c>
      <c r="J26" s="45">
        <f>IFERROR(J19/J18,0)</f>
        <v>0</v>
      </c>
      <c r="K26" s="46">
        <f>IFERROR(K19/K18,0)</f>
        <v>-1.0615711252653925</v>
      </c>
      <c r="L26" s="45">
        <f>IFERROR(L19/L18,0)</f>
        <v>0.16874789065136719</v>
      </c>
      <c r="M26" s="45">
        <f>IFERROR(M19/M18,0)</f>
        <v>0</v>
      </c>
      <c r="N26" s="45">
        <f>IFERROR(N19/N18,0)</f>
        <v>-7.2971395213076287E-2</v>
      </c>
      <c r="O26" s="46">
        <f>IFERROR(O19/O18,0)</f>
        <v>6.7888662593346957E-2</v>
      </c>
      <c r="P26" s="45">
        <f>IFERROR(P19/P18,0)</f>
        <v>2.102507766138061E-2</v>
      </c>
      <c r="Q26" s="45">
        <f>IFERROR(Q19/Q18,0)</f>
        <v>-2.5711038777388676E-2</v>
      </c>
      <c r="R26" s="45">
        <f>IFERROR(R19/R18,0)</f>
        <v>-2.5711038777388676E-2</v>
      </c>
    </row>
    <row r="27" spans="1:18" x14ac:dyDescent="0.15">
      <c r="C27" s="26"/>
      <c r="D27" s="33"/>
      <c r="E27" s="33"/>
      <c r="F27" s="34"/>
      <c r="G27" s="26"/>
      <c r="H27" s="33"/>
      <c r="I27" s="33"/>
      <c r="J27" s="33"/>
      <c r="K27" s="26"/>
      <c r="L27" s="33"/>
      <c r="M27" s="33"/>
      <c r="N27" s="33"/>
      <c r="O27" s="26"/>
      <c r="P27" s="33"/>
      <c r="Q27" s="33"/>
      <c r="R27" s="33"/>
    </row>
    <row r="28" spans="1:18" s="90" customFormat="1" x14ac:dyDescent="0.15">
      <c r="A28" s="48"/>
      <c r="B28" s="48" t="s">
        <v>14</v>
      </c>
      <c r="C28" s="50"/>
      <c r="D28" s="49"/>
      <c r="E28" s="49"/>
      <c r="F28" s="51"/>
      <c r="G28" s="50">
        <f>IFERROR((G9/C9)-1,0)</f>
        <v>1.2453556610473591</v>
      </c>
      <c r="H28" s="49">
        <f>IFERROR((H9/D9)-1,0)</f>
        <v>1.2637829956562681</v>
      </c>
      <c r="I28" s="49">
        <f>IFERROR((I9/E9)-1,0)</f>
        <v>1.2039863047199804</v>
      </c>
      <c r="J28" s="49">
        <f>IFERROR((J9/F9)-1,0)</f>
        <v>1.0780139058019405</v>
      </c>
      <c r="K28" s="50">
        <f>IFERROR((K9/G9)-1,0)</f>
        <v>1.0307641085400365</v>
      </c>
      <c r="L28" s="49">
        <f>IFERROR((L9/H9)-1,0)</f>
        <v>0.95671309341706245</v>
      </c>
      <c r="M28" s="49">
        <f>IFERROR((M9/I9)-1,0)</f>
        <v>0.84854806315952991</v>
      </c>
      <c r="N28" s="49">
        <f>IFERROR((N9/J9)-1,0)</f>
        <v>0.77931001890359197</v>
      </c>
      <c r="O28" s="50">
        <f>IFERROR((O9/K9)-1,0)</f>
        <v>1.6901580483326226</v>
      </c>
      <c r="P28" s="49">
        <f>IFERROR((P9/L9)-1,0)</f>
        <v>3.5500802326059828</v>
      </c>
      <c r="Q28" s="49">
        <f>IFERROR((Q9/M9)-1,0)</f>
        <v>3.6652380352115639</v>
      </c>
      <c r="R28" s="49">
        <f>IFERROR((R9/N9)-1,0)</f>
        <v>3.3499999999999996</v>
      </c>
    </row>
    <row r="29" spans="1:18" x14ac:dyDescent="0.15">
      <c r="B29" s="29" t="s">
        <v>30</v>
      </c>
      <c r="C29" s="53"/>
      <c r="D29" s="52"/>
      <c r="E29" s="52"/>
      <c r="F29" s="54"/>
      <c r="G29" s="53">
        <f>G12/C12-1</f>
        <v>0.5</v>
      </c>
      <c r="H29" s="52">
        <f>H12/D12-1</f>
        <v>0.75</v>
      </c>
      <c r="I29" s="52">
        <f>I12/E12-1</f>
        <v>1.25</v>
      </c>
      <c r="J29" s="52">
        <f>J12/F12-1</f>
        <v>1.75</v>
      </c>
      <c r="K29" s="53">
        <f>K12/G12-1</f>
        <v>1.3333333333333335</v>
      </c>
      <c r="L29" s="52">
        <f>L12/H12-1</f>
        <v>1.1428571428571428</v>
      </c>
      <c r="M29" s="52">
        <f>M12/I12-1</f>
        <v>1</v>
      </c>
      <c r="N29" s="52">
        <f>N12/J12-1</f>
        <v>0.90909090909090917</v>
      </c>
      <c r="O29" s="53">
        <f>O12/K12-1</f>
        <v>0.85714285714285721</v>
      </c>
      <c r="P29" s="52">
        <f>P12/L12-1</f>
        <v>1.8666666666666667</v>
      </c>
      <c r="Q29" s="52">
        <f>Q12/M12-1</f>
        <v>1.3888888888888888</v>
      </c>
      <c r="R29" s="52">
        <f>R12/N12-1</f>
        <v>1</v>
      </c>
    </row>
    <row r="30" spans="1:18" x14ac:dyDescent="0.15">
      <c r="B30" s="29" t="s">
        <v>31</v>
      </c>
      <c r="C30" s="53"/>
      <c r="D30" s="52"/>
      <c r="E30" s="52"/>
      <c r="F30" s="54"/>
      <c r="G30" s="53">
        <f>G13/C13-1</f>
        <v>1.7692307692307692</v>
      </c>
      <c r="H30" s="52">
        <f>H13/D13-1</f>
        <v>1.4117647058823528</v>
      </c>
      <c r="I30" s="52">
        <f>I13/E13-1</f>
        <v>1.2083333333333335</v>
      </c>
      <c r="J30" s="52">
        <f>J13/F13-1</f>
        <v>0.83333333333333326</v>
      </c>
      <c r="K30" s="53">
        <f>K13/G13-1</f>
        <v>0.77777777777777768</v>
      </c>
      <c r="L30" s="52">
        <f>L13/H13-1</f>
        <v>0.95121951219512191</v>
      </c>
      <c r="M30" s="52">
        <f>M13/I13-1</f>
        <v>0.81132075471698117</v>
      </c>
      <c r="N30" s="52">
        <f>N13/J13-1</f>
        <v>0.83636363636363642</v>
      </c>
      <c r="O30" s="53">
        <f>O13/K13-1</f>
        <v>0.90625</v>
      </c>
      <c r="P30" s="52">
        <f>P13/L13-1</f>
        <v>0.98750000000000004</v>
      </c>
      <c r="Q30" s="52">
        <f>Q13/M13-1</f>
        <v>0.97916666666666674</v>
      </c>
      <c r="R30" s="52">
        <f>R13/N13-1</f>
        <v>1</v>
      </c>
    </row>
    <row r="31" spans="1:18" x14ac:dyDescent="0.15">
      <c r="B31" s="29" t="s">
        <v>32</v>
      </c>
      <c r="C31" s="53"/>
      <c r="D31" s="52"/>
      <c r="E31" s="52"/>
      <c r="F31" s="54"/>
      <c r="G31" s="53">
        <f>G14/C14-1</f>
        <v>1.6666666666666665</v>
      </c>
      <c r="H31" s="52">
        <f>H14/D14-1</f>
        <v>-0.23076923076923073</v>
      </c>
      <c r="I31" s="52">
        <f>I14/E14-1</f>
        <v>1.4</v>
      </c>
      <c r="J31" s="52">
        <f>J14/F14-1</f>
        <v>1.5</v>
      </c>
      <c r="K31" s="53">
        <f>K14/G14-1</f>
        <v>1.375</v>
      </c>
      <c r="L31" s="52">
        <f>L14/H14-1</f>
        <v>1.1000000000000001</v>
      </c>
      <c r="M31" s="52">
        <f>M14/I14-1</f>
        <v>1</v>
      </c>
      <c r="N31" s="52">
        <f>N14/J14-1</f>
        <v>0.60000000000000009</v>
      </c>
      <c r="O31" s="53">
        <f>O14/K14-1</f>
        <v>1.7894736842105261</v>
      </c>
      <c r="P31" s="52">
        <f>P14/L14-1</f>
        <v>2.8571428571428572</v>
      </c>
      <c r="Q31" s="52">
        <f>Q14/M14-1</f>
        <v>2.875</v>
      </c>
      <c r="R31" s="52">
        <f>R14/N14-1</f>
        <v>2.5</v>
      </c>
    </row>
    <row r="32" spans="1:18" x14ac:dyDescent="0.15">
      <c r="B32" s="59" t="s">
        <v>53</v>
      </c>
      <c r="C32" s="53"/>
      <c r="D32" s="52"/>
      <c r="E32" s="52"/>
      <c r="F32" s="52"/>
      <c r="G32" s="53">
        <f>G15/C15-1</f>
        <v>1.5</v>
      </c>
      <c r="H32" s="52">
        <f>H15/D15-1</f>
        <v>0.70588235294117641</v>
      </c>
      <c r="I32" s="52">
        <f>I15/E15-1</f>
        <v>1.2424242424242422</v>
      </c>
      <c r="J32" s="52">
        <f>J15/F15-1</f>
        <v>1.0249999999999999</v>
      </c>
      <c r="K32" s="53">
        <f>K15/G15-1</f>
        <v>0.94</v>
      </c>
      <c r="L32" s="52">
        <f>L15/H15-1</f>
        <v>1</v>
      </c>
      <c r="M32" s="52">
        <f>M15/I15-1</f>
        <v>0.86486486486486491</v>
      </c>
      <c r="N32" s="52">
        <f>N15/J15-1</f>
        <v>0.80246913580246915</v>
      </c>
      <c r="O32" s="53">
        <f>O15/K15-1</f>
        <v>1.0721649484536084</v>
      </c>
      <c r="P32" s="52">
        <f>P15/L15-1</f>
        <v>1.4396551724137931</v>
      </c>
      <c r="Q32" s="52">
        <f>Q15/M15-1</f>
        <v>1.36231884057971</v>
      </c>
      <c r="R32" s="52">
        <f>R15/N15-1</f>
        <v>1.2465753424657535</v>
      </c>
    </row>
    <row r="33" spans="1:18" x14ac:dyDescent="0.15">
      <c r="D33" s="55"/>
      <c r="E33" s="55"/>
      <c r="F33" s="56"/>
      <c r="H33" s="55"/>
      <c r="I33" s="55"/>
      <c r="J33" s="55"/>
      <c r="M33" s="55"/>
      <c r="N33" s="88"/>
      <c r="Q33" s="88"/>
      <c r="R33" s="86"/>
    </row>
    <row r="34" spans="1:18" s="89" customFormat="1" x14ac:dyDescent="0.15">
      <c r="A34" s="35"/>
      <c r="B34" s="35" t="s">
        <v>18</v>
      </c>
      <c r="C34" s="26"/>
      <c r="D34" s="33"/>
      <c r="E34" s="33"/>
      <c r="F34" s="36">
        <f t="shared" ref="F34:J34" si="31">F35-F36</f>
        <v>139</v>
      </c>
      <c r="G34" s="26"/>
      <c r="H34" s="33"/>
      <c r="I34" s="33"/>
      <c r="J34" s="36">
        <f t="shared" si="31"/>
        <v>177</v>
      </c>
      <c r="K34" s="26"/>
      <c r="L34" s="33"/>
      <c r="M34" s="33"/>
      <c r="N34" s="36">
        <f t="shared" ref="N34" si="32">N35-N36</f>
        <v>855</v>
      </c>
      <c r="O34" s="26"/>
      <c r="P34" s="27"/>
      <c r="Q34" s="36">
        <f t="shared" ref="Q34" si="33">Q35-Q36</f>
        <v>1872</v>
      </c>
      <c r="R34" s="86"/>
    </row>
    <row r="35" spans="1:18" s="27" customFormat="1" x14ac:dyDescent="0.15">
      <c r="A35" s="32"/>
      <c r="B35" s="32" t="s">
        <v>19</v>
      </c>
      <c r="C35" s="26"/>
      <c r="D35" s="33"/>
      <c r="E35" s="33"/>
      <c r="F35" s="33">
        <f>36+103</f>
        <v>139</v>
      </c>
      <c r="G35" s="26"/>
      <c r="H35" s="33"/>
      <c r="I35" s="33"/>
      <c r="J35" s="33">
        <f>64+113</f>
        <v>177</v>
      </c>
      <c r="K35" s="26"/>
      <c r="L35" s="33"/>
      <c r="M35" s="33"/>
      <c r="N35" s="27">
        <f>283+572</f>
        <v>855</v>
      </c>
      <c r="O35" s="26"/>
      <c r="Q35" s="88">
        <f>731+1141</f>
        <v>1872</v>
      </c>
      <c r="R35" s="86"/>
    </row>
    <row r="36" spans="1:18" s="27" customFormat="1" x14ac:dyDescent="0.15">
      <c r="A36" s="32"/>
      <c r="B36" s="32" t="s">
        <v>20</v>
      </c>
      <c r="C36" s="26"/>
      <c r="D36" s="33"/>
      <c r="E36" s="33"/>
      <c r="F36" s="33">
        <v>0</v>
      </c>
      <c r="G36" s="26"/>
      <c r="H36" s="33"/>
      <c r="I36" s="33"/>
      <c r="J36" s="33">
        <v>0</v>
      </c>
      <c r="K36" s="26"/>
      <c r="L36" s="33"/>
      <c r="M36" s="33"/>
      <c r="N36" s="27">
        <v>0</v>
      </c>
      <c r="O36" s="26"/>
      <c r="Q36" s="88">
        <v>0</v>
      </c>
      <c r="R36" s="86"/>
    </row>
    <row r="37" spans="1:18" s="27" customFormat="1" x14ac:dyDescent="0.15">
      <c r="A37" s="32"/>
      <c r="B37" s="32"/>
      <c r="C37" s="26"/>
      <c r="D37" s="33"/>
      <c r="E37" s="33"/>
      <c r="F37" s="33"/>
      <c r="G37" s="26"/>
      <c r="H37" s="33"/>
      <c r="I37" s="33"/>
      <c r="J37" s="33"/>
      <c r="K37" s="26"/>
      <c r="M37" s="33"/>
      <c r="O37" s="26"/>
      <c r="Q37" s="88"/>
      <c r="R37" s="86"/>
    </row>
    <row r="38" spans="1:18" s="27" customFormat="1" x14ac:dyDescent="0.15">
      <c r="A38" s="32"/>
      <c r="B38" s="32" t="s">
        <v>40</v>
      </c>
      <c r="C38" s="26"/>
      <c r="D38" s="33"/>
      <c r="E38" s="33"/>
      <c r="F38" s="33">
        <v>0</v>
      </c>
      <c r="G38" s="26"/>
      <c r="H38" s="33"/>
      <c r="I38" s="33"/>
      <c r="J38" s="33">
        <v>0</v>
      </c>
      <c r="K38" s="26"/>
      <c r="M38" s="33"/>
      <c r="N38" s="27">
        <v>0</v>
      </c>
      <c r="O38" s="26"/>
      <c r="Q38" s="88">
        <v>24</v>
      </c>
      <c r="R38" s="86"/>
    </row>
    <row r="39" spans="1:18" s="27" customFormat="1" x14ac:dyDescent="0.15">
      <c r="A39" s="32"/>
      <c r="B39" s="32" t="s">
        <v>41</v>
      </c>
      <c r="C39" s="26"/>
      <c r="D39" s="33"/>
      <c r="E39" s="33"/>
      <c r="F39" s="33">
        <v>215</v>
      </c>
      <c r="G39" s="26"/>
      <c r="H39" s="33"/>
      <c r="I39" s="33"/>
      <c r="J39" s="33">
        <v>355</v>
      </c>
      <c r="K39" s="26"/>
      <c r="L39" s="64"/>
      <c r="M39" s="33"/>
      <c r="N39" s="27">
        <v>1290</v>
      </c>
      <c r="O39" s="26"/>
      <c r="Q39" s="88">
        <v>3050</v>
      </c>
      <c r="R39" s="86"/>
    </row>
    <row r="40" spans="1:18" s="27" customFormat="1" x14ac:dyDescent="0.15">
      <c r="A40" s="32"/>
      <c r="B40" s="32" t="s">
        <v>42</v>
      </c>
      <c r="C40" s="26"/>
      <c r="D40" s="33"/>
      <c r="E40" s="33"/>
      <c r="F40" s="33">
        <f>82+160</f>
        <v>242</v>
      </c>
      <c r="G40" s="26"/>
      <c r="H40" s="33"/>
      <c r="I40" s="33"/>
      <c r="J40" s="33">
        <f>202+160</f>
        <v>362</v>
      </c>
      <c r="K40" s="26"/>
      <c r="L40" s="64"/>
      <c r="M40" s="33"/>
      <c r="N40" s="27">
        <v>456</v>
      </c>
      <c r="O40" s="26"/>
      <c r="Q40" s="88">
        <v>1550</v>
      </c>
      <c r="R40" s="86"/>
    </row>
    <row r="41" spans="1:18" s="27" customFormat="1" x14ac:dyDescent="0.15">
      <c r="A41" s="32"/>
      <c r="B41" s="32"/>
      <c r="C41" s="26"/>
      <c r="D41" s="33"/>
      <c r="E41" s="33"/>
      <c r="F41" s="33"/>
      <c r="G41" s="26"/>
      <c r="H41" s="33"/>
      <c r="I41" s="33"/>
      <c r="J41" s="33"/>
      <c r="K41" s="26"/>
      <c r="M41" s="33"/>
      <c r="O41" s="26"/>
      <c r="Q41" s="88"/>
      <c r="R41" s="86"/>
    </row>
    <row r="42" spans="1:18" s="27" customFormat="1" x14ac:dyDescent="0.15">
      <c r="A42" s="32"/>
      <c r="B42" s="32" t="s">
        <v>43</v>
      </c>
      <c r="C42" s="26"/>
      <c r="D42" s="33"/>
      <c r="E42" s="33"/>
      <c r="F42" s="38">
        <f t="shared" ref="F42:J42" si="34">F39-F38-F35</f>
        <v>76</v>
      </c>
      <c r="G42" s="26"/>
      <c r="H42" s="33"/>
      <c r="I42" s="33"/>
      <c r="J42" s="38">
        <f t="shared" si="34"/>
        <v>178</v>
      </c>
      <c r="K42" s="26"/>
      <c r="L42" s="33"/>
      <c r="M42" s="33"/>
      <c r="N42" s="38">
        <f t="shared" ref="N42" si="35">N39-N38-N35</f>
        <v>435</v>
      </c>
      <c r="O42" s="26"/>
      <c r="Q42" s="38">
        <f t="shared" ref="Q42" si="36">Q39-Q38-Q35</f>
        <v>1154</v>
      </c>
      <c r="R42" s="86"/>
    </row>
    <row r="43" spans="1:18" s="27" customFormat="1" x14ac:dyDescent="0.15">
      <c r="A43" s="32"/>
      <c r="B43" s="32" t="s">
        <v>44</v>
      </c>
      <c r="C43" s="26"/>
      <c r="D43" s="33"/>
      <c r="E43" s="33"/>
      <c r="F43" s="38">
        <f t="shared" ref="F43:J43" si="37">F39-F40</f>
        <v>-27</v>
      </c>
      <c r="G43" s="26"/>
      <c r="H43" s="33"/>
      <c r="I43" s="33"/>
      <c r="J43" s="38">
        <f t="shared" si="37"/>
        <v>-7</v>
      </c>
      <c r="K43" s="26"/>
      <c r="L43" s="33"/>
      <c r="M43" s="33"/>
      <c r="N43" s="38">
        <f t="shared" ref="N43" si="38">N39-N40</f>
        <v>834</v>
      </c>
      <c r="O43" s="26"/>
      <c r="Q43" s="38">
        <f t="shared" ref="Q43" si="39">Q39-Q40</f>
        <v>1500</v>
      </c>
      <c r="R43" s="86"/>
    </row>
    <row r="44" spans="1:18" s="27" customFormat="1" x14ac:dyDescent="0.15">
      <c r="A44" s="32"/>
      <c r="B44" s="32"/>
      <c r="C44" s="26"/>
      <c r="D44" s="33"/>
      <c r="E44" s="33"/>
      <c r="F44" s="33"/>
      <c r="G44" s="26"/>
      <c r="H44" s="33"/>
      <c r="I44" s="33"/>
      <c r="J44" s="33"/>
      <c r="K44" s="26"/>
      <c r="M44" s="33"/>
      <c r="N44" s="88"/>
      <c r="O44" s="26"/>
      <c r="Q44" s="88"/>
      <c r="R44" s="86"/>
    </row>
    <row r="45" spans="1:18" s="89" customFormat="1" x14ac:dyDescent="0.15">
      <c r="A45" s="35"/>
      <c r="B45" s="68" t="s">
        <v>62</v>
      </c>
      <c r="C45" s="26"/>
      <c r="D45" s="33"/>
      <c r="E45" s="33"/>
      <c r="F45" s="36">
        <f t="shared" ref="F45:P45" si="40">SUM(C20:F20)</f>
        <v>-6.3020000000000032</v>
      </c>
      <c r="G45" s="37">
        <f t="shared" si="40"/>
        <v>-9.1460000000000079</v>
      </c>
      <c r="H45" s="36">
        <f t="shared" si="40"/>
        <v>2.262999999999991</v>
      </c>
      <c r="I45" s="36">
        <f t="shared" si="40"/>
        <v>1.4059999999999846</v>
      </c>
      <c r="J45" s="36">
        <f t="shared" si="40"/>
        <v>7.5159999999999911</v>
      </c>
      <c r="K45" s="37">
        <f t="shared" si="40"/>
        <v>12.989999999999995</v>
      </c>
      <c r="L45" s="36">
        <f t="shared" si="40"/>
        <v>14.362999999999985</v>
      </c>
      <c r="M45" s="36">
        <f t="shared" si="40"/>
        <v>16.832999999999984</v>
      </c>
      <c r="N45" s="36">
        <f t="shared" si="40"/>
        <v>25.262000000000015</v>
      </c>
      <c r="O45" s="37">
        <f t="shared" si="40"/>
        <v>48.837999999999994</v>
      </c>
      <c r="P45" s="36">
        <f t="shared" si="40"/>
        <v>230.16100000000003</v>
      </c>
      <c r="Q45" s="36">
        <f>SUM(N20:Q20)</f>
        <v>427.88200000000006</v>
      </c>
      <c r="R45" s="86"/>
    </row>
    <row r="46" spans="1:18" s="91" customFormat="1" x14ac:dyDescent="0.15">
      <c r="A46" s="58"/>
      <c r="B46" s="57" t="s">
        <v>45</v>
      </c>
      <c r="C46" s="26"/>
      <c r="D46" s="33"/>
      <c r="E46" s="33"/>
      <c r="F46" s="42">
        <f t="shared" ref="F46:J46" si="41">F45/F43</f>
        <v>0.23340740740740754</v>
      </c>
      <c r="G46" s="26"/>
      <c r="H46" s="33"/>
      <c r="I46" s="33"/>
      <c r="J46" s="42">
        <f t="shared" si="41"/>
        <v>-1.0737142857142845</v>
      </c>
      <c r="K46" s="26"/>
      <c r="L46" s="33"/>
      <c r="M46" s="33"/>
      <c r="N46" s="42">
        <f t="shared" ref="N46" si="42">N45/N43</f>
        <v>3.029016786570745E-2</v>
      </c>
      <c r="O46" s="25"/>
      <c r="P46" s="24"/>
      <c r="Q46" s="42">
        <f t="shared" ref="Q46" si="43">Q45/Q43</f>
        <v>0.28525466666666671</v>
      </c>
      <c r="R46" s="86"/>
    </row>
    <row r="47" spans="1:18" s="91" customFormat="1" x14ac:dyDescent="0.15">
      <c r="A47" s="58"/>
      <c r="B47" s="57" t="s">
        <v>46</v>
      </c>
      <c r="C47" s="26"/>
      <c r="D47" s="33"/>
      <c r="E47" s="33"/>
      <c r="F47" s="42">
        <f t="shared" ref="F47:J47" si="44">F45/F39</f>
        <v>-2.9311627906976757E-2</v>
      </c>
      <c r="G47" s="26"/>
      <c r="H47" s="33"/>
      <c r="I47" s="33"/>
      <c r="J47" s="42">
        <f t="shared" si="44"/>
        <v>2.1171830985915466E-2</v>
      </c>
      <c r="K47" s="26"/>
      <c r="L47" s="33"/>
      <c r="M47" s="33"/>
      <c r="N47" s="42">
        <f t="shared" ref="N47" si="45">N45/N39</f>
        <v>1.9582945736434119E-2</v>
      </c>
      <c r="O47" s="25"/>
      <c r="P47" s="24"/>
      <c r="Q47" s="42">
        <f t="shared" ref="Q47" si="46">Q45/Q39</f>
        <v>0.14028918032786888</v>
      </c>
      <c r="R47" s="86"/>
    </row>
    <row r="48" spans="1:18" s="91" customFormat="1" x14ac:dyDescent="0.15">
      <c r="A48" s="58"/>
      <c r="B48" s="57" t="s">
        <v>47</v>
      </c>
      <c r="C48" s="26"/>
      <c r="D48" s="33"/>
      <c r="E48" s="33"/>
      <c r="F48" s="42">
        <f t="shared" ref="F48:J48" si="47">F45/(F43-F38)</f>
        <v>0.23340740740740754</v>
      </c>
      <c r="G48" s="26"/>
      <c r="H48" s="33"/>
      <c r="I48" s="33"/>
      <c r="J48" s="42">
        <f t="shared" si="47"/>
        <v>-1.0737142857142845</v>
      </c>
      <c r="K48" s="26"/>
      <c r="L48" s="33"/>
      <c r="M48" s="33"/>
      <c r="N48" s="42">
        <f t="shared" ref="N48" si="48">N45/(N43-N38)</f>
        <v>3.029016786570745E-2</v>
      </c>
      <c r="O48" s="25"/>
      <c r="P48" s="24"/>
      <c r="Q48" s="42">
        <f t="shared" ref="Q48" si="49">Q45/(Q43-Q38)</f>
        <v>0.28989295392953934</v>
      </c>
      <c r="R48" s="86"/>
    </row>
    <row r="49" spans="1:18" s="91" customFormat="1" x14ac:dyDescent="0.15">
      <c r="A49" s="58"/>
      <c r="B49" s="57" t="s">
        <v>48</v>
      </c>
      <c r="C49" s="26"/>
      <c r="D49" s="33"/>
      <c r="E49" s="33"/>
      <c r="F49" s="42">
        <f t="shared" ref="F49:J49" si="50">F45/F42</f>
        <v>-8.2921052631578993E-2</v>
      </c>
      <c r="G49" s="26"/>
      <c r="H49" s="33"/>
      <c r="I49" s="33"/>
      <c r="J49" s="42">
        <f t="shared" si="50"/>
        <v>4.2224719101123548E-2</v>
      </c>
      <c r="K49" s="26"/>
      <c r="L49" s="33"/>
      <c r="M49" s="33"/>
      <c r="N49" s="42">
        <f t="shared" ref="N49" si="51">N45/N42</f>
        <v>5.8073563218390835E-2</v>
      </c>
      <c r="O49" s="25"/>
      <c r="P49" s="24"/>
      <c r="Q49" s="42">
        <f t="shared" ref="Q49" si="52">Q45/Q42</f>
        <v>0.37078162911611789</v>
      </c>
      <c r="R49" s="86"/>
    </row>
    <row r="50" spans="1:18" x14ac:dyDescent="0.15">
      <c r="C50" s="26"/>
      <c r="D50" s="33"/>
      <c r="E50" s="33"/>
      <c r="F50" s="33"/>
      <c r="G50" s="26"/>
      <c r="H50" s="33"/>
      <c r="I50" s="33"/>
      <c r="J50" s="33"/>
      <c r="K50" s="26"/>
      <c r="L50" s="33"/>
      <c r="M50" s="33"/>
      <c r="N50" s="88"/>
      <c r="Q50" s="88"/>
      <c r="R50" s="86"/>
    </row>
    <row r="51" spans="1:18" s="92" customFormat="1" x14ac:dyDescent="0.15">
      <c r="A51" s="15"/>
      <c r="B51" s="81" t="s">
        <v>63</v>
      </c>
      <c r="C51" s="26"/>
      <c r="D51" s="33"/>
      <c r="E51" s="33"/>
      <c r="F51" s="70">
        <f>SUM(C9:F9)</f>
        <v>151.47800000000001</v>
      </c>
      <c r="G51" s="69">
        <f>SUM(D9:G9)</f>
        <v>184.79500000000002</v>
      </c>
      <c r="H51" s="70">
        <f>SUM(E9:H9)</f>
        <v>226.39999999999998</v>
      </c>
      <c r="I51" s="70">
        <f>SUM(F9:I9)</f>
        <v>275.63099999999997</v>
      </c>
      <c r="J51" s="70">
        <f>SUM(G9:J9)</f>
        <v>330.517</v>
      </c>
      <c r="K51" s="69">
        <f>SUM(H9:K9)</f>
        <v>392.435</v>
      </c>
      <c r="L51" s="70">
        <f>SUM(I9:L9)</f>
        <v>463.73500000000001</v>
      </c>
      <c r="M51" s="70">
        <f>SUM(J9:M9)</f>
        <v>540.20699999999999</v>
      </c>
      <c r="N51" s="70">
        <f>SUM(K9:N9)</f>
        <v>622.6579999999999</v>
      </c>
      <c r="O51" s="69">
        <f>SUM(L9:O9)</f>
        <v>828.83699999999999</v>
      </c>
      <c r="P51" s="70">
        <f>SUM(M9:P9)</f>
        <v>1346.5309999999999</v>
      </c>
      <c r="Q51" s="70">
        <f>SUM(N9:Q9)</f>
        <v>1957.134</v>
      </c>
      <c r="R51" s="70">
        <f>SUM(O9:R9)</f>
        <v>2587.7748499999998</v>
      </c>
    </row>
    <row r="52" spans="1:18" s="84" customFormat="1" x14ac:dyDescent="0.15">
      <c r="A52" s="85"/>
      <c r="B52" s="81" t="s">
        <v>64</v>
      </c>
      <c r="C52" s="82"/>
      <c r="D52" s="83"/>
      <c r="E52" s="83"/>
      <c r="F52" s="83"/>
      <c r="G52" s="82"/>
      <c r="H52" s="83"/>
      <c r="I52" s="83"/>
      <c r="J52" s="83">
        <f>J51/F51-1</f>
        <v>1.1819472134567395</v>
      </c>
      <c r="K52" s="82">
        <f t="shared" ref="K52" si="53">K51/G51-1</f>
        <v>1.1236234746611107</v>
      </c>
      <c r="L52" s="83">
        <f t="shared" ref="L52" si="54">L51/H51-1</f>
        <v>1.0482994699646646</v>
      </c>
      <c r="M52" s="83">
        <f t="shared" ref="M52" si="55">M51/I51-1</f>
        <v>0.95989202956126141</v>
      </c>
      <c r="N52" s="83">
        <f>N51/J51-1</f>
        <v>0.88389099501689739</v>
      </c>
      <c r="O52" s="82">
        <f>O51/K51-1</f>
        <v>1.1120363881916751</v>
      </c>
      <c r="P52" s="83">
        <f t="shared" ref="P52" si="56">P51/L51-1</f>
        <v>1.9036648085652366</v>
      </c>
      <c r="Q52" s="83">
        <f>Q51/M51-1</f>
        <v>2.6229334310736441</v>
      </c>
      <c r="R52" s="83">
        <f>R51/N51-1</f>
        <v>3.1560131725602183</v>
      </c>
    </row>
    <row r="53" spans="1:18" x14ac:dyDescent="0.15">
      <c r="C53" s="26"/>
      <c r="D53" s="33"/>
      <c r="E53" s="33"/>
      <c r="F53" s="33"/>
      <c r="G53" s="26"/>
      <c r="H53" s="33"/>
      <c r="I53" s="33"/>
      <c r="J53" s="33"/>
      <c r="K53" s="26"/>
      <c r="L53" s="33"/>
      <c r="M53" s="33"/>
      <c r="N53" s="88"/>
      <c r="Q53" s="88"/>
      <c r="R53" s="86"/>
    </row>
    <row r="54" spans="1:18" x14ac:dyDescent="0.15">
      <c r="B54" s="65" t="s">
        <v>60</v>
      </c>
      <c r="C54" s="26"/>
      <c r="D54" s="33"/>
      <c r="E54" s="33"/>
      <c r="F54" s="42"/>
      <c r="G54" s="43">
        <f>G4/C4-1</f>
        <v>1.2453556610473591</v>
      </c>
      <c r="H54" s="42">
        <f>H4/D4-1</f>
        <v>1.2637829956562681</v>
      </c>
      <c r="I54" s="42">
        <f>I4/E4-1</f>
        <v>1.2039863047199804</v>
      </c>
      <c r="J54" s="42">
        <f>J4/F4-1</f>
        <v>1.0780139058019405</v>
      </c>
      <c r="K54" s="43">
        <f>K4/G4-1</f>
        <v>1.0307641085400365</v>
      </c>
      <c r="L54" s="42">
        <f>L4/H4-1</f>
        <v>0.95671309341706245</v>
      </c>
      <c r="M54" s="42">
        <f>M4/I4-1</f>
        <v>0.84854806315952991</v>
      </c>
      <c r="N54" s="42">
        <f>N4/J4-1</f>
        <v>0.77931001890359175</v>
      </c>
      <c r="O54" s="43">
        <f>O4/K4-1</f>
        <v>1.6901580483326226</v>
      </c>
      <c r="P54" s="42">
        <f>P4/L4-1</f>
        <v>3.5500802326059828</v>
      </c>
      <c r="Q54" s="42">
        <f>Q4/M4-1</f>
        <v>3.6652380352115639</v>
      </c>
      <c r="R54" s="86"/>
    </row>
    <row r="55" spans="1:18" s="106" customFormat="1" x14ac:dyDescent="0.15">
      <c r="A55" s="6"/>
      <c r="B55" s="6"/>
      <c r="C55" s="76"/>
      <c r="D55" s="77"/>
      <c r="E55" s="77"/>
      <c r="F55" s="78"/>
      <c r="G55" s="76"/>
      <c r="H55" s="77"/>
      <c r="I55" s="77"/>
      <c r="J55" s="77"/>
      <c r="K55" s="105"/>
      <c r="M55" s="77"/>
      <c r="O55" s="105"/>
      <c r="R55" s="86"/>
    </row>
    <row r="56" spans="1:18" s="80" customFormat="1" x14ac:dyDescent="0.15">
      <c r="A56" s="59"/>
      <c r="B56" s="59" t="s">
        <v>75</v>
      </c>
      <c r="C56" s="111"/>
      <c r="D56" s="66"/>
      <c r="E56" s="66"/>
      <c r="F56" s="64"/>
      <c r="G56" s="111"/>
      <c r="H56" s="66"/>
      <c r="I56" s="66"/>
      <c r="J56" s="66"/>
      <c r="K56" s="79"/>
      <c r="M56" s="66"/>
      <c r="N56" s="112"/>
      <c r="O56" s="113">
        <f>O6/K6-1</f>
        <v>3.5367521367521366</v>
      </c>
      <c r="P56" s="102">
        <f>P6/L6-1</f>
        <v>4.5837104072398187</v>
      </c>
      <c r="Q56" s="102">
        <f>Q6/M6-1</f>
        <v>4.8529014844804319</v>
      </c>
      <c r="R56" s="102">
        <f>R6/N6-1</f>
        <v>4.8</v>
      </c>
    </row>
    <row r="57" spans="1:18" s="80" customFormat="1" x14ac:dyDescent="0.15">
      <c r="A57" s="59"/>
      <c r="B57" s="59" t="s">
        <v>76</v>
      </c>
      <c r="C57" s="111"/>
      <c r="D57" s="66"/>
      <c r="E57" s="66"/>
      <c r="F57" s="64"/>
      <c r="G57" s="111"/>
      <c r="H57" s="66"/>
      <c r="I57" s="66"/>
      <c r="J57" s="66"/>
      <c r="K57" s="79"/>
      <c r="M57" s="66"/>
      <c r="N57" s="112"/>
      <c r="O57" s="113">
        <f>O7/K7-1</f>
        <v>-0.40702997050693879</v>
      </c>
      <c r="P57" s="102">
        <f>P7/L7-1</f>
        <v>-0.18511529059487675</v>
      </c>
      <c r="Q57" s="102">
        <f>Q7/M7-1</f>
        <v>-0.20291874934476162</v>
      </c>
      <c r="R57" s="102">
        <f>R7/N7-1</f>
        <v>-0.25</v>
      </c>
    </row>
    <row r="58" spans="1:18" s="106" customFormat="1" x14ac:dyDescent="0.15">
      <c r="A58" s="6"/>
      <c r="B58" s="6"/>
      <c r="C58" s="76"/>
      <c r="D58" s="77"/>
      <c r="E58" s="77"/>
      <c r="F58" s="78"/>
      <c r="G58" s="76"/>
      <c r="H58" s="77"/>
      <c r="I58" s="77"/>
      <c r="J58" s="77"/>
      <c r="K58" s="105"/>
      <c r="M58" s="77"/>
      <c r="N58" s="110">
        <v>1.3</v>
      </c>
      <c r="O58" s="107">
        <v>1.3</v>
      </c>
      <c r="P58" s="103">
        <v>1.3</v>
      </c>
      <c r="Q58" s="103">
        <v>1.3</v>
      </c>
      <c r="R58" s="86"/>
    </row>
    <row r="59" spans="1:18" s="91" customFormat="1" x14ac:dyDescent="0.15">
      <c r="A59" s="58"/>
      <c r="B59" s="100" t="s">
        <v>72</v>
      </c>
      <c r="C59" s="43"/>
      <c r="F59" s="101"/>
      <c r="G59" s="43"/>
      <c r="K59" s="43"/>
      <c r="N59" s="102"/>
      <c r="O59" s="43"/>
      <c r="Q59" s="102"/>
      <c r="R59" s="103"/>
    </row>
    <row r="60" spans="1:18" x14ac:dyDescent="0.15">
      <c r="B60" s="59"/>
      <c r="C60" s="43"/>
      <c r="D60" s="91"/>
      <c r="E60" s="91"/>
      <c r="F60" s="91"/>
      <c r="G60" s="43"/>
      <c r="H60" s="91"/>
      <c r="I60" s="91"/>
      <c r="J60" s="91"/>
      <c r="K60" s="43"/>
      <c r="L60" s="91"/>
      <c r="M60" s="91"/>
      <c r="N60" s="88"/>
      <c r="Q60" s="88"/>
      <c r="R60" s="88"/>
    </row>
    <row r="61" spans="1:18" x14ac:dyDescent="0.15">
      <c r="N61" s="88"/>
    </row>
    <row r="62" spans="1:18" x14ac:dyDescent="0.15">
      <c r="B62" s="59"/>
      <c r="C62" s="43"/>
      <c r="D62" s="42"/>
      <c r="E62" s="42"/>
      <c r="F62" s="42"/>
      <c r="G62" s="43"/>
      <c r="H62" s="42"/>
      <c r="I62" s="42"/>
      <c r="J62" s="42"/>
      <c r="K62" s="43"/>
      <c r="L62" s="42"/>
      <c r="M62" s="42"/>
      <c r="N62" s="88"/>
    </row>
  </sheetData>
  <hyperlinks>
    <hyperlink ref="A1" r:id="rId1" xr:uid="{EDCBF689-DFA5-934C-B6FC-5D6E9835B685}"/>
  </hyperlink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97EBE-1DCF-814D-89D9-C0446CB926E5}">
  <dimension ref="B4:C6"/>
  <sheetViews>
    <sheetView zoomScale="120" zoomScaleNormal="120" workbookViewId="0">
      <selection activeCell="C14" sqref="C14"/>
    </sheetView>
  </sheetViews>
  <sheetFormatPr baseColWidth="10" defaultRowHeight="13" x14ac:dyDescent="0.15"/>
  <cols>
    <col min="1" max="1" width="10.83203125" style="1"/>
    <col min="2" max="2" width="12.33203125" style="1" bestFit="1" customWidth="1"/>
    <col min="3" max="3" width="29.5" style="1" bestFit="1" customWidth="1"/>
    <col min="4" max="16384" width="10.83203125" style="1"/>
  </cols>
  <sheetData>
    <row r="4" spans="2:3" x14ac:dyDescent="0.15">
      <c r="B4" s="67" t="s">
        <v>58</v>
      </c>
    </row>
    <row r="6" spans="2:3" x14ac:dyDescent="0.15">
      <c r="B6" s="1" t="s">
        <v>73</v>
      </c>
      <c r="C6" s="1" t="s">
        <v>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Reports</vt:lpstr>
      <vt:lpstr>Products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Michael Sjoeberg</cp:lastModifiedBy>
  <dcterms:created xsi:type="dcterms:W3CDTF">2018-01-04T19:16:18Z</dcterms:created>
  <dcterms:modified xsi:type="dcterms:W3CDTF">2021-02-28T20:58:56Z</dcterms:modified>
</cp:coreProperties>
</file>