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42434125-D2C2-7347-B976-38D4F07748E8}" xr6:coauthVersionLast="46" xr6:coauthVersionMax="46" xr10:uidLastSave="{00000000-0000-0000-0000-000000000000}"/>
  <bookViews>
    <workbookView xWindow="-67820" yWindow="-5940" windowWidth="282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2" l="1"/>
  <c r="H79" i="2"/>
  <c r="H21" i="2"/>
  <c r="G21" i="2"/>
  <c r="C5" i="2"/>
  <c r="C3" i="2"/>
  <c r="J25" i="2"/>
  <c r="K25" i="2" s="1"/>
  <c r="L25" i="2" s="1"/>
  <c r="I25" i="2"/>
  <c r="H25" i="2"/>
  <c r="G25" i="2"/>
  <c r="G26" i="2"/>
  <c r="L24" i="2"/>
  <c r="H26" i="2"/>
  <c r="I26" i="2" s="1"/>
  <c r="J26" i="2" s="1"/>
  <c r="K26" i="2" s="1"/>
  <c r="L26" i="2" s="1"/>
  <c r="J24" i="2"/>
  <c r="K24" i="2" s="1"/>
  <c r="I24" i="2"/>
  <c r="H24" i="2"/>
  <c r="Q34" i="2"/>
  <c r="Q9" i="2"/>
  <c r="G73" i="2"/>
  <c r="Y68" i="1"/>
  <c r="Y67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X73" i="1"/>
  <c r="F74" i="2"/>
  <c r="E74" i="2"/>
  <c r="D74" i="2"/>
  <c r="C74" i="2"/>
  <c r="F77" i="2"/>
  <c r="E77" i="2"/>
  <c r="D77" i="2"/>
  <c r="C77" i="2"/>
  <c r="F76" i="2"/>
  <c r="F73" i="2"/>
  <c r="E76" i="2"/>
  <c r="E73" i="2"/>
  <c r="D76" i="2"/>
  <c r="D73" i="2"/>
  <c r="C76" i="2"/>
  <c r="C73" i="2"/>
  <c r="C79" i="2" s="1"/>
  <c r="B76" i="2"/>
  <c r="B73" i="2"/>
  <c r="F65" i="2"/>
  <c r="C65" i="2"/>
  <c r="G62" i="2"/>
  <c r="D62" i="2"/>
  <c r="G13" i="2"/>
  <c r="G65" i="2" s="1"/>
  <c r="G12" i="2"/>
  <c r="G11" i="2"/>
  <c r="G63" i="2" s="1"/>
  <c r="G10" i="2"/>
  <c r="Y14" i="1"/>
  <c r="Y6" i="1"/>
  <c r="Y5" i="1"/>
  <c r="Y58" i="1" s="1"/>
  <c r="Y4" i="1"/>
  <c r="Y57" i="1"/>
  <c r="Y3" i="1"/>
  <c r="Y59" i="1"/>
  <c r="Y56" i="1"/>
  <c r="Y33" i="1"/>
  <c r="F13" i="2"/>
  <c r="F12" i="2"/>
  <c r="F11" i="2"/>
  <c r="F63" i="2" s="1"/>
  <c r="F10" i="2"/>
  <c r="F21" i="2" s="1"/>
  <c r="F79" i="2" s="1"/>
  <c r="E13" i="2"/>
  <c r="E12" i="2"/>
  <c r="F64" i="2" s="1"/>
  <c r="E11" i="2"/>
  <c r="E63" i="2" s="1"/>
  <c r="E10" i="2"/>
  <c r="F62" i="2" s="1"/>
  <c r="D13" i="2"/>
  <c r="E65" i="2" s="1"/>
  <c r="D12" i="2"/>
  <c r="D64" i="2" s="1"/>
  <c r="D11" i="2"/>
  <c r="D63" i="2" s="1"/>
  <c r="D10" i="2"/>
  <c r="C21" i="2"/>
  <c r="C13" i="2"/>
  <c r="C12" i="2"/>
  <c r="C64" i="2" s="1"/>
  <c r="C11" i="2"/>
  <c r="C10" i="2"/>
  <c r="B26" i="2"/>
  <c r="B25" i="2"/>
  <c r="B24" i="2"/>
  <c r="B22" i="2"/>
  <c r="B13" i="2"/>
  <c r="B12" i="2"/>
  <c r="B11" i="2"/>
  <c r="C63" i="2" s="1"/>
  <c r="B10" i="2"/>
  <c r="B21" i="2" s="1"/>
  <c r="B79" i="2" s="1"/>
  <c r="W59" i="1"/>
  <c r="V59" i="1"/>
  <c r="W58" i="1"/>
  <c r="V58" i="1"/>
  <c r="W57" i="1"/>
  <c r="V57" i="1"/>
  <c r="W56" i="1"/>
  <c r="V56" i="1"/>
  <c r="S59" i="1"/>
  <c r="R59" i="1"/>
  <c r="S58" i="1"/>
  <c r="R58" i="1"/>
  <c r="S57" i="1"/>
  <c r="R57" i="1"/>
  <c r="S56" i="1"/>
  <c r="R56" i="1"/>
  <c r="X59" i="1"/>
  <c r="X58" i="1"/>
  <c r="X57" i="1"/>
  <c r="X56" i="1"/>
  <c r="T59" i="1"/>
  <c r="T58" i="1"/>
  <c r="T57" i="1"/>
  <c r="T56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B22" i="1"/>
  <c r="B19" i="1"/>
  <c r="F22" i="1"/>
  <c r="B14" i="1"/>
  <c r="F14" i="1"/>
  <c r="B6" i="1"/>
  <c r="F6" i="1"/>
  <c r="J71" i="1"/>
  <c r="J68" i="1"/>
  <c r="F71" i="1"/>
  <c r="F68" i="1"/>
  <c r="C22" i="1"/>
  <c r="G22" i="1"/>
  <c r="G19" i="1"/>
  <c r="C14" i="1"/>
  <c r="G14" i="1"/>
  <c r="C6" i="1"/>
  <c r="G6" i="1"/>
  <c r="K71" i="1"/>
  <c r="K68" i="1"/>
  <c r="G71" i="1"/>
  <c r="G68" i="1"/>
  <c r="D22" i="1"/>
  <c r="H22" i="1"/>
  <c r="D14" i="1"/>
  <c r="D6" i="1"/>
  <c r="H14" i="1"/>
  <c r="H6" i="1"/>
  <c r="I68" i="1"/>
  <c r="I71" i="1"/>
  <c r="H71" i="1"/>
  <c r="L71" i="1"/>
  <c r="H68" i="1"/>
  <c r="L68" i="1"/>
  <c r="E43" i="1"/>
  <c r="E41" i="1"/>
  <c r="E40" i="1"/>
  <c r="I43" i="1"/>
  <c r="I41" i="1"/>
  <c r="I40" i="1"/>
  <c r="E22" i="1"/>
  <c r="I22" i="1"/>
  <c r="E14" i="1"/>
  <c r="E6" i="1"/>
  <c r="I14" i="1"/>
  <c r="I6" i="1"/>
  <c r="M71" i="1"/>
  <c r="M68" i="1"/>
  <c r="J22" i="1"/>
  <c r="N22" i="1"/>
  <c r="S71" i="1"/>
  <c r="R71" i="1"/>
  <c r="R68" i="1"/>
  <c r="S68" i="1"/>
  <c r="N59" i="1"/>
  <c r="N58" i="1"/>
  <c r="N57" i="1"/>
  <c r="N56" i="1"/>
  <c r="N68" i="1"/>
  <c r="N71" i="1"/>
  <c r="J14" i="1"/>
  <c r="N14" i="1"/>
  <c r="J6" i="1"/>
  <c r="M22" i="1"/>
  <c r="M19" i="1"/>
  <c r="M14" i="1"/>
  <c r="K22" i="1"/>
  <c r="K19" i="1"/>
  <c r="O22" i="1"/>
  <c r="K14" i="1"/>
  <c r="O14" i="1"/>
  <c r="O71" i="1"/>
  <c r="O68" i="1"/>
  <c r="O59" i="1"/>
  <c r="O58" i="1"/>
  <c r="O57" i="1"/>
  <c r="O56" i="1"/>
  <c r="K6" i="1"/>
  <c r="Q71" i="1"/>
  <c r="Q68" i="1"/>
  <c r="Q59" i="1"/>
  <c r="Q58" i="1"/>
  <c r="Q57" i="1"/>
  <c r="Q56" i="1"/>
  <c r="M6" i="1"/>
  <c r="M43" i="1"/>
  <c r="M41" i="1"/>
  <c r="M40" i="1"/>
  <c r="L22" i="1"/>
  <c r="P22" i="1"/>
  <c r="P59" i="1"/>
  <c r="P58" i="1"/>
  <c r="P57" i="1"/>
  <c r="P56" i="1"/>
  <c r="P71" i="1"/>
  <c r="P68" i="1"/>
  <c r="T68" i="1"/>
  <c r="T71" i="1"/>
  <c r="L14" i="1"/>
  <c r="P14" i="1"/>
  <c r="L6" i="1"/>
  <c r="Q14" i="1"/>
  <c r="U14" i="1"/>
  <c r="U56" i="1"/>
  <c r="V64" i="1"/>
  <c r="W62" i="1"/>
  <c r="V62" i="1"/>
  <c r="W61" i="1"/>
  <c r="V61" i="1"/>
  <c r="X62" i="1"/>
  <c r="X61" i="1"/>
  <c r="U68" i="1"/>
  <c r="U71" i="1"/>
  <c r="Q43" i="1"/>
  <c r="Q41" i="1"/>
  <c r="Q40" i="1"/>
  <c r="Q22" i="1"/>
  <c r="U22" i="1"/>
  <c r="U59" i="1"/>
  <c r="U58" i="1"/>
  <c r="U57" i="1"/>
  <c r="R22" i="1"/>
  <c r="V22" i="1"/>
  <c r="X64" i="1"/>
  <c r="V71" i="1"/>
  <c r="W71" i="1"/>
  <c r="X71" i="1"/>
  <c r="X68" i="1"/>
  <c r="W68" i="1"/>
  <c r="V68" i="1"/>
  <c r="W64" i="1"/>
  <c r="R12" i="1"/>
  <c r="R14" i="1" s="1"/>
  <c r="V12" i="1"/>
  <c r="S22" i="1"/>
  <c r="W22" i="1"/>
  <c r="W12" i="1"/>
  <c r="S12" i="1"/>
  <c r="S14" i="1" s="1"/>
  <c r="X45" i="1"/>
  <c r="U45" i="1"/>
  <c r="U43" i="1"/>
  <c r="U41" i="1"/>
  <c r="U40" i="1"/>
  <c r="X43" i="1"/>
  <c r="X41" i="1"/>
  <c r="X40" i="1"/>
  <c r="T22" i="1"/>
  <c r="X22" i="1"/>
  <c r="T12" i="1"/>
  <c r="T14" i="1" s="1"/>
  <c r="X12" i="1"/>
  <c r="X14" i="1" s="1"/>
  <c r="G79" i="2" l="1"/>
  <c r="I73" i="2"/>
  <c r="J73" i="2" s="1"/>
  <c r="K73" i="2" s="1"/>
  <c r="K74" i="2" s="1"/>
  <c r="G64" i="2"/>
  <c r="D65" i="2"/>
  <c r="C62" i="2"/>
  <c r="D21" i="2"/>
  <c r="D79" i="2" s="1"/>
  <c r="E62" i="2"/>
  <c r="E21" i="2"/>
  <c r="E79" i="2" s="1"/>
  <c r="G74" i="2"/>
  <c r="E64" i="2"/>
  <c r="I21" i="2"/>
  <c r="I79" i="2" s="1"/>
  <c r="J21" i="2" s="1"/>
  <c r="J79" i="2" s="1"/>
  <c r="K21" i="2" s="1"/>
  <c r="H40" i="2"/>
  <c r="H74" i="2"/>
  <c r="I74" i="2"/>
  <c r="J74" i="2"/>
  <c r="G40" i="2"/>
  <c r="W65" i="1"/>
  <c r="W14" i="1"/>
  <c r="X65" i="1"/>
  <c r="V65" i="1"/>
  <c r="V14" i="1"/>
  <c r="X48" i="1"/>
  <c r="X39" i="1"/>
  <c r="X35" i="1"/>
  <c r="X34" i="1"/>
  <c r="X20" i="1"/>
  <c r="X16" i="1"/>
  <c r="L21" i="2" l="1"/>
  <c r="K79" i="2"/>
  <c r="X21" i="1"/>
  <c r="X29" i="1"/>
  <c r="X47" i="1"/>
  <c r="W35" i="1"/>
  <c r="W34" i="1"/>
  <c r="W16" i="1"/>
  <c r="W29" i="1" s="1"/>
  <c r="W20" i="1" l="1"/>
  <c r="X23" i="1"/>
  <c r="X30" i="1"/>
  <c r="F52" i="2"/>
  <c r="F51" i="2"/>
  <c r="F34" i="2"/>
  <c r="G34" i="2" s="1"/>
  <c r="F31" i="2"/>
  <c r="F29" i="2"/>
  <c r="F25" i="2"/>
  <c r="F24" i="2"/>
  <c r="G24" i="2" s="1"/>
  <c r="F22" i="2"/>
  <c r="F47" i="2"/>
  <c r="U48" i="1"/>
  <c r="U35" i="1"/>
  <c r="U34" i="1"/>
  <c r="U20" i="1"/>
  <c r="G41" i="2" l="1"/>
  <c r="M24" i="2"/>
  <c r="N24" i="2" s="1"/>
  <c r="O24" i="2" s="1"/>
  <c r="P24" i="2" s="1"/>
  <c r="Q24" i="2" s="1"/>
  <c r="Q41" i="2" s="1"/>
  <c r="G42" i="2"/>
  <c r="M25" i="2"/>
  <c r="N25" i="2" s="1"/>
  <c r="O25" i="2" s="1"/>
  <c r="P25" i="2" s="1"/>
  <c r="F55" i="2"/>
  <c r="U39" i="1"/>
  <c r="X25" i="1"/>
  <c r="X26" i="1" s="1"/>
  <c r="X31" i="1"/>
  <c r="U47" i="1"/>
  <c r="F48" i="2"/>
  <c r="F46" i="2" s="1"/>
  <c r="G29" i="2" s="1"/>
  <c r="W21" i="1"/>
  <c r="U16" i="1"/>
  <c r="U29" i="1" s="1"/>
  <c r="F50" i="2"/>
  <c r="Q25" i="2" l="1"/>
  <c r="R25" i="2" s="1"/>
  <c r="S25" i="2" s="1"/>
  <c r="T25" i="2" s="1"/>
  <c r="U25" i="2" s="1"/>
  <c r="R24" i="2"/>
  <c r="W30" i="1"/>
  <c r="W23" i="1"/>
  <c r="U21" i="1"/>
  <c r="F54" i="2"/>
  <c r="F23" i="2"/>
  <c r="Q42" i="2" l="1"/>
  <c r="S24" i="2"/>
  <c r="R41" i="2"/>
  <c r="U30" i="1"/>
  <c r="U23" i="1"/>
  <c r="W31" i="1"/>
  <c r="W25" i="1"/>
  <c r="W26" i="1" s="1"/>
  <c r="T24" i="2" l="1"/>
  <c r="S41" i="2"/>
  <c r="U25" i="1"/>
  <c r="U31" i="1"/>
  <c r="U24" i="2" l="1"/>
  <c r="U41" i="2" s="1"/>
  <c r="T41" i="2"/>
  <c r="R42" i="2"/>
  <c r="U26" i="1"/>
  <c r="X36" i="1"/>
  <c r="X33" i="1"/>
  <c r="V35" i="1"/>
  <c r="V34" i="1"/>
  <c r="V20" i="1"/>
  <c r="S42" i="2" l="1"/>
  <c r="T16" i="1"/>
  <c r="T20" i="1"/>
  <c r="V16" i="1"/>
  <c r="C4" i="2"/>
  <c r="T34" i="1"/>
  <c r="T35" i="1"/>
  <c r="W36" i="1"/>
  <c r="S35" i="1"/>
  <c r="S34" i="1"/>
  <c r="E25" i="2"/>
  <c r="E24" i="2"/>
  <c r="E22" i="2"/>
  <c r="D31" i="2"/>
  <c r="D29" i="2"/>
  <c r="D24" i="2"/>
  <c r="D25" i="2"/>
  <c r="D22" i="2"/>
  <c r="C25" i="2"/>
  <c r="C24" i="2"/>
  <c r="C22" i="2"/>
  <c r="B31" i="2"/>
  <c r="B29" i="2"/>
  <c r="B20" i="1"/>
  <c r="C20" i="1"/>
  <c r="G20" i="1"/>
  <c r="C16" i="1"/>
  <c r="F16" i="1"/>
  <c r="D20" i="1"/>
  <c r="H20" i="1"/>
  <c r="B50" i="2"/>
  <c r="B47" i="2"/>
  <c r="C47" i="2"/>
  <c r="E20" i="1"/>
  <c r="I20" i="1"/>
  <c r="O20" i="1"/>
  <c r="L20" i="1"/>
  <c r="P20" i="1"/>
  <c r="D50" i="2"/>
  <c r="D47" i="2"/>
  <c r="M20" i="1"/>
  <c r="U36" i="1"/>
  <c r="E50" i="2"/>
  <c r="E47" i="2"/>
  <c r="P16" i="1"/>
  <c r="P29" i="1" s="1"/>
  <c r="O16" i="1"/>
  <c r="N20" i="1"/>
  <c r="R35" i="1"/>
  <c r="R34" i="1"/>
  <c r="N16" i="1"/>
  <c r="N29" i="1" s="1"/>
  <c r="R16" i="1"/>
  <c r="V36" i="1"/>
  <c r="J20" i="1"/>
  <c r="E51" i="2"/>
  <c r="E29" i="2"/>
  <c r="E31" i="2"/>
  <c r="Q48" i="1"/>
  <c r="E48" i="2"/>
  <c r="E52" i="2"/>
  <c r="E34" i="2"/>
  <c r="M16" i="1"/>
  <c r="M29" i="1" s="1"/>
  <c r="D48" i="2"/>
  <c r="E16" i="1"/>
  <c r="E48" i="1"/>
  <c r="B51" i="2"/>
  <c r="B52" i="2"/>
  <c r="C29" i="2"/>
  <c r="C31" i="2"/>
  <c r="C51" i="2"/>
  <c r="C52" i="2"/>
  <c r="B48" i="2"/>
  <c r="B34" i="2"/>
  <c r="C48" i="2"/>
  <c r="D51" i="2"/>
  <c r="D52" i="2"/>
  <c r="J16" i="1"/>
  <c r="I48" i="1"/>
  <c r="M48" i="1"/>
  <c r="B16" i="1"/>
  <c r="B29" i="1" s="1"/>
  <c r="D16" i="1"/>
  <c r="Q35" i="1"/>
  <c r="Q34" i="1"/>
  <c r="N35" i="1"/>
  <c r="N34" i="1"/>
  <c r="O35" i="1"/>
  <c r="O34" i="1"/>
  <c r="P35" i="1"/>
  <c r="P34" i="1"/>
  <c r="D34" i="2"/>
  <c r="C34" i="2"/>
  <c r="H34" i="2"/>
  <c r="I34" i="2" s="1"/>
  <c r="J34" i="2" s="1"/>
  <c r="K34" i="2" s="1"/>
  <c r="L34" i="2" s="1"/>
  <c r="M34" i="2" s="1"/>
  <c r="N34" i="2" s="1"/>
  <c r="O34" i="2" s="1"/>
  <c r="P34" i="2" s="1"/>
  <c r="R34" i="2" s="1"/>
  <c r="S34" i="2" s="1"/>
  <c r="T34" i="2" s="1"/>
  <c r="U34" i="2" s="1"/>
  <c r="F34" i="1"/>
  <c r="I34" i="1"/>
  <c r="M34" i="1"/>
  <c r="K34" i="1"/>
  <c r="J34" i="1"/>
  <c r="H34" i="1"/>
  <c r="L34" i="1"/>
  <c r="H35" i="1"/>
  <c r="I35" i="1"/>
  <c r="J35" i="1"/>
  <c r="K35" i="1"/>
  <c r="L35" i="1"/>
  <c r="M35" i="1"/>
  <c r="G35" i="1"/>
  <c r="G34" i="1"/>
  <c r="F35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R9" i="2" s="1"/>
  <c r="S9" i="2" s="1"/>
  <c r="T9" i="2" s="1"/>
  <c r="U9" i="2" s="1"/>
  <c r="C21" i="1" l="1"/>
  <c r="G33" i="1"/>
  <c r="L37" i="1"/>
  <c r="L36" i="1"/>
  <c r="M37" i="1"/>
  <c r="I33" i="1"/>
  <c r="T42" i="2"/>
  <c r="R33" i="1"/>
  <c r="L33" i="1"/>
  <c r="Q47" i="1"/>
  <c r="J36" i="1"/>
  <c r="B23" i="2"/>
  <c r="B36" i="2" s="1"/>
  <c r="M36" i="1"/>
  <c r="I39" i="1"/>
  <c r="S16" i="1"/>
  <c r="S29" i="1" s="1"/>
  <c r="W33" i="1"/>
  <c r="Q16" i="1"/>
  <c r="Q29" i="1" s="1"/>
  <c r="U33" i="1"/>
  <c r="D23" i="2"/>
  <c r="D36" i="2" s="1"/>
  <c r="D26" i="2"/>
  <c r="D27" i="2" s="1"/>
  <c r="K33" i="1"/>
  <c r="R20" i="1"/>
  <c r="V37" i="1" s="1"/>
  <c r="F26" i="2"/>
  <c r="I36" i="1"/>
  <c r="P36" i="1"/>
  <c r="H16" i="1"/>
  <c r="H29" i="1" s="1"/>
  <c r="F33" i="1"/>
  <c r="N36" i="1"/>
  <c r="J33" i="1"/>
  <c r="Q20" i="1"/>
  <c r="J21" i="1"/>
  <c r="J30" i="1" s="1"/>
  <c r="C42" i="2"/>
  <c r="V33" i="1"/>
  <c r="P33" i="1"/>
  <c r="G36" i="1"/>
  <c r="Q36" i="1"/>
  <c r="T21" i="1"/>
  <c r="T23" i="1" s="1"/>
  <c r="T25" i="1" s="1"/>
  <c r="X37" i="1"/>
  <c r="C55" i="2"/>
  <c r="E41" i="2"/>
  <c r="E46" i="2"/>
  <c r="B46" i="2"/>
  <c r="D55" i="2"/>
  <c r="E42" i="2"/>
  <c r="V21" i="1"/>
  <c r="V29" i="1"/>
  <c r="O21" i="1"/>
  <c r="O23" i="1" s="1"/>
  <c r="O29" i="1"/>
  <c r="C46" i="2"/>
  <c r="O36" i="1"/>
  <c r="K36" i="1"/>
  <c r="M33" i="1"/>
  <c r="E55" i="2"/>
  <c r="E54" i="2"/>
  <c r="M21" i="1"/>
  <c r="M30" i="1" s="1"/>
  <c r="B27" i="2"/>
  <c r="D42" i="2"/>
  <c r="M47" i="1"/>
  <c r="D46" i="2"/>
  <c r="I47" i="1"/>
  <c r="J29" i="1"/>
  <c r="B55" i="2"/>
  <c r="N33" i="1"/>
  <c r="Q39" i="1"/>
  <c r="P37" i="1"/>
  <c r="E39" i="1"/>
  <c r="D41" i="2"/>
  <c r="E29" i="1"/>
  <c r="E21" i="1"/>
  <c r="D29" i="1"/>
  <c r="D21" i="1"/>
  <c r="N37" i="1"/>
  <c r="T36" i="1"/>
  <c r="F29" i="1"/>
  <c r="D54" i="2"/>
  <c r="C23" i="1"/>
  <c r="C30" i="1"/>
  <c r="P21" i="1"/>
  <c r="F36" i="1"/>
  <c r="Q33" i="1"/>
  <c r="B21" i="1"/>
  <c r="B54" i="2"/>
  <c r="C50" i="2"/>
  <c r="C29" i="1"/>
  <c r="L16" i="1"/>
  <c r="N21" i="1"/>
  <c r="K20" i="1"/>
  <c r="K37" i="1" s="1"/>
  <c r="G16" i="1"/>
  <c r="M39" i="1"/>
  <c r="S33" i="1"/>
  <c r="S20" i="1"/>
  <c r="E47" i="1"/>
  <c r="C26" i="2"/>
  <c r="E26" i="2"/>
  <c r="H33" i="1"/>
  <c r="C23" i="2"/>
  <c r="R36" i="1"/>
  <c r="C6" i="2"/>
  <c r="C7" i="2" s="1"/>
  <c r="K16" i="1"/>
  <c r="R29" i="1"/>
  <c r="F20" i="1"/>
  <c r="J37" i="1" s="1"/>
  <c r="S36" i="1"/>
  <c r="I16" i="1"/>
  <c r="H36" i="1"/>
  <c r="O33" i="1"/>
  <c r="C41" i="2"/>
  <c r="T37" i="1"/>
  <c r="G43" i="2" l="1"/>
  <c r="G27" i="2"/>
  <c r="M26" i="2"/>
  <c r="N26" i="2" s="1"/>
  <c r="O26" i="2" s="1"/>
  <c r="P26" i="2" s="1"/>
  <c r="Q26" i="2" s="1"/>
  <c r="U42" i="2"/>
  <c r="E43" i="2"/>
  <c r="C40" i="2"/>
  <c r="J23" i="1"/>
  <c r="J25" i="1" s="1"/>
  <c r="Q21" i="1"/>
  <c r="Q30" i="1" s="1"/>
  <c r="O30" i="1"/>
  <c r="F27" i="2"/>
  <c r="F28" i="2" s="1"/>
  <c r="F30" i="2" s="1"/>
  <c r="T26" i="1"/>
  <c r="H21" i="1"/>
  <c r="H23" i="1" s="1"/>
  <c r="R21" i="1"/>
  <c r="R23" i="1" s="1"/>
  <c r="R31" i="1" s="1"/>
  <c r="U37" i="1"/>
  <c r="Q37" i="1"/>
  <c r="R37" i="1"/>
  <c r="B28" i="2"/>
  <c r="B37" i="2" s="1"/>
  <c r="S37" i="1"/>
  <c r="W37" i="1"/>
  <c r="D40" i="2"/>
  <c r="C54" i="2"/>
  <c r="C43" i="2"/>
  <c r="V30" i="1"/>
  <c r="V23" i="1"/>
  <c r="F21" i="1"/>
  <c r="F23" i="1" s="1"/>
  <c r="O37" i="1"/>
  <c r="M23" i="1"/>
  <c r="M25" i="1" s="1"/>
  <c r="O25" i="1"/>
  <c r="O31" i="1"/>
  <c r="T33" i="1"/>
  <c r="I29" i="1"/>
  <c r="I21" i="1"/>
  <c r="K21" i="1"/>
  <c r="K29" i="1"/>
  <c r="D28" i="2"/>
  <c r="D23" i="1"/>
  <c r="D30" i="1"/>
  <c r="E30" i="1"/>
  <c r="E23" i="1"/>
  <c r="C25" i="1"/>
  <c r="C26" i="1" s="1"/>
  <c r="C31" i="1"/>
  <c r="N30" i="1"/>
  <c r="N23" i="1"/>
  <c r="L29" i="1"/>
  <c r="L21" i="1"/>
  <c r="C36" i="2"/>
  <c r="B30" i="1"/>
  <c r="B23" i="1"/>
  <c r="F42" i="2"/>
  <c r="G21" i="1"/>
  <c r="G29" i="1"/>
  <c r="P23" i="1"/>
  <c r="P30" i="1"/>
  <c r="E40" i="2"/>
  <c r="E23" i="2"/>
  <c r="D43" i="2"/>
  <c r="S21" i="1"/>
  <c r="E27" i="2"/>
  <c r="E44" i="2" s="1"/>
  <c r="C27" i="2"/>
  <c r="C44" i="2" s="1"/>
  <c r="Q43" i="2" l="1"/>
  <c r="Q27" i="2"/>
  <c r="G44" i="2"/>
  <c r="H30" i="1"/>
  <c r="Q23" i="1"/>
  <c r="M31" i="1"/>
  <c r="R25" i="1"/>
  <c r="R26" i="1" s="1"/>
  <c r="J31" i="1"/>
  <c r="F30" i="1"/>
  <c r="N27" i="2"/>
  <c r="B30" i="2"/>
  <c r="B32" i="2" s="1"/>
  <c r="R30" i="1"/>
  <c r="V25" i="1"/>
  <c r="V31" i="1"/>
  <c r="F41" i="2"/>
  <c r="I30" i="1"/>
  <c r="I23" i="1"/>
  <c r="F31" i="1"/>
  <c r="F25" i="1"/>
  <c r="H25" i="1"/>
  <c r="H26" i="1" s="1"/>
  <c r="H31" i="1"/>
  <c r="S23" i="1"/>
  <c r="S30" i="1"/>
  <c r="D25" i="1"/>
  <c r="D26" i="1" s="1"/>
  <c r="D31" i="1"/>
  <c r="G30" i="1"/>
  <c r="G23" i="1"/>
  <c r="C28" i="2"/>
  <c r="D37" i="2"/>
  <c r="D30" i="2"/>
  <c r="B31" i="1"/>
  <c r="B25" i="1"/>
  <c r="P25" i="1"/>
  <c r="P31" i="1"/>
  <c r="D44" i="2"/>
  <c r="T29" i="1"/>
  <c r="L30" i="1"/>
  <c r="L23" i="1"/>
  <c r="M26" i="1"/>
  <c r="J26" i="1"/>
  <c r="F43" i="2"/>
  <c r="E28" i="2"/>
  <c r="E36" i="2"/>
  <c r="N31" i="1"/>
  <c r="N25" i="1"/>
  <c r="Q31" i="1"/>
  <c r="Q25" i="1"/>
  <c r="E31" i="1"/>
  <c r="E25" i="1"/>
  <c r="K30" i="1"/>
  <c r="K23" i="1"/>
  <c r="O26" i="1"/>
  <c r="F44" i="2"/>
  <c r="B38" i="2" l="1"/>
  <c r="O27" i="2"/>
  <c r="Q26" i="1"/>
  <c r="X50" i="1"/>
  <c r="V26" i="1"/>
  <c r="T30" i="1"/>
  <c r="H27" i="2"/>
  <c r="S31" i="1"/>
  <c r="S25" i="1"/>
  <c r="E50" i="1"/>
  <c r="B26" i="1"/>
  <c r="E26" i="1"/>
  <c r="E54" i="1"/>
  <c r="E53" i="1"/>
  <c r="E52" i="1"/>
  <c r="E51" i="1"/>
  <c r="I25" i="1"/>
  <c r="I26" i="1" s="1"/>
  <c r="I31" i="1"/>
  <c r="D32" i="2"/>
  <c r="D38" i="2"/>
  <c r="C37" i="2"/>
  <c r="C30" i="2"/>
  <c r="H42" i="2"/>
  <c r="F40" i="2"/>
  <c r="P26" i="1"/>
  <c r="K25" i="1"/>
  <c r="K31" i="1"/>
  <c r="L31" i="1"/>
  <c r="L25" i="1"/>
  <c r="N26" i="1"/>
  <c r="Q50" i="1"/>
  <c r="E37" i="2"/>
  <c r="E30" i="2"/>
  <c r="F26" i="1"/>
  <c r="G25" i="1"/>
  <c r="G26" i="1" s="1"/>
  <c r="G31" i="1"/>
  <c r="B57" i="2"/>
  <c r="B33" i="2"/>
  <c r="B58" i="2"/>
  <c r="B60" i="2"/>
  <c r="B59" i="2"/>
  <c r="P27" i="2" l="1"/>
  <c r="Q44" i="2" s="1"/>
  <c r="S26" i="1"/>
  <c r="U50" i="1"/>
  <c r="I50" i="1"/>
  <c r="I54" i="1" s="1"/>
  <c r="X54" i="1"/>
  <c r="X52" i="1"/>
  <c r="X53" i="1"/>
  <c r="X51" i="1"/>
  <c r="H44" i="2"/>
  <c r="H41" i="2"/>
  <c r="F36" i="2"/>
  <c r="G23" i="2" s="1"/>
  <c r="D60" i="2"/>
  <c r="D57" i="2"/>
  <c r="D59" i="2"/>
  <c r="D33" i="2"/>
  <c r="D58" i="2"/>
  <c r="H43" i="2"/>
  <c r="I42" i="2"/>
  <c r="C38" i="2"/>
  <c r="C32" i="2"/>
  <c r="E38" i="2"/>
  <c r="E32" i="2"/>
  <c r="Q54" i="1"/>
  <c r="Q53" i="1"/>
  <c r="Q52" i="1"/>
  <c r="Q51" i="1"/>
  <c r="L26" i="1"/>
  <c r="K26" i="1"/>
  <c r="M50" i="1"/>
  <c r="G36" i="2" l="1"/>
  <c r="G22" i="2"/>
  <c r="G28" i="2"/>
  <c r="R26" i="2"/>
  <c r="I53" i="1"/>
  <c r="I52" i="1"/>
  <c r="U54" i="1"/>
  <c r="U52" i="1"/>
  <c r="U53" i="1"/>
  <c r="U51" i="1"/>
  <c r="I51" i="1"/>
  <c r="C58" i="2"/>
  <c r="C57" i="2"/>
  <c r="C59" i="2"/>
  <c r="I27" i="2"/>
  <c r="I44" i="2" s="1"/>
  <c r="E60" i="2"/>
  <c r="E59" i="2"/>
  <c r="E57" i="2"/>
  <c r="I41" i="2"/>
  <c r="M54" i="1"/>
  <c r="M53" i="1"/>
  <c r="M52" i="1"/>
  <c r="M51" i="1"/>
  <c r="T31" i="1"/>
  <c r="E33" i="2"/>
  <c r="E58" i="2"/>
  <c r="J42" i="2"/>
  <c r="C60" i="2"/>
  <c r="C33" i="2"/>
  <c r="F37" i="2"/>
  <c r="I43" i="2"/>
  <c r="G37" i="2" l="1"/>
  <c r="G30" i="2"/>
  <c r="R43" i="2"/>
  <c r="S26" i="2"/>
  <c r="R27" i="2"/>
  <c r="R44" i="2" s="1"/>
  <c r="H23" i="2"/>
  <c r="H22" i="2" s="1"/>
  <c r="J27" i="2"/>
  <c r="J44" i="2" s="1"/>
  <c r="M21" i="2"/>
  <c r="N21" i="2" s="1"/>
  <c r="O21" i="2" s="1"/>
  <c r="P21" i="2" s="1"/>
  <c r="Q21" i="2" s="1"/>
  <c r="J41" i="2"/>
  <c r="F38" i="2"/>
  <c r="I40" i="2"/>
  <c r="K42" i="2"/>
  <c r="J43" i="2"/>
  <c r="Q40" i="2" l="1"/>
  <c r="G31" i="2"/>
  <c r="G38" i="2" s="1"/>
  <c r="R21" i="2"/>
  <c r="S21" i="2" s="1"/>
  <c r="T21" i="2" s="1"/>
  <c r="U21" i="2" s="1"/>
  <c r="S43" i="2"/>
  <c r="S27" i="2"/>
  <c r="S44" i="2" s="1"/>
  <c r="T26" i="2"/>
  <c r="H36" i="2"/>
  <c r="I23" i="2" s="1"/>
  <c r="I22" i="2" s="1"/>
  <c r="H28" i="2"/>
  <c r="H37" i="2" s="1"/>
  <c r="F32" i="2"/>
  <c r="K41" i="2"/>
  <c r="J40" i="2"/>
  <c r="K43" i="2"/>
  <c r="K27" i="2"/>
  <c r="K44" i="2" s="1"/>
  <c r="L42" i="2"/>
  <c r="G32" i="2" l="1"/>
  <c r="G46" i="2"/>
  <c r="G33" i="2"/>
  <c r="T43" i="2"/>
  <c r="U26" i="2"/>
  <c r="T27" i="2"/>
  <c r="T44" i="2" s="1"/>
  <c r="I36" i="2"/>
  <c r="J23" i="2" s="1"/>
  <c r="J36" i="2" s="1"/>
  <c r="K23" i="2" s="1"/>
  <c r="K22" i="2" s="1"/>
  <c r="I28" i="2"/>
  <c r="I37" i="2" s="1"/>
  <c r="F33" i="2"/>
  <c r="F57" i="2"/>
  <c r="F59" i="2"/>
  <c r="F58" i="2"/>
  <c r="F60" i="2"/>
  <c r="L41" i="2"/>
  <c r="M27" i="2"/>
  <c r="L43" i="2"/>
  <c r="K40" i="2"/>
  <c r="L27" i="2"/>
  <c r="L44" i="2" s="1"/>
  <c r="M42" i="2"/>
  <c r="J22" i="2" l="1"/>
  <c r="J28" i="2"/>
  <c r="J37" i="2" s="1"/>
  <c r="U43" i="2"/>
  <c r="U27" i="2"/>
  <c r="U44" i="2" s="1"/>
  <c r="M41" i="2"/>
  <c r="K28" i="2"/>
  <c r="K36" i="2"/>
  <c r="L23" i="2" s="1"/>
  <c r="L40" i="2"/>
  <c r="M44" i="2"/>
  <c r="N42" i="2"/>
  <c r="M43" i="2"/>
  <c r="N41" i="2" l="1"/>
  <c r="M40" i="2"/>
  <c r="O42" i="2"/>
  <c r="L28" i="2"/>
  <c r="L36" i="2"/>
  <c r="M23" i="2" s="1"/>
  <c r="K37" i="2"/>
  <c r="L22" i="2"/>
  <c r="N43" i="2"/>
  <c r="N44" i="2"/>
  <c r="O41" i="2" l="1"/>
  <c r="M28" i="2"/>
  <c r="M36" i="2"/>
  <c r="N23" i="2" s="1"/>
  <c r="M22" i="2"/>
  <c r="O43" i="2"/>
  <c r="L37" i="2"/>
  <c r="O44" i="2"/>
  <c r="P42" i="2"/>
  <c r="N40" i="2"/>
  <c r="P41" i="2" l="1"/>
  <c r="N36" i="2"/>
  <c r="O23" i="2" s="1"/>
  <c r="O22" i="2" s="1"/>
  <c r="N28" i="2"/>
  <c r="N22" i="2"/>
  <c r="O40" i="2"/>
  <c r="P44" i="2"/>
  <c r="H29" i="2"/>
  <c r="H30" i="2" s="1"/>
  <c r="P43" i="2"/>
  <c r="M37" i="2"/>
  <c r="H31" i="2" l="1"/>
  <c r="H38" i="2" s="1"/>
  <c r="N37" i="2"/>
  <c r="P40" i="2"/>
  <c r="O28" i="2"/>
  <c r="O36" i="2"/>
  <c r="P23" i="2" s="1"/>
  <c r="R40" i="2" l="1"/>
  <c r="H32" i="2"/>
  <c r="P28" i="2"/>
  <c r="P36" i="2"/>
  <c r="Q23" i="2" s="1"/>
  <c r="P22" i="2"/>
  <c r="O37" i="2"/>
  <c r="Q36" i="2" l="1"/>
  <c r="Q28" i="2"/>
  <c r="Q37" i="2" s="1"/>
  <c r="Q22" i="2"/>
  <c r="R23" i="2"/>
  <c r="S40" i="2"/>
  <c r="H33" i="2"/>
  <c r="H46" i="2"/>
  <c r="I29" i="2" s="1"/>
  <c r="I30" i="2" s="1"/>
  <c r="P37" i="2"/>
  <c r="T40" i="2" l="1"/>
  <c r="R36" i="2"/>
  <c r="S23" i="2" s="1"/>
  <c r="R28" i="2"/>
  <c r="R22" i="2"/>
  <c r="I31" i="2"/>
  <c r="I38" i="2" s="1"/>
  <c r="R37" i="2" l="1"/>
  <c r="S36" i="2"/>
  <c r="T23" i="2" s="1"/>
  <c r="S28" i="2"/>
  <c r="S22" i="2"/>
  <c r="U40" i="2"/>
  <c r="I32" i="2"/>
  <c r="I46" i="2" l="1"/>
  <c r="S37" i="2"/>
  <c r="T22" i="2"/>
  <c r="T36" i="2"/>
  <c r="U23" i="2" s="1"/>
  <c r="T28" i="2"/>
  <c r="I33" i="2"/>
  <c r="J29" i="2"/>
  <c r="J30" i="2" s="1"/>
  <c r="T37" i="2" l="1"/>
  <c r="U36" i="2"/>
  <c r="U28" i="2"/>
  <c r="U22" i="2"/>
  <c r="J31" i="2"/>
  <c r="J38" i="2" s="1"/>
  <c r="U37" i="2" l="1"/>
  <c r="J32" i="2"/>
  <c r="J33" i="2" l="1"/>
  <c r="J46" i="2"/>
  <c r="K29" i="2" s="1"/>
  <c r="K30" i="2" s="1"/>
  <c r="K31" i="2" l="1"/>
  <c r="K38" i="2" s="1"/>
  <c r="K32" i="2" l="1"/>
  <c r="K33" i="2" s="1"/>
  <c r="K46" i="2" l="1"/>
  <c r="L29" i="2" s="1"/>
  <c r="L30" i="2" s="1"/>
  <c r="L31" i="2" l="1"/>
  <c r="L38" i="2" s="1"/>
  <c r="L32" i="2" l="1"/>
  <c r="L33" i="2" s="1"/>
  <c r="L46" i="2" l="1"/>
  <c r="M29" i="2" s="1"/>
  <c r="M30" i="2" s="1"/>
  <c r="M31" i="2" l="1"/>
  <c r="M38" i="2" s="1"/>
  <c r="M32" i="2" l="1"/>
  <c r="M33" i="2" l="1"/>
  <c r="M46" i="2"/>
  <c r="N29" i="2" l="1"/>
  <c r="N30" i="2" s="1"/>
  <c r="N31" i="2" l="1"/>
  <c r="N38" i="2" s="1"/>
  <c r="N32" i="2" l="1"/>
  <c r="N33" i="2" s="1"/>
  <c r="N46" i="2"/>
  <c r="O29" i="2" l="1"/>
  <c r="O30" i="2" s="1"/>
  <c r="O31" i="2" l="1"/>
  <c r="O38" i="2" s="1"/>
  <c r="O32" i="2" l="1"/>
  <c r="O33" i="2" s="1"/>
  <c r="O46" i="2"/>
  <c r="P29" i="2" l="1"/>
  <c r="P30" i="2" s="1"/>
  <c r="P31" i="2" l="1"/>
  <c r="P38" i="2" s="1"/>
  <c r="P32" i="2" l="1"/>
  <c r="P33" i="2" l="1"/>
  <c r="P46" i="2"/>
  <c r="Q29" i="2" l="1"/>
  <c r="Q30" i="2" s="1"/>
  <c r="Q31" i="2" l="1"/>
  <c r="Q38" i="2" s="1"/>
  <c r="Q32" i="2" l="1"/>
  <c r="Q33" i="2"/>
  <c r="Q46" i="2"/>
  <c r="R29" i="2" s="1"/>
  <c r="R30" i="2" s="1"/>
  <c r="R31" i="2" s="1"/>
  <c r="R38" i="2" s="1"/>
  <c r="R32" i="2" l="1"/>
  <c r="R33" i="2" s="1"/>
  <c r="R46" i="2"/>
  <c r="S29" i="2" s="1"/>
  <c r="S30" i="2" s="1"/>
  <c r="S31" i="2" l="1"/>
  <c r="S38" i="2" s="1"/>
  <c r="S32" i="2" l="1"/>
  <c r="S33" i="2" l="1"/>
  <c r="S46" i="2"/>
  <c r="T29" i="2" l="1"/>
  <c r="T30" i="2" s="1"/>
  <c r="T31" i="2" l="1"/>
  <c r="T38" i="2" s="1"/>
  <c r="T32" i="2" l="1"/>
  <c r="T33" i="2" s="1"/>
  <c r="T46" i="2"/>
  <c r="U29" i="2" l="1"/>
  <c r="U30" i="2" s="1"/>
  <c r="U31" i="2" l="1"/>
  <c r="U38" i="2" s="1"/>
  <c r="U32" i="2" l="1"/>
  <c r="V32" i="2" s="1"/>
  <c r="U33" i="2" l="1"/>
  <c r="U46" i="2"/>
  <c r="W32" i="2" l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GK32" i="2" s="1"/>
  <c r="GL32" i="2" s="1"/>
  <c r="GM32" i="2" s="1"/>
  <c r="GN32" i="2" s="1"/>
  <c r="GO32" i="2" s="1"/>
  <c r="GP32" i="2" s="1"/>
  <c r="GQ32" i="2" s="1"/>
  <c r="F5" i="2" s="1"/>
  <c r="F6" i="2" l="1"/>
  <c r="F7" i="2" s="1"/>
  <c r="G7" i="2" s="1"/>
</calcChain>
</file>

<file path=xl/sharedStrings.xml><?xml version="1.0" encoding="utf-8"?>
<sst xmlns="http://schemas.openxmlformats.org/spreadsheetml/2006/main" count="171" uniqueCount="111">
  <si>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</si>
  <si>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</si>
  <si>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</si>
  <si>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</si>
  <si>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</si>
  <si>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</si>
  <si>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</si>
  <si>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</si>
  <si>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</si>
  <si>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</si>
  <si>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</si>
  <si>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</si>
  <si>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</si>
  <si>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</si>
  <si>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</si>
  <si>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</si>
  <si>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</si>
  <si>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</si>
  <si>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</si>
  <si>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</si>
  <si>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</si>
  <si>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</si>
  <si>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</si>
  <si>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</si>
  <si>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</si>
  <si>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</si>
  <si>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</si>
  <si>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</si>
  <si>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</si>
  <si>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</si>
  <si>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</si>
  <si>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</si>
  <si>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</si>
  <si>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</si>
  <si>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</si>
  <si>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</si>
  <si>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</si>
  <si>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</si>
  <si>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</si>
  <si>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</si>
  <si>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</si>
  <si>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</si>
  <si>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</si>
  <si>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</si>
  <si>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</si>
  <si>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</si>
  <si>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</si>
  <si>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</si>
  <si>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</si>
  <si>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</si>
  <si>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</si>
  <si>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</si>
  <si>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</si>
  <si>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</si>
  <si>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</si>
  <si>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</si>
  <si>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</si>
  <si>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</si>
  <si>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</si>
  <si>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</si>
  <si>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</si>
  <si>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</si>
  <si>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</si>
  <si>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</si>
  <si>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</si>
  <si>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</si>
  <si>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</si>
  <si>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</si>
  <si>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</si>
  <si>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</si>
  <si>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</si>
  <si>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</si>
  <si>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</si>
  <si>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</si>
  <si>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</si>
  <si>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</si>
  <si>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PRODUCTS</t>
  </si>
  <si>
    <t>Q121</t>
  </si>
  <si>
    <t>Q221</t>
  </si>
  <si>
    <t>Q321</t>
  </si>
  <si>
    <t>Q421</t>
  </si>
  <si>
    <t>MercadoLibre Inc (MELI)</t>
  </si>
  <si>
    <t>Active users</t>
  </si>
  <si>
    <t>ARPU</t>
  </si>
  <si>
    <t>Active users y/y</t>
  </si>
  <si>
    <t>APRU y/y</t>
  </si>
  <si>
    <t>GMV</t>
  </si>
  <si>
    <t>GMV y/y</t>
  </si>
  <si>
    <t>TPV</t>
  </si>
  <si>
    <t>TPV y/y</t>
  </si>
  <si>
    <t>E-commerce</t>
  </si>
  <si>
    <t>Fintech</t>
  </si>
  <si>
    <t>E-commerce y/y</t>
  </si>
  <si>
    <t>Fintech y/y</t>
  </si>
  <si>
    <t>Brazil</t>
  </si>
  <si>
    <t>Argentina</t>
  </si>
  <si>
    <t>Mexico</t>
  </si>
  <si>
    <t>Others</t>
  </si>
  <si>
    <t>Mercado Pago</t>
  </si>
  <si>
    <t>Mercado Fondo</t>
  </si>
  <si>
    <t>Mobile payments</t>
  </si>
  <si>
    <t>Mobile savings, MPOS</t>
  </si>
  <si>
    <t>Brazil y/y</t>
  </si>
  <si>
    <t>Argentina y/y</t>
  </si>
  <si>
    <t>Mexico y/y</t>
  </si>
  <si>
    <t>Others y/y</t>
  </si>
  <si>
    <t>2017-0930</t>
  </si>
  <si>
    <t>Stelleo Tolda</t>
  </si>
  <si>
    <t>Marcos Galperin</t>
  </si>
  <si>
    <t>ARPU y/y</t>
  </si>
  <si>
    <t>R/GMV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</si>
</sst>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4" applyBorder="1" applyAlignment="1">
      <alignment horizontal="left"/>
    </xf>
    <xf numFmtId="9" fontId="6" fillId="0" borderId="0" xfId="0" applyNumberFormat="1" applyFont="1" applyBorder="1" applyAlignment="1">
      <alignment horizontal="left"/>
    </xf>
    <xf numFmtId="9" fontId="6" fillId="0" borderId="0" xfId="0" applyNumberFormat="1" applyFont="1" applyBorder="1"/>
    <xf numFmtId="0" fontId="4" fillId="0" borderId="0" xfId="4" applyBorder="1"/>
    <xf numFmtId="0" fontId="4" fillId="0" borderId="0" xfId="4"/>
    <xf numFmtId="9" fontId="4" fillId="0" borderId="0" xfId="4" applyNumberFormat="1" applyFont="1" applyBorder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7</xdr:row>
      <xdr:rowOff>152400</xdr:rowOff>
    </xdr:from>
    <xdr:to>
      <xdr:col>6</xdr:col>
      <xdr:colOff>205740</xdr:colOff>
      <xdr:row>79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875020" y="1290320"/>
          <a:ext cx="0" cy="117043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195580</xdr:colOff>
      <xdr:row>0</xdr:row>
      <xdr:rowOff>152400</xdr:rowOff>
    </xdr:from>
    <xdr:to>
      <xdr:col>24</xdr:col>
      <xdr:colOff>195580</xdr:colOff>
      <xdr:row>73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78140" y="152400"/>
          <a:ext cx="0" cy="118668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telleo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://investor.mercadolibre.com/investor-relation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witter.com/marcos_galperin" TargetMode="External"/><Relationship Id="rId4" Type="http://schemas.openxmlformats.org/officeDocument/2006/relationships/hyperlink" Target="https://twitter.com/stelle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09959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79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51" sqref="H51"/>
    </sheetView>
  </sheetViews>
  <sheetFormatPr baseColWidth="10" defaultRowHeight="13" x14ac:dyDescent="0.15"/>
  <cols>
    <col min="1" max="1" width="20.33203125" style="2" bestFit="1" customWidth="1"/>
    <col min="2" max="16384" width="10.83203125" style="2"/>
  </cols>
  <sheetData>
    <row r="1" spans="1:116" x14ac:dyDescent="0.15">
      <c r="A1" s="76" t="s">
        <v>66</v>
      </c>
      <c r="B1" s="1" t="s">
        <v>81</v>
      </c>
    </row>
    <row r="2" spans="1:116" x14ac:dyDescent="0.15">
      <c r="B2" s="2" t="s">
        <v>48</v>
      </c>
      <c r="C2" s="3">
        <v>1941.58</v>
      </c>
      <c r="D2" s="60">
        <v>44239</v>
      </c>
      <c r="E2" s="5" t="s">
        <v>29</v>
      </c>
      <c r="F2" s="6">
        <v>-0.01</v>
      </c>
      <c r="I2" s="15"/>
      <c r="L2" s="1"/>
    </row>
    <row r="3" spans="1:116" x14ac:dyDescent="0.15">
      <c r="A3" s="1" t="s">
        <v>46</v>
      </c>
      <c r="B3" s="2" t="s">
        <v>17</v>
      </c>
      <c r="C3" s="7">
        <f>Reports!X27</f>
        <v>49.710723000000002</v>
      </c>
      <c r="D3" s="61" t="s">
        <v>75</v>
      </c>
      <c r="E3" s="5" t="s">
        <v>30</v>
      </c>
      <c r="F3" s="6">
        <v>0.02</v>
      </c>
      <c r="G3" s="4" t="s">
        <v>67</v>
      </c>
      <c r="I3" s="15"/>
    </row>
    <row r="4" spans="1:116" x14ac:dyDescent="0.15">
      <c r="A4" s="77" t="s">
        <v>107</v>
      </c>
      <c r="B4" s="2" t="s">
        <v>49</v>
      </c>
      <c r="C4" s="9">
        <f>C2*C3</f>
        <v>96517.345562339993</v>
      </c>
      <c r="D4" s="61"/>
      <c r="E4" s="5" t="s">
        <v>31</v>
      </c>
      <c r="F4" s="6">
        <v>7.0000000000000007E-2</v>
      </c>
      <c r="G4" s="4" t="s">
        <v>71</v>
      </c>
      <c r="I4" s="18"/>
      <c r="L4" s="8" t="s">
        <v>72</v>
      </c>
    </row>
    <row r="5" spans="1:116" x14ac:dyDescent="0.15">
      <c r="B5" s="2" t="s">
        <v>26</v>
      </c>
      <c r="C5" s="7">
        <f>Reports!X39</f>
        <v>2582</v>
      </c>
      <c r="D5" s="61" t="s">
        <v>75</v>
      </c>
      <c r="E5" s="5" t="s">
        <v>32</v>
      </c>
      <c r="F5" s="10">
        <f>NPV(F4,G32:GQ32)</f>
        <v>38642.222463766469</v>
      </c>
      <c r="G5" s="4" t="s">
        <v>73</v>
      </c>
      <c r="I5" s="18"/>
    </row>
    <row r="6" spans="1:116" x14ac:dyDescent="0.15">
      <c r="A6" s="1" t="s">
        <v>47</v>
      </c>
      <c r="B6" s="2" t="s">
        <v>50</v>
      </c>
      <c r="C6" s="9">
        <f>C4-C5</f>
        <v>93935.345562339993</v>
      </c>
      <c r="D6" s="61"/>
      <c r="E6" s="11" t="s">
        <v>33</v>
      </c>
      <c r="F6" s="12">
        <f>F5+C5</f>
        <v>41224.222463766469</v>
      </c>
      <c r="I6" s="18"/>
    </row>
    <row r="7" spans="1:116" x14ac:dyDescent="0.15">
      <c r="A7" s="77" t="s">
        <v>107</v>
      </c>
      <c r="B7" s="4" t="s">
        <v>51</v>
      </c>
      <c r="C7" s="43">
        <f>C6/C3</f>
        <v>1889.6394961372819</v>
      </c>
      <c r="D7" s="61"/>
      <c r="E7" s="13" t="s">
        <v>51</v>
      </c>
      <c r="F7" s="42">
        <f>F6/C3</f>
        <v>829.28229516529996</v>
      </c>
      <c r="G7" s="18">
        <f>F7/C2-1</f>
        <v>-0.57288275777186626</v>
      </c>
    </row>
    <row r="8" spans="1:116" x14ac:dyDescent="0.15">
      <c r="A8" s="77" t="s">
        <v>108</v>
      </c>
      <c r="E8" s="5"/>
      <c r="F8" s="14"/>
    </row>
    <row r="9" spans="1:116" x14ac:dyDescent="0.15">
      <c r="B9" s="38">
        <v>2015</v>
      </c>
      <c r="C9" s="38">
        <v>2016</v>
      </c>
      <c r="D9" s="38">
        <v>2017</v>
      </c>
      <c r="E9" s="38">
        <f>D9+1</f>
        <v>2018</v>
      </c>
      <c r="F9" s="38">
        <f t="shared" ref="F9:U9" si="0">E9+1</f>
        <v>2019</v>
      </c>
      <c r="G9" s="38">
        <f t="shared" si="0"/>
        <v>2020</v>
      </c>
      <c r="H9" s="38">
        <f t="shared" si="0"/>
        <v>2021</v>
      </c>
      <c r="I9" s="38">
        <f t="shared" si="0"/>
        <v>2022</v>
      </c>
      <c r="J9" s="38">
        <f t="shared" si="0"/>
        <v>2023</v>
      </c>
      <c r="K9" s="38">
        <f t="shared" si="0"/>
        <v>2024</v>
      </c>
      <c r="L9" s="38">
        <f t="shared" si="0"/>
        <v>2025</v>
      </c>
      <c r="M9" s="38">
        <f t="shared" si="0"/>
        <v>2026</v>
      </c>
      <c r="N9" s="38">
        <f t="shared" si="0"/>
        <v>2027</v>
      </c>
      <c r="O9" s="38">
        <f t="shared" si="0"/>
        <v>2028</v>
      </c>
      <c r="P9" s="38">
        <f t="shared" si="0"/>
        <v>2029</v>
      </c>
      <c r="Q9" s="38">
        <f t="shared" si="0"/>
        <v>2030</v>
      </c>
      <c r="R9" s="38">
        <f t="shared" si="0"/>
        <v>2031</v>
      </c>
      <c r="S9" s="38">
        <f t="shared" si="0"/>
        <v>2032</v>
      </c>
      <c r="T9" s="38">
        <f t="shared" si="0"/>
        <v>2033</v>
      </c>
      <c r="U9" s="38">
        <f t="shared" si="0"/>
        <v>2034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</row>
    <row r="10" spans="1:116" x14ac:dyDescent="0.15">
      <c r="A10" s="64" t="s">
        <v>94</v>
      </c>
      <c r="B10" s="37">
        <f>SUM(Reports!B3:E3)</f>
        <v>290.60199999999998</v>
      </c>
      <c r="C10" s="37">
        <f>SUM(Reports!F3:I3)</f>
        <v>455.024</v>
      </c>
      <c r="D10" s="37">
        <f>SUM(Reports!J3:M3)</f>
        <v>690.90000000000009</v>
      </c>
      <c r="E10" s="37">
        <f>SUM(Reports!N3:Q3)</f>
        <v>866.19999999999993</v>
      </c>
      <c r="F10" s="37">
        <f>SUM(Reports!R3:U3)</f>
        <v>1461.4999999999998</v>
      </c>
      <c r="G10" s="37">
        <f>SUM(Reports!V3:Y3)</f>
        <v>2115.8500000000004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</row>
    <row r="11" spans="1:116" x14ac:dyDescent="0.15">
      <c r="A11" s="64" t="s">
        <v>95</v>
      </c>
      <c r="B11" s="37">
        <f>SUM(Reports!B4:E4)</f>
        <v>245.01</v>
      </c>
      <c r="C11" s="37">
        <f>SUM(Reports!F4:I4)</f>
        <v>262.25200000000001</v>
      </c>
      <c r="D11" s="37">
        <f>SUM(Reports!J4:M4)</f>
        <v>359.4</v>
      </c>
      <c r="E11" s="37">
        <f>SUM(Reports!N4:Q4)</f>
        <v>376.5</v>
      </c>
      <c r="F11" s="37">
        <f>SUM(Reports!R4:U4)</f>
        <v>456.29999999999995</v>
      </c>
      <c r="G11" s="37">
        <f>SUM(Reports!V4:Y4)</f>
        <v>987.8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</row>
    <row r="12" spans="1:116" x14ac:dyDescent="0.15">
      <c r="A12" s="64" t="s">
        <v>96</v>
      </c>
      <c r="B12" s="37">
        <f>SUM(Reports!B5:E5)</f>
        <v>40.338000000000001</v>
      </c>
      <c r="C12" s="37">
        <f>SUM(Reports!F5:I5)</f>
        <v>46.332000000000001</v>
      </c>
      <c r="D12" s="37">
        <f>SUM(Reports!J5:M5)</f>
        <v>51.3</v>
      </c>
      <c r="E12" s="37">
        <f>SUM(Reports!N5:Q5)</f>
        <v>109.1</v>
      </c>
      <c r="F12" s="37">
        <f>SUM(Reports!R5:U5)</f>
        <v>275.2</v>
      </c>
      <c r="G12" s="37">
        <f>SUM(Reports!V5:Y5)</f>
        <v>540.70000000000005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</row>
    <row r="13" spans="1:116" x14ac:dyDescent="0.15">
      <c r="A13" s="64" t="s">
        <v>97</v>
      </c>
      <c r="B13" s="37">
        <f>SUM(Reports!B6:E6)</f>
        <v>75.84</v>
      </c>
      <c r="C13" s="37">
        <f>SUM(Reports!F6:I6)</f>
        <v>80.778999999999996</v>
      </c>
      <c r="D13" s="37">
        <f>SUM(Reports!J6:M6)</f>
        <v>115.20000000000002</v>
      </c>
      <c r="E13" s="37">
        <f>SUM(Reports!N6:Q6)</f>
        <v>87.8</v>
      </c>
      <c r="F13" s="37">
        <f>SUM(Reports!R6:U6)</f>
        <v>103.3</v>
      </c>
      <c r="G13" s="37">
        <f>SUM(Reports!V6:Y6)</f>
        <v>218.55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</row>
    <row r="14" spans="1:116" x14ac:dyDescent="0.15">
      <c r="A14" s="63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</row>
    <row r="15" spans="1:116" x14ac:dyDescent="0.15">
      <c r="A15" s="64" t="s">
        <v>90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</row>
    <row r="16" spans="1:116" x14ac:dyDescent="0.15">
      <c r="A16" s="64" t="s">
        <v>91</v>
      </c>
      <c r="B16" s="22"/>
      <c r="C16" s="22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</row>
    <row r="17" spans="1:199" x14ac:dyDescent="0.15">
      <c r="A17" s="7"/>
      <c r="B17" s="22"/>
      <c r="C17" s="22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</row>
    <row r="18" spans="1:199" x14ac:dyDescent="0.15">
      <c r="A18" s="64" t="s">
        <v>82</v>
      </c>
      <c r="B18" s="22"/>
      <c r="C18" s="22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</row>
    <row r="19" spans="1:199" x14ac:dyDescent="0.15">
      <c r="A19" s="64" t="s">
        <v>83</v>
      </c>
      <c r="B19" s="22"/>
      <c r="C19" s="22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</row>
    <row r="20" spans="1:199" s="38" customFormat="1" x14ac:dyDescent="0.15">
      <c r="F20" s="37"/>
      <c r="H20" s="37"/>
      <c r="I20" s="37"/>
    </row>
    <row r="21" spans="1:199" x14ac:dyDescent="0.15">
      <c r="A21" s="1" t="s">
        <v>4</v>
      </c>
      <c r="B21" s="23">
        <f>SUM(B10:B13)</f>
        <v>651.79</v>
      </c>
      <c r="C21" s="23">
        <f>SUM(C10:C13)</f>
        <v>844.38700000000006</v>
      </c>
      <c r="D21" s="23">
        <f>SUM(D10:D13)</f>
        <v>1216.8000000000002</v>
      </c>
      <c r="E21" s="23">
        <f>SUM(E10:E13)</f>
        <v>1439.5999999999997</v>
      </c>
      <c r="F21" s="23">
        <f>SUM(F10:F13)</f>
        <v>2296.2999999999997</v>
      </c>
      <c r="G21" s="23">
        <f>SUM(G10:G13)</f>
        <v>3862.9000000000005</v>
      </c>
      <c r="H21" s="46">
        <f>H73*G79</f>
        <v>4635.4800000000005</v>
      </c>
      <c r="I21" s="46">
        <f>I73*H79</f>
        <v>5562.576</v>
      </c>
      <c r="J21" s="46">
        <f>J73*I79</f>
        <v>6675.0911999999989</v>
      </c>
      <c r="K21" s="46">
        <f>K73*J79</f>
        <v>8010.1094399999984</v>
      </c>
      <c r="L21" s="46">
        <f t="shared" ref="L21:Q21" si="1">K21*1.1</f>
        <v>8811.120383999998</v>
      </c>
      <c r="M21" s="46">
        <f t="shared" si="1"/>
        <v>9692.2324223999985</v>
      </c>
      <c r="N21" s="46">
        <f t="shared" si="1"/>
        <v>10661.45566464</v>
      </c>
      <c r="O21" s="46">
        <f t="shared" si="1"/>
        <v>11727.601231104001</v>
      </c>
      <c r="P21" s="46">
        <f t="shared" si="1"/>
        <v>12900.361354214403</v>
      </c>
      <c r="Q21" s="46">
        <f t="shared" ref="Q21:U21" si="2">P21*1.05</f>
        <v>13545.379421925123</v>
      </c>
      <c r="R21" s="46">
        <f t="shared" si="2"/>
        <v>14222.64839302138</v>
      </c>
      <c r="S21" s="46">
        <f t="shared" si="2"/>
        <v>14933.78081267245</v>
      </c>
      <c r="T21" s="46">
        <f t="shared" si="2"/>
        <v>15680.469853306073</v>
      </c>
      <c r="U21" s="46">
        <f t="shared" si="2"/>
        <v>16464.493345971376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</row>
    <row r="22" spans="1:199" x14ac:dyDescent="0.15">
      <c r="A22" s="2" t="s">
        <v>5</v>
      </c>
      <c r="B22" s="37">
        <f>SUM(Reports!B15:E15)</f>
        <v>214.994</v>
      </c>
      <c r="C22" s="22">
        <f>SUM(Reports!F15:I15)</f>
        <v>307.53899999999999</v>
      </c>
      <c r="D22" s="37">
        <f>SUM(Reports!J15:M15)</f>
        <v>496.94200000000001</v>
      </c>
      <c r="E22" s="37">
        <f>SUM(Reports!N15:Q15)</f>
        <v>742.64499999999998</v>
      </c>
      <c r="F22" s="37">
        <f>SUM(Reports!R15:U15)</f>
        <v>1194.191</v>
      </c>
      <c r="G22" s="22">
        <f t="shared" ref="G22:H22" si="3">G21-G23</f>
        <v>2008.9014562121681</v>
      </c>
      <c r="H22" s="22">
        <f t="shared" si="3"/>
        <v>2410.6817474546015</v>
      </c>
      <c r="I22" s="22">
        <f t="shared" ref="I22:Q22" si="4">I21-I23</f>
        <v>2892.8180969455216</v>
      </c>
      <c r="J22" s="22">
        <f t="shared" si="4"/>
        <v>3471.3817163346253</v>
      </c>
      <c r="K22" s="22">
        <f>K21-K23</f>
        <v>4165.6580596015501</v>
      </c>
      <c r="L22" s="22">
        <f t="shared" si="4"/>
        <v>4582.2238655617048</v>
      </c>
      <c r="M22" s="22">
        <f t="shared" si="4"/>
        <v>5040.4462521178757</v>
      </c>
      <c r="N22" s="22">
        <f t="shared" si="4"/>
        <v>5544.4908773296638</v>
      </c>
      <c r="O22" s="22">
        <f t="shared" si="4"/>
        <v>6098.939965062631</v>
      </c>
      <c r="P22" s="22">
        <f t="shared" si="4"/>
        <v>6708.8339615688947</v>
      </c>
      <c r="Q22" s="22">
        <f t="shared" si="4"/>
        <v>7044.27565964734</v>
      </c>
      <c r="R22" s="22">
        <f t="shared" ref="Q22:U22" si="5">R21-R23</f>
        <v>7396.4894426297078</v>
      </c>
      <c r="S22" s="22">
        <f t="shared" si="5"/>
        <v>7766.3139147611937</v>
      </c>
      <c r="T22" s="22">
        <f t="shared" si="5"/>
        <v>8154.6296104992534</v>
      </c>
      <c r="U22" s="22">
        <f t="shared" si="5"/>
        <v>8562.3610910242169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</row>
    <row r="23" spans="1:199" x14ac:dyDescent="0.15">
      <c r="A23" s="2" t="s">
        <v>6</v>
      </c>
      <c r="B23" s="26">
        <f t="shared" ref="B23:F23" si="6">B21-B22</f>
        <v>436.79599999999994</v>
      </c>
      <c r="C23" s="26">
        <f t="shared" si="6"/>
        <v>536.84800000000007</v>
      </c>
      <c r="D23" s="26">
        <f t="shared" si="6"/>
        <v>719.85800000000017</v>
      </c>
      <c r="E23" s="26">
        <f t="shared" si="6"/>
        <v>696.9549999999997</v>
      </c>
      <c r="F23" s="26">
        <f t="shared" si="6"/>
        <v>1102.1089999999997</v>
      </c>
      <c r="G23" s="22">
        <f t="shared" ref="G23:U23" si="7">G21*F36</f>
        <v>1853.9985437878324</v>
      </c>
      <c r="H23" s="22">
        <f t="shared" si="7"/>
        <v>2224.798252545399</v>
      </c>
      <c r="I23" s="22">
        <f t="shared" si="7"/>
        <v>2669.7579030544784</v>
      </c>
      <c r="J23" s="22">
        <f t="shared" si="7"/>
        <v>3203.7094836653737</v>
      </c>
      <c r="K23" s="22">
        <f>K21*J36</f>
        <v>3844.4513803984482</v>
      </c>
      <c r="L23" s="22">
        <f t="shared" si="7"/>
        <v>4228.8965184382932</v>
      </c>
      <c r="M23" s="22">
        <f t="shared" si="7"/>
        <v>4651.7861702821228</v>
      </c>
      <c r="N23" s="22">
        <f t="shared" si="7"/>
        <v>5116.9647873103359</v>
      </c>
      <c r="O23" s="22">
        <f t="shared" si="7"/>
        <v>5628.6612660413703</v>
      </c>
      <c r="P23" s="22">
        <f t="shared" si="7"/>
        <v>6191.5273926455084</v>
      </c>
      <c r="Q23" s="22">
        <f t="shared" si="7"/>
        <v>6501.1037622777831</v>
      </c>
      <c r="R23" s="22">
        <f t="shared" si="7"/>
        <v>6826.1589503916721</v>
      </c>
      <c r="S23" s="22">
        <f t="shared" si="7"/>
        <v>7167.4668979112566</v>
      </c>
      <c r="T23" s="22">
        <f t="shared" si="7"/>
        <v>7525.8402428068193</v>
      </c>
      <c r="U23" s="22">
        <f t="shared" si="7"/>
        <v>7902.1322549471597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</row>
    <row r="24" spans="1:199" x14ac:dyDescent="0.15">
      <c r="A24" s="2" t="s">
        <v>7</v>
      </c>
      <c r="B24" s="37">
        <f>SUM(Reports!B17:E17)</f>
        <v>76</v>
      </c>
      <c r="C24" s="22">
        <f>SUM(Reports!F17:I17)</f>
        <v>98</v>
      </c>
      <c r="D24" s="37">
        <f>SUM(Reports!J17:M17)</f>
        <v>126</v>
      </c>
      <c r="E24" s="37">
        <f>SUM(Reports!N17:Q17)</f>
        <v>145</v>
      </c>
      <c r="F24" s="37">
        <f>SUM(Reports!R17:U17)</f>
        <v>223</v>
      </c>
      <c r="G24" s="22">
        <f>F24*1.45</f>
        <v>323.34999999999997</v>
      </c>
      <c r="H24" s="22">
        <f>G24*1.15</f>
        <v>371.85249999999991</v>
      </c>
      <c r="I24" s="22">
        <f t="shared" ref="I24:K24" si="8">H24*1.15</f>
        <v>427.63037499999984</v>
      </c>
      <c r="J24" s="22">
        <f t="shared" si="8"/>
        <v>491.77493124999978</v>
      </c>
      <c r="K24" s="22">
        <f t="shared" si="8"/>
        <v>565.54117093749971</v>
      </c>
      <c r="L24" s="22">
        <f t="shared" ref="L24:M24" si="9">K24*1.1</f>
        <v>622.09528803124977</v>
      </c>
      <c r="M24" s="22">
        <f t="shared" si="9"/>
        <v>684.30481683437483</v>
      </c>
      <c r="N24" s="22">
        <f t="shared" ref="N24" si="10">M24*1.1</f>
        <v>752.73529851781234</v>
      </c>
      <c r="O24" s="22">
        <f t="shared" ref="O24" si="11">N24*1.1</f>
        <v>828.00882836959363</v>
      </c>
      <c r="P24" s="22">
        <f t="shared" ref="P24" si="12">O24*1.1</f>
        <v>910.80971120655306</v>
      </c>
      <c r="Q24" s="22">
        <f>P24*1.05</f>
        <v>956.3501967668808</v>
      </c>
      <c r="R24" s="22">
        <f>Q24*1.05</f>
        <v>1004.1677066052249</v>
      </c>
      <c r="S24" s="22">
        <f t="shared" ref="S24:U24" si="13">R24*1.05</f>
        <v>1054.3760919354861</v>
      </c>
      <c r="T24" s="22">
        <f t="shared" si="13"/>
        <v>1107.0948965322605</v>
      </c>
      <c r="U24" s="22">
        <f t="shared" si="13"/>
        <v>1162.4496413588736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</row>
    <row r="25" spans="1:199" x14ac:dyDescent="0.15">
      <c r="A25" s="2" t="s">
        <v>8</v>
      </c>
      <c r="B25" s="37">
        <f>SUM(Reports!B18:E18)</f>
        <v>128</v>
      </c>
      <c r="C25" s="22">
        <f>SUM(Reports!F18:I18)</f>
        <v>157</v>
      </c>
      <c r="D25" s="37">
        <f>SUM(Reports!J18:M18)</f>
        <v>325</v>
      </c>
      <c r="E25" s="37">
        <f>SUM(Reports!N18:Q18)</f>
        <v>482</v>
      </c>
      <c r="F25" s="37">
        <f>SUM(Reports!R18:U18)</f>
        <v>835</v>
      </c>
      <c r="G25" s="22">
        <f>F25*1.45</f>
        <v>1210.75</v>
      </c>
      <c r="H25" s="22">
        <f>G25*0.9</f>
        <v>1089.675</v>
      </c>
      <c r="I25" s="22">
        <f>H25*1.1</f>
        <v>1198.6425000000002</v>
      </c>
      <c r="J25" s="22">
        <f t="shared" ref="J25:K25" si="14">I25*1.1</f>
        <v>1318.5067500000002</v>
      </c>
      <c r="K25" s="22">
        <f t="shared" si="14"/>
        <v>1450.3574250000004</v>
      </c>
      <c r="L25" s="22">
        <f t="shared" ref="L25:M25" si="15">K25*1.05</f>
        <v>1522.8752962500005</v>
      </c>
      <c r="M25" s="22">
        <f t="shared" si="15"/>
        <v>1599.0190610625007</v>
      </c>
      <c r="N25" s="22">
        <f t="shared" ref="N25:N26" si="16">M25*1.05</f>
        <v>1678.9700141156259</v>
      </c>
      <c r="O25" s="22">
        <f t="shared" ref="O25:O26" si="17">N25*1.05</f>
        <v>1762.9185148214071</v>
      </c>
      <c r="P25" s="22">
        <f t="shared" ref="P25:P26" si="18">O25*1.05</f>
        <v>1851.0644405624776</v>
      </c>
      <c r="Q25" s="22">
        <f>P25*0.95</f>
        <v>1758.5112185343537</v>
      </c>
      <c r="R25" s="22">
        <f>Q25*0.95</f>
        <v>1670.585657607636</v>
      </c>
      <c r="S25" s="22">
        <f t="shared" ref="S25:U25" si="19">R25*0.95</f>
        <v>1587.056374727254</v>
      </c>
      <c r="T25" s="22">
        <f t="shared" si="19"/>
        <v>1507.7035559908913</v>
      </c>
      <c r="U25" s="22">
        <f t="shared" si="19"/>
        <v>1432.3183781913467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</row>
    <row r="26" spans="1:199" x14ac:dyDescent="0.15">
      <c r="A26" s="2" t="s">
        <v>9</v>
      </c>
      <c r="B26" s="37">
        <f>SUM(Reports!B19:E19)</f>
        <v>92</v>
      </c>
      <c r="C26" s="22">
        <f>SUM(Reports!F19:I19)</f>
        <v>101</v>
      </c>
      <c r="D26" s="37">
        <f>SUM(Reports!J19:M19)</f>
        <v>211</v>
      </c>
      <c r="E26" s="37">
        <f>SUM(Reports!N19:Q19)</f>
        <v>138</v>
      </c>
      <c r="F26" s="37">
        <f>SUM(Reports!R19:U19)</f>
        <v>197</v>
      </c>
      <c r="G26" s="22">
        <f>F26*1.4</f>
        <v>275.79999999999995</v>
      </c>
      <c r="H26" s="22">
        <f>G26*1.15</f>
        <v>317.1699999999999</v>
      </c>
      <c r="I26" s="22">
        <f t="shared" ref="I26:K26" si="20">H26*1.15</f>
        <v>364.74549999999988</v>
      </c>
      <c r="J26" s="22">
        <f t="shared" si="20"/>
        <v>419.45732499999986</v>
      </c>
      <c r="K26" s="22">
        <f t="shared" si="20"/>
        <v>482.3759237499998</v>
      </c>
      <c r="L26" s="22">
        <f t="shared" ref="L26:M26" si="21">K26*1.05</f>
        <v>506.49471993749984</v>
      </c>
      <c r="M26" s="22">
        <f t="shared" si="21"/>
        <v>531.8194559343749</v>
      </c>
      <c r="N26" s="22">
        <f t="shared" si="16"/>
        <v>558.4104287310937</v>
      </c>
      <c r="O26" s="22">
        <f t="shared" si="17"/>
        <v>586.33095016764844</v>
      </c>
      <c r="P26" s="22">
        <f t="shared" si="18"/>
        <v>615.64749767603087</v>
      </c>
      <c r="Q26" s="22">
        <f t="shared" ref="Q26:U26" si="22">P26*0.98</f>
        <v>603.33454772251025</v>
      </c>
      <c r="R26" s="22">
        <f t="shared" si="22"/>
        <v>591.26785676806003</v>
      </c>
      <c r="S26" s="22">
        <f t="shared" si="22"/>
        <v>579.44249963269885</v>
      </c>
      <c r="T26" s="22">
        <f t="shared" si="22"/>
        <v>567.85364964004486</v>
      </c>
      <c r="U26" s="22">
        <f t="shared" si="22"/>
        <v>556.49657664724396</v>
      </c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</row>
    <row r="27" spans="1:199" x14ac:dyDescent="0.15">
      <c r="A27" s="2" t="s">
        <v>10</v>
      </c>
      <c r="B27" s="26">
        <f t="shared" ref="B27:F27" si="23">SUM(B24:B26)</f>
        <v>296</v>
      </c>
      <c r="C27" s="26">
        <f t="shared" si="23"/>
        <v>356</v>
      </c>
      <c r="D27" s="26">
        <f t="shared" si="23"/>
        <v>662</v>
      </c>
      <c r="E27" s="26">
        <f t="shared" si="23"/>
        <v>765</v>
      </c>
      <c r="F27" s="26">
        <f t="shared" si="23"/>
        <v>1255</v>
      </c>
      <c r="G27" s="22">
        <f t="shared" ref="G27:H27" si="24">SUM(G24:G26)</f>
        <v>1809.8999999999999</v>
      </c>
      <c r="H27" s="22">
        <f t="shared" si="24"/>
        <v>1778.6974999999998</v>
      </c>
      <c r="I27" s="22">
        <f t="shared" ref="I27:M27" si="25">SUM(I24:I26)</f>
        <v>1991.0183750000001</v>
      </c>
      <c r="J27" s="22">
        <f t="shared" si="25"/>
        <v>2229.7390062499999</v>
      </c>
      <c r="K27" s="22">
        <f t="shared" si="25"/>
        <v>2498.2745196874998</v>
      </c>
      <c r="L27" s="22">
        <f t="shared" si="25"/>
        <v>2651.4653042187497</v>
      </c>
      <c r="M27" s="22">
        <f t="shared" si="25"/>
        <v>2815.1433338312499</v>
      </c>
      <c r="N27" s="22">
        <f t="shared" ref="N27:Q27" si="26">SUM(N24:N26)</f>
        <v>2990.1157413645319</v>
      </c>
      <c r="O27" s="22">
        <f t="shared" si="26"/>
        <v>3177.2582933586491</v>
      </c>
      <c r="P27" s="22">
        <f t="shared" si="26"/>
        <v>3377.5216494450615</v>
      </c>
      <c r="Q27" s="22">
        <f t="shared" si="26"/>
        <v>3318.1959630237448</v>
      </c>
      <c r="R27" s="22">
        <f t="shared" ref="R27:U27" si="27">SUM(R24:R26)</f>
        <v>3266.021220980921</v>
      </c>
      <c r="S27" s="22">
        <f t="shared" si="27"/>
        <v>3220.8749662954388</v>
      </c>
      <c r="T27" s="22">
        <f t="shared" si="27"/>
        <v>3182.6521021631966</v>
      </c>
      <c r="U27" s="22">
        <f t="shared" si="27"/>
        <v>3151.264596197464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</row>
    <row r="28" spans="1:199" x14ac:dyDescent="0.15">
      <c r="A28" s="2" t="s">
        <v>11</v>
      </c>
      <c r="B28" s="26">
        <f t="shared" ref="B28:F28" si="28">B23-B27</f>
        <v>140.79599999999994</v>
      </c>
      <c r="C28" s="26">
        <f t="shared" si="28"/>
        <v>180.84800000000007</v>
      </c>
      <c r="D28" s="26">
        <f t="shared" si="28"/>
        <v>57.858000000000175</v>
      </c>
      <c r="E28" s="26">
        <f t="shared" si="28"/>
        <v>-68.0450000000003</v>
      </c>
      <c r="F28" s="26">
        <f t="shared" si="28"/>
        <v>-152.8910000000003</v>
      </c>
      <c r="G28" s="22">
        <f t="shared" ref="G28:H28" si="29">G23-G27</f>
        <v>44.098543787832568</v>
      </c>
      <c r="H28" s="22">
        <f t="shared" si="29"/>
        <v>446.10075254539925</v>
      </c>
      <c r="I28" s="22">
        <f t="shared" ref="I28:Q28" si="30">I23-I27</f>
        <v>678.73952805447834</v>
      </c>
      <c r="J28" s="22">
        <f t="shared" si="30"/>
        <v>973.97047741537381</v>
      </c>
      <c r="K28" s="22">
        <f t="shared" si="30"/>
        <v>1346.1768607109484</v>
      </c>
      <c r="L28" s="22">
        <f t="shared" si="30"/>
        <v>1577.4312142195436</v>
      </c>
      <c r="M28" s="22">
        <f t="shared" si="30"/>
        <v>1836.6428364508729</v>
      </c>
      <c r="N28" s="22">
        <f t="shared" si="30"/>
        <v>2126.8490459458039</v>
      </c>
      <c r="O28" s="22">
        <f t="shared" si="30"/>
        <v>2451.4029726827212</v>
      </c>
      <c r="P28" s="22">
        <f t="shared" si="30"/>
        <v>2814.0057432004469</v>
      </c>
      <c r="Q28" s="22">
        <f t="shared" si="30"/>
        <v>3182.9077992540383</v>
      </c>
      <c r="R28" s="22">
        <f t="shared" ref="Q28:U28" si="31">R23-R27</f>
        <v>3560.137729410751</v>
      </c>
      <c r="S28" s="22">
        <f t="shared" si="31"/>
        <v>3946.5919316158179</v>
      </c>
      <c r="T28" s="22">
        <f t="shared" si="31"/>
        <v>4343.1881406436223</v>
      </c>
      <c r="U28" s="22">
        <f t="shared" si="31"/>
        <v>4750.8676587496957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</row>
    <row r="29" spans="1:199" x14ac:dyDescent="0.15">
      <c r="A29" s="2" t="s">
        <v>12</v>
      </c>
      <c r="B29" s="22">
        <f>SUM(Reports!B22:E22)</f>
        <v>12</v>
      </c>
      <c r="C29" s="22">
        <f>SUM(Reports!F22:I22)</f>
        <v>3</v>
      </c>
      <c r="D29" s="37">
        <f>SUM(Reports!J22:M22)</f>
        <v>-2</v>
      </c>
      <c r="E29" s="22">
        <f>SUM(Reports!N22:Q22)</f>
        <v>5</v>
      </c>
      <c r="F29" s="37">
        <f>SUM(Reports!R22:U22)</f>
        <v>45</v>
      </c>
      <c r="G29" s="22">
        <f t="shared" ref="G29:U29" si="32">F46*$F$3</f>
        <v>49.9</v>
      </c>
      <c r="H29" s="22">
        <f t="shared" si="32"/>
        <v>51.591973788180987</v>
      </c>
      <c r="I29" s="22">
        <f t="shared" si="32"/>
        <v>60.550442862185427</v>
      </c>
      <c r="J29" s="22">
        <f t="shared" si="32"/>
        <v>73.857662338685373</v>
      </c>
      <c r="K29" s="22">
        <f t="shared" si="32"/>
        <v>92.71856885425845</v>
      </c>
      <c r="L29" s="22">
        <f t="shared" si="32"/>
        <v>118.61868658643216</v>
      </c>
      <c r="M29" s="22">
        <f t="shared" si="32"/>
        <v>149.14758480093974</v>
      </c>
      <c r="N29" s="22">
        <f t="shared" si="32"/>
        <v>184.89181238347234</v>
      </c>
      <c r="O29" s="22">
        <f t="shared" si="32"/>
        <v>226.50314783339934</v>
      </c>
      <c r="P29" s="22">
        <f t="shared" si="32"/>
        <v>274.70545800268951</v>
      </c>
      <c r="Q29" s="22">
        <f t="shared" si="32"/>
        <v>330.30225962434599</v>
      </c>
      <c r="R29" s="22">
        <f t="shared" si="32"/>
        <v>393.54004068415685</v>
      </c>
      <c r="S29" s="22">
        <f t="shared" si="32"/>
        <v>464.70624054586517</v>
      </c>
      <c r="T29" s="22">
        <f t="shared" si="32"/>
        <v>544.10960764477545</v>
      </c>
      <c r="U29" s="22">
        <f t="shared" si="32"/>
        <v>632.08096711396661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</row>
    <row r="30" spans="1:199" x14ac:dyDescent="0.15">
      <c r="A30" s="2" t="s">
        <v>13</v>
      </c>
      <c r="B30" s="26">
        <f t="shared" ref="B30:F30" si="33">B28+B29</f>
        <v>152.79599999999994</v>
      </c>
      <c r="C30" s="26">
        <f t="shared" si="33"/>
        <v>183.84800000000007</v>
      </c>
      <c r="D30" s="26">
        <f t="shared" si="33"/>
        <v>55.858000000000175</v>
      </c>
      <c r="E30" s="26">
        <f t="shared" si="33"/>
        <v>-63.0450000000003</v>
      </c>
      <c r="F30" s="26">
        <f t="shared" si="33"/>
        <v>-107.8910000000003</v>
      </c>
      <c r="G30" s="22">
        <f t="shared" ref="G30:H30" si="34">G28+G29</f>
        <v>93.998543787832574</v>
      </c>
      <c r="H30" s="22">
        <f t="shared" si="34"/>
        <v>497.69272633358025</v>
      </c>
      <c r="I30" s="22">
        <f t="shared" ref="I30" si="35">I28+I29</f>
        <v>739.28997091666372</v>
      </c>
      <c r="J30" s="22">
        <f t="shared" ref="J30" si="36">J28+J29</f>
        <v>1047.8281397540591</v>
      </c>
      <c r="K30" s="22">
        <f t="shared" ref="K30" si="37">K28+K29</f>
        <v>1438.8954295652068</v>
      </c>
      <c r="L30" s="22">
        <f t="shared" ref="L30" si="38">L28+L29</f>
        <v>1696.0499008059758</v>
      </c>
      <c r="M30" s="22">
        <f t="shared" ref="M30" si="39">M28+M29</f>
        <v>1985.7904212518126</v>
      </c>
      <c r="N30" s="22">
        <f t="shared" ref="N30" si="40">N28+N29</f>
        <v>2311.7408583292763</v>
      </c>
      <c r="O30" s="22">
        <f t="shared" ref="O30" si="41">O28+O29</f>
        <v>2677.9061205161206</v>
      </c>
      <c r="P30" s="22">
        <f t="shared" ref="P30:Q30" si="42">P28+P29</f>
        <v>3088.7112012031366</v>
      </c>
      <c r="Q30" s="22">
        <f t="shared" si="42"/>
        <v>3513.2100588783842</v>
      </c>
      <c r="R30" s="22">
        <f t="shared" ref="R30:U30" si="43">R28+R29</f>
        <v>3953.6777700949078</v>
      </c>
      <c r="S30" s="22">
        <f t="shared" si="43"/>
        <v>4411.2981721616834</v>
      </c>
      <c r="T30" s="22">
        <f t="shared" si="43"/>
        <v>4887.297748288398</v>
      </c>
      <c r="U30" s="22">
        <f t="shared" si="43"/>
        <v>5382.9486258636625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</row>
    <row r="31" spans="1:199" x14ac:dyDescent="0.15">
      <c r="A31" s="2" t="s">
        <v>14</v>
      </c>
      <c r="B31" s="22">
        <f>SUM(Reports!B24:E24)</f>
        <v>45</v>
      </c>
      <c r="C31" s="22">
        <f>SUM(Reports!F24:I24)</f>
        <v>48</v>
      </c>
      <c r="D31" s="37">
        <f>SUM(Reports!J24:M24)</f>
        <v>40</v>
      </c>
      <c r="E31" s="22">
        <f>SUM(Reports!N24:Q24)</f>
        <v>-28</v>
      </c>
      <c r="F31" s="37">
        <f>SUM(Reports!R24:U24)</f>
        <v>64</v>
      </c>
      <c r="G31" s="22">
        <f t="shared" ref="G31" si="44">G30*0.1</f>
        <v>9.3998543787832585</v>
      </c>
      <c r="H31" s="22">
        <f t="shared" ref="H31:Q31" si="45">H30*0.1</f>
        <v>49.769272633358028</v>
      </c>
      <c r="I31" s="22">
        <f t="shared" si="45"/>
        <v>73.928997091666375</v>
      </c>
      <c r="J31" s="22">
        <f t="shared" si="45"/>
        <v>104.78281397540592</v>
      </c>
      <c r="K31" s="22">
        <f t="shared" si="45"/>
        <v>143.88954295652067</v>
      </c>
      <c r="L31" s="22">
        <f t="shared" si="45"/>
        <v>169.60499008059759</v>
      </c>
      <c r="M31" s="22">
        <f t="shared" si="45"/>
        <v>198.57904212518127</v>
      </c>
      <c r="N31" s="22">
        <f t="shared" si="45"/>
        <v>231.17408583292763</v>
      </c>
      <c r="O31" s="22">
        <f t="shared" si="45"/>
        <v>267.79061205161207</v>
      </c>
      <c r="P31" s="22">
        <f t="shared" si="45"/>
        <v>308.87112012031366</v>
      </c>
      <c r="Q31" s="22">
        <f t="shared" si="45"/>
        <v>351.32100588783845</v>
      </c>
      <c r="R31" s="22">
        <f t="shared" ref="Q31:U31" si="46">R30*0.1</f>
        <v>395.36777700949079</v>
      </c>
      <c r="S31" s="22">
        <f t="shared" si="46"/>
        <v>441.12981721616836</v>
      </c>
      <c r="T31" s="22">
        <f t="shared" si="46"/>
        <v>488.72977482883982</v>
      </c>
      <c r="U31" s="22">
        <f t="shared" si="46"/>
        <v>538.29486258636632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</row>
    <row r="32" spans="1:199" s="1" customFormat="1" x14ac:dyDescent="0.15">
      <c r="A32" s="1" t="s">
        <v>15</v>
      </c>
      <c r="B32" s="23">
        <f>B30-B31</f>
        <v>107.79599999999994</v>
      </c>
      <c r="C32" s="23">
        <f>C30-C31</f>
        <v>135.84800000000007</v>
      </c>
      <c r="D32" s="23">
        <f>D30-D31</f>
        <v>15.858000000000175</v>
      </c>
      <c r="E32" s="23">
        <f>E30-E31</f>
        <v>-35.0450000000003</v>
      </c>
      <c r="F32" s="23">
        <f t="shared" ref="F32:H32" si="47">F30-F31</f>
        <v>-171.8910000000003</v>
      </c>
      <c r="G32" s="23">
        <f t="shared" ref="G32" si="48">G30-G31</f>
        <v>84.598689409049314</v>
      </c>
      <c r="H32" s="23">
        <f t="shared" si="47"/>
        <v>447.92345370022224</v>
      </c>
      <c r="I32" s="23">
        <f t="shared" ref="I32:Q32" si="49">I30-I31</f>
        <v>665.36097382499736</v>
      </c>
      <c r="J32" s="23">
        <f t="shared" si="49"/>
        <v>943.04532577865314</v>
      </c>
      <c r="K32" s="23">
        <f t="shared" si="49"/>
        <v>1295.0058866086861</v>
      </c>
      <c r="L32" s="23">
        <f t="shared" si="49"/>
        <v>1526.4449107253781</v>
      </c>
      <c r="M32" s="23">
        <f t="shared" si="49"/>
        <v>1787.2113791266313</v>
      </c>
      <c r="N32" s="23">
        <f t="shared" si="49"/>
        <v>2080.5667724963487</v>
      </c>
      <c r="O32" s="23">
        <f t="shared" si="49"/>
        <v>2410.1155084645084</v>
      </c>
      <c r="P32" s="23">
        <f t="shared" si="49"/>
        <v>2779.840081082823</v>
      </c>
      <c r="Q32" s="23">
        <f t="shared" si="49"/>
        <v>3161.8890529905457</v>
      </c>
      <c r="R32" s="23">
        <f t="shared" ref="Q32:U32" si="50">R30-R31</f>
        <v>3558.3099930854169</v>
      </c>
      <c r="S32" s="23">
        <f t="shared" si="50"/>
        <v>3970.1683549455151</v>
      </c>
      <c r="T32" s="23">
        <f t="shared" si="50"/>
        <v>4398.5679734595578</v>
      </c>
      <c r="U32" s="23">
        <f t="shared" si="50"/>
        <v>4844.6537632772961</v>
      </c>
      <c r="V32" s="23">
        <f t="shared" ref="V32:BX32" si="51">U32*($F$2+1)</f>
        <v>4796.2072256445235</v>
      </c>
      <c r="W32" s="23">
        <f t="shared" si="51"/>
        <v>4748.2451533880785</v>
      </c>
      <c r="X32" s="23">
        <f t="shared" si="51"/>
        <v>4700.762701854198</v>
      </c>
      <c r="Y32" s="23">
        <f t="shared" si="51"/>
        <v>4653.7550748356562</v>
      </c>
      <c r="Z32" s="23">
        <f t="shared" si="51"/>
        <v>4607.2175240872994</v>
      </c>
      <c r="AA32" s="23">
        <f t="shared" si="51"/>
        <v>4561.1453488464267</v>
      </c>
      <c r="AB32" s="23">
        <f t="shared" si="51"/>
        <v>4515.5338953579621</v>
      </c>
      <c r="AC32" s="23">
        <f t="shared" si="51"/>
        <v>4470.3785564043828</v>
      </c>
      <c r="AD32" s="23">
        <f t="shared" si="51"/>
        <v>4425.6747708403391</v>
      </c>
      <c r="AE32" s="23">
        <f t="shared" si="51"/>
        <v>4381.418023131936</v>
      </c>
      <c r="AF32" s="23">
        <f t="shared" si="51"/>
        <v>4337.6038429006167</v>
      </c>
      <c r="AG32" s="23">
        <f t="shared" si="51"/>
        <v>4294.2278044716104</v>
      </c>
      <c r="AH32" s="23">
        <f t="shared" si="51"/>
        <v>4251.2855264268946</v>
      </c>
      <c r="AI32" s="23">
        <f t="shared" si="51"/>
        <v>4208.7726711626256</v>
      </c>
      <c r="AJ32" s="23">
        <f t="shared" si="51"/>
        <v>4166.684944450999</v>
      </c>
      <c r="AK32" s="23">
        <f t="shared" si="51"/>
        <v>4125.0180950064887</v>
      </c>
      <c r="AL32" s="23">
        <f t="shared" si="51"/>
        <v>4083.7679140564237</v>
      </c>
      <c r="AM32" s="23">
        <f t="shared" si="51"/>
        <v>4042.9302349158593</v>
      </c>
      <c r="AN32" s="23">
        <f t="shared" si="51"/>
        <v>4002.5009325667006</v>
      </c>
      <c r="AO32" s="23">
        <f t="shared" si="51"/>
        <v>3962.4759232410338</v>
      </c>
      <c r="AP32" s="23">
        <f t="shared" si="51"/>
        <v>3922.8511640086235</v>
      </c>
      <c r="AQ32" s="23">
        <f t="shared" si="51"/>
        <v>3883.6226523685373</v>
      </c>
      <c r="AR32" s="23">
        <f t="shared" si="51"/>
        <v>3844.7864258448517</v>
      </c>
      <c r="AS32" s="23">
        <f t="shared" si="51"/>
        <v>3806.3385615864031</v>
      </c>
      <c r="AT32" s="23">
        <f t="shared" si="51"/>
        <v>3768.2751759705388</v>
      </c>
      <c r="AU32" s="23">
        <f t="shared" si="51"/>
        <v>3730.5924242108335</v>
      </c>
      <c r="AV32" s="23">
        <f t="shared" si="51"/>
        <v>3693.2864999687254</v>
      </c>
      <c r="AW32" s="23">
        <f t="shared" si="51"/>
        <v>3656.353634969038</v>
      </c>
      <c r="AX32" s="23">
        <f t="shared" si="51"/>
        <v>3619.7900986193476</v>
      </c>
      <c r="AY32" s="23">
        <f t="shared" si="51"/>
        <v>3583.5921976331542</v>
      </c>
      <c r="AZ32" s="23">
        <f t="shared" si="51"/>
        <v>3547.7562756568227</v>
      </c>
      <c r="BA32" s="23">
        <f t="shared" si="51"/>
        <v>3512.2787129002545</v>
      </c>
      <c r="BB32" s="23">
        <f t="shared" si="51"/>
        <v>3477.155925771252</v>
      </c>
      <c r="BC32" s="23">
        <f t="shared" si="51"/>
        <v>3442.3843665135396</v>
      </c>
      <c r="BD32" s="23">
        <f t="shared" si="51"/>
        <v>3407.9605228484043</v>
      </c>
      <c r="BE32" s="23">
        <f t="shared" si="51"/>
        <v>3373.8809176199202</v>
      </c>
      <c r="BF32" s="23">
        <f t="shared" si="51"/>
        <v>3340.1421084437211</v>
      </c>
      <c r="BG32" s="23">
        <f t="shared" si="51"/>
        <v>3306.740687359284</v>
      </c>
      <c r="BH32" s="23">
        <f t="shared" si="51"/>
        <v>3273.6732804856911</v>
      </c>
      <c r="BI32" s="23">
        <f t="shared" si="51"/>
        <v>3240.9365476808343</v>
      </c>
      <c r="BJ32" s="23">
        <f t="shared" si="51"/>
        <v>3208.5271822040258</v>
      </c>
      <c r="BK32" s="23">
        <f t="shared" si="51"/>
        <v>3176.4419103819855</v>
      </c>
      <c r="BL32" s="23">
        <f t="shared" si="51"/>
        <v>3144.6774912781657</v>
      </c>
      <c r="BM32" s="23">
        <f t="shared" si="51"/>
        <v>3113.2307163653841</v>
      </c>
      <c r="BN32" s="23">
        <f t="shared" si="51"/>
        <v>3082.0984092017302</v>
      </c>
      <c r="BO32" s="23">
        <f t="shared" si="51"/>
        <v>3051.277425109713</v>
      </c>
      <c r="BP32" s="23">
        <f t="shared" si="51"/>
        <v>3020.7646508586158</v>
      </c>
      <c r="BQ32" s="23">
        <f t="shared" si="51"/>
        <v>2990.5570043500297</v>
      </c>
      <c r="BR32" s="23">
        <f t="shared" si="51"/>
        <v>2960.6514343065296</v>
      </c>
      <c r="BS32" s="23">
        <f t="shared" si="51"/>
        <v>2931.0449199634645</v>
      </c>
      <c r="BT32" s="23">
        <f t="shared" si="51"/>
        <v>2901.7344707638299</v>
      </c>
      <c r="BU32" s="23">
        <f t="shared" si="51"/>
        <v>2872.7171260561918</v>
      </c>
      <c r="BV32" s="23">
        <f t="shared" si="51"/>
        <v>2843.9899547956297</v>
      </c>
      <c r="BW32" s="23">
        <f t="shared" si="51"/>
        <v>2815.5500552476733</v>
      </c>
      <c r="BX32" s="23">
        <f t="shared" si="51"/>
        <v>2787.3945546951963</v>
      </c>
      <c r="BY32" s="23">
        <f t="shared" ref="BY32:DL32" si="52">BX32*($F$2+1)</f>
        <v>2759.5206091482441</v>
      </c>
      <c r="BZ32" s="23">
        <f t="shared" si="52"/>
        <v>2731.9254030567618</v>
      </c>
      <c r="CA32" s="23">
        <f t="shared" si="52"/>
        <v>2704.6061490261941</v>
      </c>
      <c r="CB32" s="23">
        <f t="shared" si="52"/>
        <v>2677.5600875359323</v>
      </c>
      <c r="CC32" s="23">
        <f t="shared" si="52"/>
        <v>2650.7844866605728</v>
      </c>
      <c r="CD32" s="23">
        <f t="shared" si="52"/>
        <v>2624.276641793967</v>
      </c>
      <c r="CE32" s="23">
        <f t="shared" si="52"/>
        <v>2598.0338753760275</v>
      </c>
      <c r="CF32" s="23">
        <f t="shared" si="52"/>
        <v>2572.0535366222671</v>
      </c>
      <c r="CG32" s="23">
        <f t="shared" si="52"/>
        <v>2546.3330012560446</v>
      </c>
      <c r="CH32" s="23">
        <f t="shared" si="52"/>
        <v>2520.8696712434839</v>
      </c>
      <c r="CI32" s="23">
        <f t="shared" si="52"/>
        <v>2495.6609745310489</v>
      </c>
      <c r="CJ32" s="23">
        <f t="shared" si="52"/>
        <v>2470.7043647857386</v>
      </c>
      <c r="CK32" s="23">
        <f t="shared" si="52"/>
        <v>2445.997321137881</v>
      </c>
      <c r="CL32" s="23">
        <f t="shared" si="52"/>
        <v>2421.5373479265022</v>
      </c>
      <c r="CM32" s="23">
        <f t="shared" si="52"/>
        <v>2397.3219744472372</v>
      </c>
      <c r="CN32" s="23">
        <f t="shared" si="52"/>
        <v>2373.3487547027648</v>
      </c>
      <c r="CO32" s="23">
        <f t="shared" si="52"/>
        <v>2349.615267155737</v>
      </c>
      <c r="CP32" s="23">
        <f t="shared" si="52"/>
        <v>2326.1191144841796</v>
      </c>
      <c r="CQ32" s="23">
        <f t="shared" si="52"/>
        <v>2302.857923339338</v>
      </c>
      <c r="CR32" s="23">
        <f t="shared" si="52"/>
        <v>2279.8293441059445</v>
      </c>
      <c r="CS32" s="23">
        <f t="shared" si="52"/>
        <v>2257.0310506648852</v>
      </c>
      <c r="CT32" s="23">
        <f t="shared" si="52"/>
        <v>2234.4607401582361</v>
      </c>
      <c r="CU32" s="23">
        <f t="shared" si="52"/>
        <v>2212.1161327566538</v>
      </c>
      <c r="CV32" s="23">
        <f t="shared" si="52"/>
        <v>2189.9949714290874</v>
      </c>
      <c r="CW32" s="23">
        <f t="shared" si="52"/>
        <v>2168.0950217147965</v>
      </c>
      <c r="CX32" s="23">
        <f t="shared" si="52"/>
        <v>2146.4140714976484</v>
      </c>
      <c r="CY32" s="23">
        <f t="shared" si="52"/>
        <v>2124.9499307826718</v>
      </c>
      <c r="CZ32" s="23">
        <f t="shared" si="52"/>
        <v>2103.7004314748451</v>
      </c>
      <c r="DA32" s="23">
        <f t="shared" si="52"/>
        <v>2082.6634271600965</v>
      </c>
      <c r="DB32" s="23">
        <f t="shared" si="52"/>
        <v>2061.8367928884954</v>
      </c>
      <c r="DC32" s="23">
        <f t="shared" si="52"/>
        <v>2041.2184249596105</v>
      </c>
      <c r="DD32" s="23">
        <f t="shared" si="52"/>
        <v>2020.8062407100144</v>
      </c>
      <c r="DE32" s="23">
        <f t="shared" si="52"/>
        <v>2000.5981783029142</v>
      </c>
      <c r="DF32" s="23">
        <f t="shared" si="52"/>
        <v>1980.592196519885</v>
      </c>
      <c r="DG32" s="23">
        <f t="shared" si="52"/>
        <v>1960.7862745546861</v>
      </c>
      <c r="DH32" s="23">
        <f t="shared" si="52"/>
        <v>1941.1784118091391</v>
      </c>
      <c r="DI32" s="23">
        <f t="shared" si="52"/>
        <v>1921.7666276910477</v>
      </c>
      <c r="DJ32" s="23">
        <f t="shared" si="52"/>
        <v>1902.5489614141372</v>
      </c>
      <c r="DK32" s="23">
        <f t="shared" si="52"/>
        <v>1883.5234717999958</v>
      </c>
      <c r="DL32" s="23">
        <f t="shared" si="52"/>
        <v>1864.6882370819958</v>
      </c>
      <c r="DM32" s="23">
        <f t="shared" ref="DM32" si="53">DL32*($F$2+1)</f>
        <v>1846.0413547111759</v>
      </c>
      <c r="DN32" s="23">
        <f t="shared" ref="DN32" si="54">DM32*($F$2+1)</f>
        <v>1827.5809411640641</v>
      </c>
      <c r="DO32" s="23">
        <f t="shared" ref="DO32" si="55">DN32*($F$2+1)</f>
        <v>1809.3051317524234</v>
      </c>
      <c r="DP32" s="23">
        <f t="shared" ref="DP32" si="56">DO32*($F$2+1)</f>
        <v>1791.2120804348992</v>
      </c>
      <c r="DQ32" s="23">
        <f t="shared" ref="DQ32" si="57">DP32*($F$2+1)</f>
        <v>1773.2999596305501</v>
      </c>
      <c r="DR32" s="23">
        <f t="shared" ref="DR32" si="58">DQ32*($F$2+1)</f>
        <v>1755.5669600342446</v>
      </c>
      <c r="DS32" s="23">
        <f t="shared" ref="DS32" si="59">DR32*($F$2+1)</f>
        <v>1738.0112904339021</v>
      </c>
      <c r="DT32" s="23">
        <f t="shared" ref="DT32" si="60">DS32*($F$2+1)</f>
        <v>1720.631177529563</v>
      </c>
      <c r="DU32" s="23">
        <f t="shared" ref="DU32" si="61">DT32*($F$2+1)</f>
        <v>1703.4248657542673</v>
      </c>
      <c r="DV32" s="23">
        <f t="shared" ref="DV32" si="62">DU32*($F$2+1)</f>
        <v>1686.3906170967246</v>
      </c>
      <c r="DW32" s="23">
        <f t="shared" ref="DW32" si="63">DV32*($F$2+1)</f>
        <v>1669.5267109257572</v>
      </c>
      <c r="DX32" s="23">
        <f t="shared" ref="DX32" si="64">DW32*($F$2+1)</f>
        <v>1652.8314438164996</v>
      </c>
      <c r="DY32" s="23">
        <f t="shared" ref="DY32" si="65">DX32*($F$2+1)</f>
        <v>1636.3031293783347</v>
      </c>
      <c r="DZ32" s="23">
        <f t="shared" ref="DZ32" si="66">DY32*($F$2+1)</f>
        <v>1619.9400980845514</v>
      </c>
      <c r="EA32" s="23">
        <f t="shared" ref="EA32" si="67">DZ32*($F$2+1)</f>
        <v>1603.740697103706</v>
      </c>
      <c r="EB32" s="23">
        <f t="shared" ref="EB32" si="68">EA32*($F$2+1)</f>
        <v>1587.7032901326688</v>
      </c>
      <c r="EC32" s="23">
        <f t="shared" ref="EC32" si="69">EB32*($F$2+1)</f>
        <v>1571.8262572313422</v>
      </c>
      <c r="ED32" s="23">
        <f t="shared" ref="ED32" si="70">EC32*($F$2+1)</f>
        <v>1556.1079946590287</v>
      </c>
      <c r="EE32" s="23">
        <f t="shared" ref="EE32" si="71">ED32*($F$2+1)</f>
        <v>1540.5469147124384</v>
      </c>
      <c r="EF32" s="23">
        <f t="shared" ref="EF32" si="72">EE32*($F$2+1)</f>
        <v>1525.1414455653139</v>
      </c>
      <c r="EG32" s="23">
        <f t="shared" ref="EG32" si="73">EF32*($F$2+1)</f>
        <v>1509.8900311096609</v>
      </c>
      <c r="EH32" s="23">
        <f t="shared" ref="EH32" si="74">EG32*($F$2+1)</f>
        <v>1494.7911307985642</v>
      </c>
      <c r="EI32" s="23">
        <f t="shared" ref="EI32" si="75">EH32*($F$2+1)</f>
        <v>1479.8432194905786</v>
      </c>
      <c r="EJ32" s="23">
        <f t="shared" ref="EJ32" si="76">EI32*($F$2+1)</f>
        <v>1465.0447872956727</v>
      </c>
      <c r="EK32" s="23">
        <f t="shared" ref="EK32" si="77">EJ32*($F$2+1)</f>
        <v>1450.394339422716</v>
      </c>
      <c r="EL32" s="23">
        <f t="shared" ref="EL32" si="78">EK32*($F$2+1)</f>
        <v>1435.8903960284888</v>
      </c>
      <c r="EM32" s="23">
        <f t="shared" ref="EM32" si="79">EL32*($F$2+1)</f>
        <v>1421.531492068204</v>
      </c>
      <c r="EN32" s="23">
        <f t="shared" ref="EN32" si="80">EM32*($F$2+1)</f>
        <v>1407.316177147522</v>
      </c>
      <c r="EO32" s="23">
        <f t="shared" ref="EO32" si="81">EN32*($F$2+1)</f>
        <v>1393.2430153760467</v>
      </c>
      <c r="EP32" s="23">
        <f t="shared" ref="EP32" si="82">EO32*($F$2+1)</f>
        <v>1379.3105852222864</v>
      </c>
      <c r="EQ32" s="23">
        <f t="shared" ref="EQ32" si="83">EP32*($F$2+1)</f>
        <v>1365.5174793700635</v>
      </c>
      <c r="ER32" s="23">
        <f t="shared" ref="ER32" si="84">EQ32*($F$2+1)</f>
        <v>1351.8623045763629</v>
      </c>
      <c r="ES32" s="23">
        <f t="shared" ref="ES32" si="85">ER32*($F$2+1)</f>
        <v>1338.3436815305993</v>
      </c>
      <c r="ET32" s="23">
        <f t="shared" ref="ET32" si="86">ES32*($F$2+1)</f>
        <v>1324.9602447152934</v>
      </c>
      <c r="EU32" s="23">
        <f t="shared" ref="EU32" si="87">ET32*($F$2+1)</f>
        <v>1311.7106422681404</v>
      </c>
      <c r="EV32" s="23">
        <f t="shared" ref="EV32" si="88">EU32*($F$2+1)</f>
        <v>1298.593535845459</v>
      </c>
      <c r="EW32" s="23">
        <f t="shared" ref="EW32" si="89">EV32*($F$2+1)</f>
        <v>1285.6076004870044</v>
      </c>
      <c r="EX32" s="23">
        <f t="shared" ref="EX32" si="90">EW32*($F$2+1)</f>
        <v>1272.7515244821343</v>
      </c>
      <c r="EY32" s="23">
        <f t="shared" ref="EY32" si="91">EX32*($F$2+1)</f>
        <v>1260.0240092373128</v>
      </c>
      <c r="EZ32" s="23">
        <f t="shared" ref="EZ32" si="92">EY32*($F$2+1)</f>
        <v>1247.4237691449398</v>
      </c>
      <c r="FA32" s="23">
        <f t="shared" ref="FA32" si="93">EZ32*($F$2+1)</f>
        <v>1234.9495314534904</v>
      </c>
      <c r="FB32" s="23">
        <f t="shared" ref="FB32" si="94">FA32*($F$2+1)</f>
        <v>1222.6000361389556</v>
      </c>
      <c r="FC32" s="23">
        <f t="shared" ref="FC32" si="95">FB32*($F$2+1)</f>
        <v>1210.374035777566</v>
      </c>
      <c r="FD32" s="23">
        <f t="shared" ref="FD32" si="96">FC32*($F$2+1)</f>
        <v>1198.2702954197903</v>
      </c>
      <c r="FE32" s="23">
        <f t="shared" ref="FE32" si="97">FD32*($F$2+1)</f>
        <v>1186.2875924655923</v>
      </c>
      <c r="FF32" s="23">
        <f t="shared" ref="FF32" si="98">FE32*($F$2+1)</f>
        <v>1174.4247165409363</v>
      </c>
      <c r="FG32" s="23">
        <f t="shared" ref="FG32" si="99">FF32*($F$2+1)</f>
        <v>1162.6804693755269</v>
      </c>
      <c r="FH32" s="23">
        <f t="shared" ref="FH32" si="100">FG32*($F$2+1)</f>
        <v>1151.0536646817716</v>
      </c>
      <c r="FI32" s="23">
        <f t="shared" ref="FI32" si="101">FH32*($F$2+1)</f>
        <v>1139.543128034954</v>
      </c>
      <c r="FJ32" s="23">
        <f t="shared" ref="FJ32" si="102">FI32*($F$2+1)</f>
        <v>1128.1476967546043</v>
      </c>
      <c r="FK32" s="23">
        <f t="shared" ref="FK32" si="103">FJ32*($F$2+1)</f>
        <v>1116.8662197870583</v>
      </c>
      <c r="FL32" s="23">
        <f t="shared" ref="FL32" si="104">FK32*($F$2+1)</f>
        <v>1105.6975575891877</v>
      </c>
      <c r="FM32" s="23">
        <f t="shared" ref="FM32" si="105">FL32*($F$2+1)</f>
        <v>1094.6405820132959</v>
      </c>
      <c r="FN32" s="23">
        <f t="shared" ref="FN32" si="106">FM32*($F$2+1)</f>
        <v>1083.694176193163</v>
      </c>
      <c r="FO32" s="23">
        <f t="shared" ref="FO32" si="107">FN32*($F$2+1)</f>
        <v>1072.8572344312313</v>
      </c>
      <c r="FP32" s="23">
        <f t="shared" ref="FP32" si="108">FO32*($F$2+1)</f>
        <v>1062.1286620869189</v>
      </c>
      <c r="FQ32" s="23">
        <f t="shared" ref="FQ32" si="109">FP32*($F$2+1)</f>
        <v>1051.5073754660498</v>
      </c>
      <c r="FR32" s="23">
        <f t="shared" ref="FR32" si="110">FQ32*($F$2+1)</f>
        <v>1040.9923017113892</v>
      </c>
      <c r="FS32" s="23">
        <f t="shared" ref="FS32" si="111">FR32*($F$2+1)</f>
        <v>1030.5823786942753</v>
      </c>
      <c r="FT32" s="23">
        <f t="shared" ref="FT32" si="112">FS32*($F$2+1)</f>
        <v>1020.2765549073326</v>
      </c>
      <c r="FU32" s="23">
        <f t="shared" ref="FU32" si="113">FT32*($F$2+1)</f>
        <v>1010.0737893582593</v>
      </c>
      <c r="FV32" s="23">
        <f t="shared" ref="FV32" si="114">FU32*($F$2+1)</f>
        <v>999.9730514646767</v>
      </c>
      <c r="FW32" s="23">
        <f t="shared" ref="FW32" si="115">FV32*($F$2+1)</f>
        <v>989.97332095002992</v>
      </c>
      <c r="FX32" s="23">
        <f t="shared" ref="FX32" si="116">FW32*($F$2+1)</f>
        <v>980.07358774052966</v>
      </c>
      <c r="FY32" s="23">
        <f t="shared" ref="FY32" si="117">FX32*($F$2+1)</f>
        <v>970.2728518631244</v>
      </c>
      <c r="FZ32" s="23">
        <f t="shared" ref="FZ32" si="118">FY32*($F$2+1)</f>
        <v>960.57012334449314</v>
      </c>
      <c r="GA32" s="23">
        <f t="shared" ref="GA32" si="119">FZ32*($F$2+1)</f>
        <v>950.96442211104818</v>
      </c>
      <c r="GB32" s="23">
        <f t="shared" ref="GB32" si="120">GA32*($F$2+1)</f>
        <v>941.45477788993765</v>
      </c>
      <c r="GC32" s="23">
        <f t="shared" ref="GC32" si="121">GB32*($F$2+1)</f>
        <v>932.04023011103823</v>
      </c>
      <c r="GD32" s="23">
        <f t="shared" ref="GD32" si="122">GC32*($F$2+1)</f>
        <v>922.71982780992789</v>
      </c>
      <c r="GE32" s="23">
        <f t="shared" ref="GE32" si="123">GD32*($F$2+1)</f>
        <v>913.49262953182858</v>
      </c>
      <c r="GF32" s="23">
        <f t="shared" ref="GF32" si="124">GE32*($F$2+1)</f>
        <v>904.35770323651025</v>
      </c>
      <c r="GG32" s="23">
        <f t="shared" ref="GG32" si="125">GF32*($F$2+1)</f>
        <v>895.31412620414517</v>
      </c>
      <c r="GH32" s="23">
        <f t="shared" ref="GH32" si="126">GG32*($F$2+1)</f>
        <v>886.36098494210376</v>
      </c>
      <c r="GI32" s="23">
        <f t="shared" ref="GI32" si="127">GH32*($F$2+1)</f>
        <v>877.49737509268266</v>
      </c>
      <c r="GJ32" s="23">
        <f t="shared" ref="GJ32" si="128">GI32*($F$2+1)</f>
        <v>868.72240134175581</v>
      </c>
      <c r="GK32" s="23">
        <f t="shared" ref="GK32" si="129">GJ32*($F$2+1)</f>
        <v>860.03517732833825</v>
      </c>
      <c r="GL32" s="23">
        <f t="shared" ref="GL32" si="130">GK32*($F$2+1)</f>
        <v>851.43482555505489</v>
      </c>
      <c r="GM32" s="23">
        <f t="shared" ref="GM32" si="131">GL32*($F$2+1)</f>
        <v>842.92047729950434</v>
      </c>
      <c r="GN32" s="23">
        <f t="shared" ref="GN32" si="132">GM32*($F$2+1)</f>
        <v>834.49127252650931</v>
      </c>
      <c r="GO32" s="23">
        <f t="shared" ref="GO32" si="133">GN32*($F$2+1)</f>
        <v>826.14635980124422</v>
      </c>
      <c r="GP32" s="23">
        <f t="shared" ref="GP32" si="134">GO32*($F$2+1)</f>
        <v>817.88489620323173</v>
      </c>
      <c r="GQ32" s="23">
        <f t="shared" ref="GQ32" si="135">GP32*($F$2+1)</f>
        <v>809.70604724119937</v>
      </c>
    </row>
    <row r="33" spans="1:116" x14ac:dyDescent="0.15">
      <c r="A33" s="2" t="s">
        <v>16</v>
      </c>
      <c r="B33" s="28">
        <f t="shared" ref="B33:F33" si="136">B32/B34</f>
        <v>2.4412095079353562</v>
      </c>
      <c r="C33" s="28">
        <f t="shared" si="136"/>
        <v>3.0764910500760942</v>
      </c>
      <c r="D33" s="28">
        <f t="shared" si="136"/>
        <v>0.35912469775143674</v>
      </c>
      <c r="E33" s="28">
        <f t="shared" si="136"/>
        <v>-0.77528282005349047</v>
      </c>
      <c r="F33" s="28">
        <f t="shared" si="136"/>
        <v>-3.4578788091842028</v>
      </c>
      <c r="G33" s="47">
        <f t="shared" ref="G33:H33" si="137">G32/G34</f>
        <v>1.7018460267978379</v>
      </c>
      <c r="H33" s="47">
        <f t="shared" si="137"/>
        <v>9.0107394726111139</v>
      </c>
      <c r="I33" s="47">
        <f t="shared" ref="I33:Q33" si="138">I32/I34</f>
        <v>13.384863732525957</v>
      </c>
      <c r="J33" s="47">
        <f t="shared" si="138"/>
        <v>18.970955129181934</v>
      </c>
      <c r="K33" s="47">
        <f t="shared" si="138"/>
        <v>26.051238360780776</v>
      </c>
      <c r="L33" s="47">
        <f t="shared" si="138"/>
        <v>30.707026605141326</v>
      </c>
      <c r="M33" s="47">
        <f t="shared" si="138"/>
        <v>35.952786099416734</v>
      </c>
      <c r="N33" s="47">
        <f t="shared" si="138"/>
        <v>41.854127055563595</v>
      </c>
      <c r="O33" s="47">
        <f t="shared" si="138"/>
        <v>48.483558443464865</v>
      </c>
      <c r="P33" s="47">
        <f t="shared" si="138"/>
        <v>55.921194881041892</v>
      </c>
      <c r="Q33" s="47">
        <f t="shared" si="138"/>
        <v>63.606757499389118</v>
      </c>
      <c r="R33" s="47">
        <f t="shared" ref="Q33:U33" si="139">R32/R34</f>
        <v>71.58143661738211</v>
      </c>
      <c r="S33" s="47">
        <f t="shared" si="139"/>
        <v>79.866665639619171</v>
      </c>
      <c r="T33" s="47">
        <f t="shared" si="139"/>
        <v>88.484650075815949</v>
      </c>
      <c r="U33" s="47">
        <f t="shared" si="139"/>
        <v>97.458421824708878</v>
      </c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</row>
    <row r="34" spans="1:116" s="15" customFormat="1" x14ac:dyDescent="0.15">
      <c r="A34" s="15" t="s">
        <v>17</v>
      </c>
      <c r="B34" s="22">
        <f>Reports!E27</f>
        <v>44.156799999999997</v>
      </c>
      <c r="C34" s="22">
        <f>Reports!I27</f>
        <v>44.156799999999997</v>
      </c>
      <c r="D34" s="22">
        <f>Reports!M27</f>
        <v>44.157364000000001</v>
      </c>
      <c r="E34" s="22">
        <f>Reports!Q27</f>
        <v>45.202858999999997</v>
      </c>
      <c r="F34" s="22">
        <f>Reports!U27</f>
        <v>49.709955000000001</v>
      </c>
      <c r="G34" s="22">
        <f t="shared" ref="G34:H34" si="140">F34</f>
        <v>49.709955000000001</v>
      </c>
      <c r="H34" s="22">
        <f t="shared" si="140"/>
        <v>49.709955000000001</v>
      </c>
      <c r="I34" s="22">
        <f t="shared" ref="I34" si="141">H34</f>
        <v>49.709955000000001</v>
      </c>
      <c r="J34" s="22">
        <f t="shared" ref="J34" si="142">I34</f>
        <v>49.709955000000001</v>
      </c>
      <c r="K34" s="22">
        <f t="shared" ref="K34" si="143">J34</f>
        <v>49.709955000000001</v>
      </c>
      <c r="L34" s="22">
        <f t="shared" ref="L34" si="144">K34</f>
        <v>49.709955000000001</v>
      </c>
      <c r="M34" s="22">
        <f t="shared" ref="M34" si="145">L34</f>
        <v>49.709955000000001</v>
      </c>
      <c r="N34" s="22">
        <f t="shared" ref="N34" si="146">M34</f>
        <v>49.709955000000001</v>
      </c>
      <c r="O34" s="22">
        <f t="shared" ref="O34" si="147">N34</f>
        <v>49.709955000000001</v>
      </c>
      <c r="P34" s="22">
        <f t="shared" ref="P34:U34" si="148">O34</f>
        <v>49.709955000000001</v>
      </c>
      <c r="Q34" s="22">
        <f t="shared" si="148"/>
        <v>49.709955000000001</v>
      </c>
      <c r="R34" s="22">
        <f t="shared" si="148"/>
        <v>49.709955000000001</v>
      </c>
      <c r="S34" s="22">
        <f t="shared" si="148"/>
        <v>49.709955000000001</v>
      </c>
      <c r="T34" s="22">
        <f t="shared" si="148"/>
        <v>49.709955000000001</v>
      </c>
      <c r="U34" s="22">
        <f t="shared" si="148"/>
        <v>49.709955000000001</v>
      </c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</row>
    <row r="35" spans="1:116" x14ac:dyDescent="0.1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</row>
    <row r="36" spans="1:116" x14ac:dyDescent="0.15">
      <c r="A36" s="2" t="s">
        <v>19</v>
      </c>
      <c r="B36" s="33">
        <f t="shared" ref="B36:Q36" si="149">IFERROR(B23/B21,0)</f>
        <v>0.6701483606683134</v>
      </c>
      <c r="C36" s="33">
        <f t="shared" si="149"/>
        <v>0.63578430269532815</v>
      </c>
      <c r="D36" s="33">
        <f t="shared" si="149"/>
        <v>0.59159927679158453</v>
      </c>
      <c r="E36" s="33">
        <f>IFERROR(E23/E21,0)</f>
        <v>0.48413100861350367</v>
      </c>
      <c r="F36" s="33">
        <f t="shared" si="149"/>
        <v>0.47994991943561371</v>
      </c>
      <c r="G36" s="33">
        <f>IFERROR(G23/G21,0)</f>
        <v>0.47994991943561371</v>
      </c>
      <c r="H36" s="33">
        <f>IFERROR(H23/H21,0)</f>
        <v>0.47994991943561371</v>
      </c>
      <c r="I36" s="33">
        <f t="shared" si="149"/>
        <v>0.47994991943561371</v>
      </c>
      <c r="J36" s="33">
        <f t="shared" si="149"/>
        <v>0.47994991943561371</v>
      </c>
      <c r="K36" s="33">
        <f t="shared" si="149"/>
        <v>0.47994991943561371</v>
      </c>
      <c r="L36" s="33">
        <f t="shared" si="149"/>
        <v>0.47994991943561377</v>
      </c>
      <c r="M36" s="33">
        <f t="shared" si="149"/>
        <v>0.47994991943561377</v>
      </c>
      <c r="N36" s="33">
        <f t="shared" si="149"/>
        <v>0.47994991943561377</v>
      </c>
      <c r="O36" s="33">
        <f t="shared" si="149"/>
        <v>0.47994991943561377</v>
      </c>
      <c r="P36" s="33">
        <f t="shared" si="149"/>
        <v>0.47994991943561377</v>
      </c>
      <c r="Q36" s="33">
        <f t="shared" si="149"/>
        <v>0.47994991943561371</v>
      </c>
      <c r="R36" s="33">
        <f t="shared" ref="Q36:U36" si="150">IFERROR(R23/R21,0)</f>
        <v>0.47994991943561371</v>
      </c>
      <c r="S36" s="33">
        <f t="shared" si="150"/>
        <v>0.47994991943561371</v>
      </c>
      <c r="T36" s="33">
        <f t="shared" si="150"/>
        <v>0.47994991943561371</v>
      </c>
      <c r="U36" s="33">
        <f t="shared" si="150"/>
        <v>0.47994991943561371</v>
      </c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</row>
    <row r="37" spans="1:116" x14ac:dyDescent="0.15">
      <c r="A37" s="2" t="s">
        <v>20</v>
      </c>
      <c r="B37" s="35">
        <f t="shared" ref="B37:Q37" si="151">IFERROR(B28/B21,0)</f>
        <v>0.21601436045352021</v>
      </c>
      <c r="C37" s="35">
        <f t="shared" si="151"/>
        <v>0.21417667491328035</v>
      </c>
      <c r="D37" s="35">
        <f t="shared" si="151"/>
        <v>4.7549309664694416E-2</v>
      </c>
      <c r="E37" s="35">
        <f>IFERROR(E28/E21,0)</f>
        <v>-4.7266601833842951E-2</v>
      </c>
      <c r="F37" s="35">
        <f t="shared" si="151"/>
        <v>-6.6581457126682189E-2</v>
      </c>
      <c r="G37" s="35">
        <f t="shared" ref="G37" si="152">IFERROR(G28/G21,0)</f>
        <v>1.1415916484463114E-2</v>
      </c>
      <c r="H37" s="35">
        <f t="shared" si="151"/>
        <v>9.6236150850699212E-2</v>
      </c>
      <c r="I37" s="35">
        <f t="shared" si="151"/>
        <v>0.12201892217822792</v>
      </c>
      <c r="J37" s="35">
        <f t="shared" si="151"/>
        <v>0.14591118656406882</v>
      </c>
      <c r="K37" s="35">
        <f t="shared" si="151"/>
        <v>0.16805973386437884</v>
      </c>
      <c r="L37" s="35">
        <f t="shared" si="151"/>
        <v>0.17902731383445639</v>
      </c>
      <c r="M37" s="35">
        <f t="shared" si="151"/>
        <v>0.18949636744225762</v>
      </c>
      <c r="N37" s="35">
        <f t="shared" si="151"/>
        <v>0.19948955497697698</v>
      </c>
      <c r="O37" s="35">
        <f t="shared" si="151"/>
        <v>0.20902850671466372</v>
      </c>
      <c r="P37" s="35">
        <f t="shared" si="151"/>
        <v>0.21813386973700102</v>
      </c>
      <c r="Q37" s="35">
        <f t="shared" si="151"/>
        <v>0.23498107362736914</v>
      </c>
      <c r="R37" s="35">
        <f t="shared" ref="Q37:U37" si="153">IFERROR(R28/R21,0)</f>
        <v>0.25031468338608454</v>
      </c>
      <c r="S37" s="35">
        <f t="shared" si="153"/>
        <v>0.26427279073674592</v>
      </c>
      <c r="T37" s="35">
        <f t="shared" si="153"/>
        <v>0.27698073981679217</v>
      </c>
      <c r="U37" s="35">
        <f t="shared" si="153"/>
        <v>0.28855231429955691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</row>
    <row r="38" spans="1:116" x14ac:dyDescent="0.15">
      <c r="A38" s="2" t="s">
        <v>21</v>
      </c>
      <c r="B38" s="35">
        <f t="shared" ref="B38:Q38" si="154">IFERROR(B31/B30,0)</f>
        <v>0.29451032749548428</v>
      </c>
      <c r="C38" s="35">
        <f t="shared" si="154"/>
        <v>0.26108524433227437</v>
      </c>
      <c r="D38" s="35">
        <f t="shared" si="154"/>
        <v>0.71610154319882335</v>
      </c>
      <c r="E38" s="35">
        <f>IFERROR(E31/E30,0)</f>
        <v>0.44412721072249767</v>
      </c>
      <c r="F38" s="35">
        <f t="shared" si="154"/>
        <v>-0.59319127638079006</v>
      </c>
      <c r="G38" s="35">
        <f t="shared" ref="G38" si="155">IFERROR(G31/G30,0)</f>
        <v>0.1</v>
      </c>
      <c r="H38" s="35">
        <f t="shared" si="154"/>
        <v>0.1</v>
      </c>
      <c r="I38" s="35">
        <f t="shared" si="154"/>
        <v>0.1</v>
      </c>
      <c r="J38" s="35">
        <f t="shared" si="154"/>
        <v>0.1</v>
      </c>
      <c r="K38" s="35">
        <f t="shared" si="154"/>
        <v>9.9999999999999992E-2</v>
      </c>
      <c r="L38" s="35">
        <f t="shared" si="154"/>
        <v>0.1</v>
      </c>
      <c r="M38" s="35">
        <f t="shared" si="154"/>
        <v>0.1</v>
      </c>
      <c r="N38" s="35">
        <f t="shared" si="154"/>
        <v>0.1</v>
      </c>
      <c r="O38" s="35">
        <f t="shared" si="154"/>
        <v>0.1</v>
      </c>
      <c r="P38" s="35">
        <f t="shared" si="154"/>
        <v>0.1</v>
      </c>
      <c r="Q38" s="35">
        <f t="shared" si="154"/>
        <v>0.1</v>
      </c>
      <c r="R38" s="35">
        <f t="shared" ref="Q38:U38" si="156">IFERROR(R31/R30,0)</f>
        <v>0.1</v>
      </c>
      <c r="S38" s="35">
        <f t="shared" si="156"/>
        <v>0.1</v>
      </c>
      <c r="T38" s="35">
        <f t="shared" si="156"/>
        <v>0.1</v>
      </c>
      <c r="U38" s="35">
        <f t="shared" si="156"/>
        <v>0.10000000000000002</v>
      </c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</row>
    <row r="39" spans="1:116" x14ac:dyDescent="0.15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</row>
    <row r="40" spans="1:116" x14ac:dyDescent="0.15">
      <c r="A40" s="1" t="s">
        <v>18</v>
      </c>
      <c r="B40" s="25"/>
      <c r="C40" s="48">
        <f t="shared" ref="C40:U40" si="157">C21/B21-1</f>
        <v>0.29548934472759658</v>
      </c>
      <c r="D40" s="48">
        <f t="shared" si="157"/>
        <v>0.44104539743032523</v>
      </c>
      <c r="E40" s="48">
        <f t="shared" si="157"/>
        <v>0.18310322156475967</v>
      </c>
      <c r="F40" s="48">
        <f>F21/E21-1</f>
        <v>0.59509585996110048</v>
      </c>
      <c r="G40" s="48">
        <f t="shared" si="157"/>
        <v>0.68222793189043296</v>
      </c>
      <c r="H40" s="48">
        <f>H21/G21-1</f>
        <v>0.19999999999999996</v>
      </c>
      <c r="I40" s="48">
        <f t="shared" si="157"/>
        <v>0.19999999999999996</v>
      </c>
      <c r="J40" s="48">
        <f t="shared" si="157"/>
        <v>0.19999999999999973</v>
      </c>
      <c r="K40" s="48">
        <f t="shared" si="157"/>
        <v>0.19999999999999996</v>
      </c>
      <c r="L40" s="48">
        <f t="shared" si="157"/>
        <v>9.9999999999999867E-2</v>
      </c>
      <c r="M40" s="48">
        <f t="shared" si="157"/>
        <v>0.10000000000000009</v>
      </c>
      <c r="N40" s="48">
        <f t="shared" si="157"/>
        <v>0.10000000000000009</v>
      </c>
      <c r="O40" s="48">
        <f t="shared" si="157"/>
        <v>0.10000000000000009</v>
      </c>
      <c r="P40" s="48">
        <f t="shared" si="157"/>
        <v>0.10000000000000009</v>
      </c>
      <c r="Q40" s="48">
        <f t="shared" si="157"/>
        <v>5.0000000000000044E-2</v>
      </c>
      <c r="R40" s="48">
        <f t="shared" si="157"/>
        <v>5.0000000000000044E-2</v>
      </c>
      <c r="S40" s="48">
        <f t="shared" si="157"/>
        <v>5.0000000000000044E-2</v>
      </c>
      <c r="T40" s="48">
        <f t="shared" si="157"/>
        <v>5.0000000000000044E-2</v>
      </c>
      <c r="U40" s="48">
        <f t="shared" si="157"/>
        <v>5.0000000000000044E-2</v>
      </c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</row>
    <row r="41" spans="1:116" x14ac:dyDescent="0.15">
      <c r="A41" s="2" t="s">
        <v>42</v>
      </c>
      <c r="B41" s="19"/>
      <c r="C41" s="35">
        <f t="shared" ref="C41:U41" si="158">C24/B24-1</f>
        <v>0.28947368421052633</v>
      </c>
      <c r="D41" s="35">
        <f t="shared" si="158"/>
        <v>0.28571428571428581</v>
      </c>
      <c r="E41" s="35">
        <f t="shared" si="158"/>
        <v>0.1507936507936507</v>
      </c>
      <c r="F41" s="35">
        <f t="shared" si="158"/>
        <v>0.53793103448275859</v>
      </c>
      <c r="G41" s="35">
        <f t="shared" si="158"/>
        <v>0.44999999999999996</v>
      </c>
      <c r="H41" s="35">
        <f t="shared" si="158"/>
        <v>0.14999999999999991</v>
      </c>
      <c r="I41" s="35">
        <f t="shared" si="158"/>
        <v>0.14999999999999991</v>
      </c>
      <c r="J41" s="35">
        <f t="shared" si="158"/>
        <v>0.14999999999999991</v>
      </c>
      <c r="K41" s="35">
        <f t="shared" si="158"/>
        <v>0.14999999999999991</v>
      </c>
      <c r="L41" s="35">
        <f t="shared" si="158"/>
        <v>0.10000000000000009</v>
      </c>
      <c r="M41" s="35">
        <f t="shared" si="158"/>
        <v>0.10000000000000009</v>
      </c>
      <c r="N41" s="35">
        <f t="shared" si="158"/>
        <v>0.10000000000000009</v>
      </c>
      <c r="O41" s="35">
        <f t="shared" si="158"/>
        <v>0.10000000000000009</v>
      </c>
      <c r="P41" s="35">
        <f t="shared" si="158"/>
        <v>0.10000000000000009</v>
      </c>
      <c r="Q41" s="35">
        <f t="shared" si="158"/>
        <v>5.0000000000000044E-2</v>
      </c>
      <c r="R41" s="35">
        <f t="shared" si="158"/>
        <v>5.0000000000000044E-2</v>
      </c>
      <c r="S41" s="35">
        <f t="shared" si="158"/>
        <v>5.0000000000000044E-2</v>
      </c>
      <c r="T41" s="35">
        <f t="shared" si="158"/>
        <v>5.0000000000000044E-2</v>
      </c>
      <c r="U41" s="35">
        <f t="shared" si="158"/>
        <v>5.0000000000000044E-2</v>
      </c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</row>
    <row r="42" spans="1:116" x14ac:dyDescent="0.15">
      <c r="A42" s="2" t="s">
        <v>43</v>
      </c>
      <c r="B42" s="19"/>
      <c r="C42" s="35">
        <f t="shared" ref="C42:U42" si="159">C25/B25-1</f>
        <v>0.2265625</v>
      </c>
      <c r="D42" s="35">
        <f t="shared" si="159"/>
        <v>1.0700636942675161</v>
      </c>
      <c r="E42" s="35">
        <f t="shared" si="159"/>
        <v>0.48307692307692318</v>
      </c>
      <c r="F42" s="35">
        <f t="shared" si="159"/>
        <v>0.73236514522821583</v>
      </c>
      <c r="G42" s="35">
        <f t="shared" si="159"/>
        <v>0.44999999999999996</v>
      </c>
      <c r="H42" s="35">
        <f t="shared" si="159"/>
        <v>-0.10000000000000009</v>
      </c>
      <c r="I42" s="35">
        <f t="shared" si="159"/>
        <v>0.10000000000000009</v>
      </c>
      <c r="J42" s="35">
        <f t="shared" si="159"/>
        <v>0.10000000000000009</v>
      </c>
      <c r="K42" s="35">
        <f t="shared" si="159"/>
        <v>0.10000000000000009</v>
      </c>
      <c r="L42" s="35">
        <f t="shared" si="159"/>
        <v>5.0000000000000044E-2</v>
      </c>
      <c r="M42" s="35">
        <f t="shared" si="159"/>
        <v>5.0000000000000044E-2</v>
      </c>
      <c r="N42" s="35">
        <f t="shared" si="159"/>
        <v>5.0000000000000044E-2</v>
      </c>
      <c r="O42" s="35">
        <f t="shared" si="159"/>
        <v>5.0000000000000044E-2</v>
      </c>
      <c r="P42" s="35">
        <f t="shared" si="159"/>
        <v>5.0000000000000044E-2</v>
      </c>
      <c r="Q42" s="35">
        <f t="shared" si="159"/>
        <v>-4.9999999999999933E-2</v>
      </c>
      <c r="R42" s="35">
        <f t="shared" si="159"/>
        <v>-5.0000000000000044E-2</v>
      </c>
      <c r="S42" s="35">
        <f t="shared" si="159"/>
        <v>-5.0000000000000155E-2</v>
      </c>
      <c r="T42" s="35">
        <f t="shared" si="159"/>
        <v>-4.9999999999999933E-2</v>
      </c>
      <c r="U42" s="35">
        <f t="shared" si="159"/>
        <v>-5.0000000000000044E-2</v>
      </c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</row>
    <row r="43" spans="1:116" x14ac:dyDescent="0.15">
      <c r="A43" s="2" t="s">
        <v>44</v>
      </c>
      <c r="B43" s="19"/>
      <c r="C43" s="35">
        <f t="shared" ref="C43:U43" si="160">C26/B26-1</f>
        <v>9.7826086956521729E-2</v>
      </c>
      <c r="D43" s="35">
        <f>D26/C26-1</f>
        <v>1.0891089108910892</v>
      </c>
      <c r="E43" s="35">
        <f t="shared" si="160"/>
        <v>-0.34597156398104267</v>
      </c>
      <c r="F43" s="35">
        <f t="shared" si="160"/>
        <v>0.42753623188405787</v>
      </c>
      <c r="G43" s="35">
        <f t="shared" si="160"/>
        <v>0.39999999999999969</v>
      </c>
      <c r="H43" s="35">
        <f t="shared" si="160"/>
        <v>0.14999999999999991</v>
      </c>
      <c r="I43" s="35">
        <f t="shared" si="160"/>
        <v>0.14999999999999991</v>
      </c>
      <c r="J43" s="35">
        <f t="shared" si="160"/>
        <v>0.14999999999999991</v>
      </c>
      <c r="K43" s="35">
        <f t="shared" si="160"/>
        <v>0.14999999999999991</v>
      </c>
      <c r="L43" s="35">
        <f t="shared" si="160"/>
        <v>5.0000000000000044E-2</v>
      </c>
      <c r="M43" s="35">
        <f t="shared" si="160"/>
        <v>5.0000000000000044E-2</v>
      </c>
      <c r="N43" s="35">
        <f t="shared" si="160"/>
        <v>5.0000000000000044E-2</v>
      </c>
      <c r="O43" s="35">
        <f t="shared" si="160"/>
        <v>5.0000000000000044E-2</v>
      </c>
      <c r="P43" s="35">
        <f t="shared" si="160"/>
        <v>5.0000000000000044E-2</v>
      </c>
      <c r="Q43" s="35">
        <f t="shared" si="160"/>
        <v>-2.0000000000000018E-2</v>
      </c>
      <c r="R43" s="35">
        <f t="shared" si="160"/>
        <v>-2.0000000000000018E-2</v>
      </c>
      <c r="S43" s="35">
        <f t="shared" si="160"/>
        <v>-1.9999999999999907E-2</v>
      </c>
      <c r="T43" s="35">
        <f t="shared" si="160"/>
        <v>-2.0000000000000018E-2</v>
      </c>
      <c r="U43" s="35">
        <f t="shared" si="160"/>
        <v>-2.0000000000000018E-2</v>
      </c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</row>
    <row r="44" spans="1:116" x14ac:dyDescent="0.15">
      <c r="A44" s="5" t="s">
        <v>68</v>
      </c>
      <c r="B44" s="19"/>
      <c r="C44" s="44">
        <f>C27/B27-1</f>
        <v>0.20270270270270263</v>
      </c>
      <c r="D44" s="44">
        <f>D27/C27-1</f>
        <v>0.8595505617977528</v>
      </c>
      <c r="E44" s="44">
        <f>E27/D27-1</f>
        <v>0.15558912386706947</v>
      </c>
      <c r="F44" s="44">
        <f t="shared" ref="F44:U44" si="161">F27/E27-1</f>
        <v>0.64052287581699341</v>
      </c>
      <c r="G44" s="44">
        <f t="shared" si="161"/>
        <v>0.44215139442231055</v>
      </c>
      <c r="H44" s="44">
        <f t="shared" si="161"/>
        <v>-1.7239902757058445E-2</v>
      </c>
      <c r="I44" s="44">
        <f t="shared" si="161"/>
        <v>0.11936873751720034</v>
      </c>
      <c r="J44" s="44">
        <f t="shared" si="161"/>
        <v>0.11989875846826359</v>
      </c>
      <c r="K44" s="44">
        <f t="shared" si="161"/>
        <v>0.12043360800739</v>
      </c>
      <c r="L44" s="44">
        <f>L27/K27-1</f>
        <v>6.1318635451804493E-2</v>
      </c>
      <c r="M44" s="44">
        <f t="shared" si="161"/>
        <v>6.1731160257715523E-2</v>
      </c>
      <c r="N44" s="44">
        <f t="shared" si="161"/>
        <v>6.2153996008137424E-2</v>
      </c>
      <c r="O44" s="44">
        <f t="shared" si="161"/>
        <v>6.258705955934496E-2</v>
      </c>
      <c r="P44" s="44">
        <f t="shared" si="161"/>
        <v>6.3030241043045887E-2</v>
      </c>
      <c r="Q44" s="44">
        <f t="shared" si="161"/>
        <v>-1.7564857483908125E-2</v>
      </c>
      <c r="R44" s="44">
        <f t="shared" si="161"/>
        <v>-1.5723827834230431E-2</v>
      </c>
      <c r="S44" s="44">
        <f t="shared" si="161"/>
        <v>-1.382301327237645E-2</v>
      </c>
      <c r="T44" s="44">
        <f t="shared" si="161"/>
        <v>-1.1867230032901577E-2</v>
      </c>
      <c r="U44" s="44">
        <f t="shared" si="161"/>
        <v>-9.8620599921678265E-3</v>
      </c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</row>
    <row r="45" spans="1:116" x14ac:dyDescent="0.15">
      <c r="B45" s="19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</row>
    <row r="46" spans="1:116" x14ac:dyDescent="0.15">
      <c r="A46" s="1" t="s">
        <v>26</v>
      </c>
      <c r="B46" s="23">
        <f t="shared" ref="B46:F46" si="162">B47-B48</f>
        <v>261</v>
      </c>
      <c r="C46" s="23">
        <f t="shared" si="162"/>
        <v>327</v>
      </c>
      <c r="D46" s="23">
        <f t="shared" si="162"/>
        <v>264</v>
      </c>
      <c r="E46" s="23">
        <f t="shared" si="162"/>
        <v>467</v>
      </c>
      <c r="F46" s="23">
        <f t="shared" si="162"/>
        <v>2495</v>
      </c>
      <c r="G46" s="49">
        <f>F46+G32</f>
        <v>2579.5986894090493</v>
      </c>
      <c r="H46" s="49">
        <f>G46+H32</f>
        <v>3027.5221431092714</v>
      </c>
      <c r="I46" s="49">
        <f t="shared" ref="I46:U46" si="163">H46+I32</f>
        <v>3692.8831169342689</v>
      </c>
      <c r="J46" s="49">
        <f t="shared" si="163"/>
        <v>4635.9284427129223</v>
      </c>
      <c r="K46" s="49">
        <f t="shared" si="163"/>
        <v>5930.9343293216079</v>
      </c>
      <c r="L46" s="49">
        <f t="shared" si="163"/>
        <v>7457.3792400469865</v>
      </c>
      <c r="M46" s="49">
        <f t="shared" si="163"/>
        <v>9244.5906191736176</v>
      </c>
      <c r="N46" s="49">
        <f t="shared" si="163"/>
        <v>11325.157391669967</v>
      </c>
      <c r="O46" s="49">
        <f t="shared" si="163"/>
        <v>13735.272900134476</v>
      </c>
      <c r="P46" s="49">
        <f t="shared" si="163"/>
        <v>16515.112981217299</v>
      </c>
      <c r="Q46" s="49">
        <f t="shared" si="163"/>
        <v>19677.002034207842</v>
      </c>
      <c r="R46" s="49">
        <f t="shared" si="163"/>
        <v>23235.312027293257</v>
      </c>
      <c r="S46" s="49">
        <f t="shared" si="163"/>
        <v>27205.480382238773</v>
      </c>
      <c r="T46" s="49">
        <f t="shared" si="163"/>
        <v>31604.048355698331</v>
      </c>
      <c r="U46" s="49">
        <f t="shared" si="163"/>
        <v>36448.702118975627</v>
      </c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</row>
    <row r="47" spans="1:116" x14ac:dyDescent="0.15">
      <c r="A47" s="2" t="s">
        <v>27</v>
      </c>
      <c r="B47" s="50">
        <f>Reports!E40</f>
        <v>557</v>
      </c>
      <c r="C47" s="50">
        <f>Reports!I40</f>
        <v>641</v>
      </c>
      <c r="D47" s="50">
        <f>Reports!M40</f>
        <v>632</v>
      </c>
      <c r="E47" s="50">
        <f>Reports!Q40</f>
        <v>1202</v>
      </c>
      <c r="F47" s="50">
        <f>Reports!U40</f>
        <v>3313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</row>
    <row r="48" spans="1:116" x14ac:dyDescent="0.15">
      <c r="A48" s="2" t="s">
        <v>28</v>
      </c>
      <c r="B48" s="50">
        <f>Reports!E41</f>
        <v>296</v>
      </c>
      <c r="C48" s="50">
        <f>Reports!I41</f>
        <v>314</v>
      </c>
      <c r="D48" s="50">
        <f>Reports!M41</f>
        <v>368</v>
      </c>
      <c r="E48" s="50">
        <f>Reports!Q41</f>
        <v>735</v>
      </c>
      <c r="F48" s="50">
        <f>Reports!U41</f>
        <v>818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</row>
    <row r="49" spans="1:116" x14ac:dyDescent="0.15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</row>
    <row r="50" spans="1:116" x14ac:dyDescent="0.15">
      <c r="A50" s="2" t="s">
        <v>56</v>
      </c>
      <c r="B50" s="52">
        <f>Reports!E43</f>
        <v>116</v>
      </c>
      <c r="C50" s="52">
        <f>Reports!I43</f>
        <v>118</v>
      </c>
      <c r="D50" s="52">
        <f>Reports!M43</f>
        <v>115</v>
      </c>
      <c r="E50" s="50">
        <f>Reports!Q43</f>
        <v>108</v>
      </c>
      <c r="F50" s="50">
        <f>Reports!U43</f>
        <v>102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</row>
    <row r="51" spans="1:116" x14ac:dyDescent="0.15">
      <c r="A51" s="2" t="s">
        <v>57</v>
      </c>
      <c r="B51" s="52">
        <f>Reports!E44</f>
        <v>1004</v>
      </c>
      <c r="C51" s="52">
        <f>Reports!I44</f>
        <v>1367</v>
      </c>
      <c r="D51" s="52">
        <f>Reports!M44</f>
        <v>1673</v>
      </c>
      <c r="E51" s="50">
        <f>Reports!Q44</f>
        <v>2240</v>
      </c>
      <c r="F51" s="50">
        <f>Reports!U44</f>
        <v>4782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</row>
    <row r="52" spans="1:116" x14ac:dyDescent="0.15">
      <c r="A52" s="2" t="s">
        <v>58</v>
      </c>
      <c r="B52" s="52">
        <f>Reports!E45</f>
        <v>664</v>
      </c>
      <c r="C52" s="52">
        <f>Reports!I45</f>
        <v>939</v>
      </c>
      <c r="D52" s="52">
        <f>Reports!M45</f>
        <v>1347</v>
      </c>
      <c r="E52" s="50">
        <f>Reports!Q45</f>
        <v>1903</v>
      </c>
      <c r="F52" s="50">
        <f>Reports!U45</f>
        <v>2799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</row>
    <row r="53" spans="1:116" x14ac:dyDescent="0.15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</row>
    <row r="54" spans="1:116" x14ac:dyDescent="0.15">
      <c r="A54" s="2" t="s">
        <v>59</v>
      </c>
      <c r="B54" s="53">
        <f t="shared" ref="B54:F54" si="164">B51-B50-B47</f>
        <v>331</v>
      </c>
      <c r="C54" s="53">
        <f t="shared" si="164"/>
        <v>608</v>
      </c>
      <c r="D54" s="53">
        <f t="shared" si="164"/>
        <v>926</v>
      </c>
      <c r="E54" s="53">
        <f t="shared" si="164"/>
        <v>930</v>
      </c>
      <c r="F54" s="53">
        <f t="shared" si="164"/>
        <v>1367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</row>
    <row r="55" spans="1:116" x14ac:dyDescent="0.15">
      <c r="A55" s="2" t="s">
        <v>60</v>
      </c>
      <c r="B55" s="53">
        <f t="shared" ref="B55:F55" si="165">B51-B52</f>
        <v>340</v>
      </c>
      <c r="C55" s="53">
        <f t="shared" si="165"/>
        <v>428</v>
      </c>
      <c r="D55" s="53">
        <f t="shared" si="165"/>
        <v>326</v>
      </c>
      <c r="E55" s="53">
        <f t="shared" si="165"/>
        <v>337</v>
      </c>
      <c r="F55" s="53">
        <f t="shared" si="165"/>
        <v>1983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</row>
    <row r="56" spans="1:116" x14ac:dyDescent="0.1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</row>
    <row r="57" spans="1:116" x14ac:dyDescent="0.15">
      <c r="A57" s="17" t="s">
        <v>62</v>
      </c>
      <c r="B57" s="54">
        <f t="shared" ref="B57:F57" si="166">B32/B55</f>
        <v>0.31704705882352924</v>
      </c>
      <c r="C57" s="54">
        <f t="shared" si="166"/>
        <v>0.31740186915887869</v>
      </c>
      <c r="D57" s="54">
        <f t="shared" si="166"/>
        <v>4.864417177914164E-2</v>
      </c>
      <c r="E57" s="54">
        <f t="shared" si="166"/>
        <v>-0.10399109792284955</v>
      </c>
      <c r="F57" s="54">
        <f t="shared" si="166"/>
        <v>-8.6682299546142358E-2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</row>
    <row r="58" spans="1:116" x14ac:dyDescent="0.15">
      <c r="A58" s="17" t="s">
        <v>63</v>
      </c>
      <c r="B58" s="54">
        <f t="shared" ref="B58:F58" si="167">B32/B51</f>
        <v>0.10736653386454177</v>
      </c>
      <c r="C58" s="54">
        <f t="shared" si="167"/>
        <v>9.9376737381126609E-2</v>
      </c>
      <c r="D58" s="54">
        <f t="shared" si="167"/>
        <v>9.4787806335924537E-3</v>
      </c>
      <c r="E58" s="54">
        <f t="shared" si="167"/>
        <v>-1.5645089285714418E-2</v>
      </c>
      <c r="F58" s="54">
        <f t="shared" si="167"/>
        <v>-3.5945420326223401E-2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</row>
    <row r="59" spans="1:116" x14ac:dyDescent="0.15">
      <c r="A59" s="17" t="s">
        <v>64</v>
      </c>
      <c r="B59" s="54">
        <f t="shared" ref="B59:F59" si="168">B32/(B55-B50)</f>
        <v>0.48123214285714255</v>
      </c>
      <c r="C59" s="54">
        <f t="shared" si="168"/>
        <v>0.43821935483870988</v>
      </c>
      <c r="D59" s="54">
        <f t="shared" si="168"/>
        <v>7.5156398104266234E-2</v>
      </c>
      <c r="E59" s="54">
        <f t="shared" si="168"/>
        <v>-0.15303493449781791</v>
      </c>
      <c r="F59" s="54">
        <f t="shared" si="168"/>
        <v>-9.1382775119617385E-2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</row>
    <row r="60" spans="1:116" x14ac:dyDescent="0.15">
      <c r="A60" s="17" t="s">
        <v>65</v>
      </c>
      <c r="B60" s="54">
        <f t="shared" ref="B60:F60" si="169">B32/B54</f>
        <v>0.32566767371601191</v>
      </c>
      <c r="C60" s="54">
        <f t="shared" si="169"/>
        <v>0.2234342105263159</v>
      </c>
      <c r="D60" s="54">
        <f t="shared" si="169"/>
        <v>1.7125269978401917E-2</v>
      </c>
      <c r="E60" s="54">
        <f t="shared" si="169"/>
        <v>-3.7682795698925055E-2</v>
      </c>
      <c r="F60" s="54">
        <f t="shared" si="169"/>
        <v>-0.12574323335771787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</row>
    <row r="61" spans="1:116" x14ac:dyDescent="0.15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</row>
    <row r="62" spans="1:116" s="18" customFormat="1" x14ac:dyDescent="0.15">
      <c r="A62" s="74" t="s">
        <v>102</v>
      </c>
      <c r="C62" s="18">
        <f>C10/B10-1</f>
        <v>0.56579789540333536</v>
      </c>
      <c r="D62" s="18">
        <f t="shared" ref="D62:G62" si="170">D10/C10-1</f>
        <v>0.51838144801153363</v>
      </c>
      <c r="E62" s="18">
        <f t="shared" si="170"/>
        <v>0.25372702272398295</v>
      </c>
      <c r="F62" s="18">
        <f t="shared" si="170"/>
        <v>0.68725467559455078</v>
      </c>
      <c r="G62" s="18">
        <f t="shared" si="170"/>
        <v>0.44772494013000386</v>
      </c>
    </row>
    <row r="63" spans="1:116" s="18" customFormat="1" x14ac:dyDescent="0.15">
      <c r="A63" s="74" t="s">
        <v>103</v>
      </c>
      <c r="C63" s="18">
        <f t="shared" ref="C63:G63" si="171">C11/B11-1</f>
        <v>7.0372637851516373E-2</v>
      </c>
      <c r="D63" s="18">
        <f t="shared" si="171"/>
        <v>0.37043759437487589</v>
      </c>
      <c r="E63" s="18">
        <f t="shared" si="171"/>
        <v>4.7579298831385675E-2</v>
      </c>
      <c r="F63" s="18">
        <f t="shared" si="171"/>
        <v>0.21195219123505971</v>
      </c>
      <c r="G63" s="18">
        <f t="shared" si="171"/>
        <v>1.1648038571115493</v>
      </c>
    </row>
    <row r="64" spans="1:116" s="18" customFormat="1" x14ac:dyDescent="0.15">
      <c r="A64" s="74" t="s">
        <v>104</v>
      </c>
      <c r="C64" s="18">
        <f t="shared" ref="C64:G64" si="172">C12/B12-1</f>
        <v>0.14859437751004023</v>
      </c>
      <c r="D64" s="18">
        <f t="shared" si="172"/>
        <v>0.10722610722610715</v>
      </c>
      <c r="E64" s="18">
        <f t="shared" si="172"/>
        <v>1.1267056530214425</v>
      </c>
      <c r="F64" s="18">
        <f t="shared" si="172"/>
        <v>1.5224564619615033</v>
      </c>
      <c r="G64" s="18">
        <f t="shared" si="172"/>
        <v>0.96475290697674443</v>
      </c>
    </row>
    <row r="65" spans="1:11" s="18" customFormat="1" x14ac:dyDescent="0.15">
      <c r="A65" s="74" t="s">
        <v>105</v>
      </c>
      <c r="C65" s="18">
        <f t="shared" ref="C65:G65" si="173">C13/B13-1</f>
        <v>6.5123945147679274E-2</v>
      </c>
      <c r="D65" s="18">
        <f t="shared" si="173"/>
        <v>0.42611322249594608</v>
      </c>
      <c r="E65" s="18">
        <f t="shared" si="173"/>
        <v>-0.23784722222222232</v>
      </c>
      <c r="F65" s="18">
        <f t="shared" si="173"/>
        <v>0.1765375854214124</v>
      </c>
      <c r="G65" s="18">
        <f t="shared" si="173"/>
        <v>1.1156824782187806</v>
      </c>
    </row>
    <row r="66" spans="1:11" s="18" customFormat="1" x14ac:dyDescent="0.15">
      <c r="A66" s="78"/>
    </row>
    <row r="67" spans="1:11" s="18" customFormat="1" x14ac:dyDescent="0.15">
      <c r="A67" s="74" t="s">
        <v>92</v>
      </c>
    </row>
    <row r="68" spans="1:11" s="18" customFormat="1" x14ac:dyDescent="0.15">
      <c r="A68" s="74" t="s">
        <v>93</v>
      </c>
    </row>
    <row r="69" spans="1:11" s="18" customFormat="1" x14ac:dyDescent="0.15">
      <c r="A69" s="75"/>
    </row>
    <row r="70" spans="1:11" s="18" customFormat="1" x14ac:dyDescent="0.15">
      <c r="A70" s="74" t="s">
        <v>84</v>
      </c>
    </row>
    <row r="71" spans="1:11" s="18" customFormat="1" x14ac:dyDescent="0.15">
      <c r="A71" s="74" t="s">
        <v>109</v>
      </c>
    </row>
    <row r="73" spans="1:11" s="15" customFormat="1" x14ac:dyDescent="0.15">
      <c r="A73" s="64" t="s">
        <v>86</v>
      </c>
      <c r="B73" s="15">
        <f>SUM(Reports!B67:E67)</f>
        <v>7150.7999999999993</v>
      </c>
      <c r="C73" s="15">
        <f>SUM(Reports!F67:I67)</f>
        <v>8048.1</v>
      </c>
      <c r="D73" s="15">
        <f>SUM(Reports!J67:M67)</f>
        <v>11749.4</v>
      </c>
      <c r="E73" s="15">
        <f>SUM(Reports!N67:Q67)</f>
        <v>12490</v>
      </c>
      <c r="F73" s="15">
        <f>SUM(Reports!R67:U67)</f>
        <v>13997.5</v>
      </c>
      <c r="G73" s="15">
        <f>SUM(Reports!V67:Y67)</f>
        <v>19168.25</v>
      </c>
      <c r="H73" s="15">
        <f>G73*1.2</f>
        <v>23001.899999999998</v>
      </c>
      <c r="I73" s="15">
        <f t="shared" ref="I73:K73" si="174">H73*1.2</f>
        <v>27602.279999999995</v>
      </c>
      <c r="J73" s="15">
        <f t="shared" si="174"/>
        <v>33122.73599999999</v>
      </c>
      <c r="K73" s="15">
        <f t="shared" si="174"/>
        <v>39747.283199999983</v>
      </c>
    </row>
    <row r="74" spans="1:11" x14ac:dyDescent="0.15">
      <c r="A74" s="74" t="s">
        <v>87</v>
      </c>
      <c r="C74" s="18">
        <f>C73/B73-1</f>
        <v>0.12548246350058756</v>
      </c>
      <c r="D74" s="18">
        <f>D73/C73-1</f>
        <v>0.45989736708042872</v>
      </c>
      <c r="E74" s="18">
        <f>E73/D73-1</f>
        <v>6.3033005940728914E-2</v>
      </c>
      <c r="F74" s="18">
        <f>F73/E73-1</f>
        <v>0.12069655724579653</v>
      </c>
      <c r="G74" s="18">
        <f t="shared" ref="G74:K74" si="175">G73/F73-1</f>
        <v>0.36940525093766752</v>
      </c>
      <c r="H74" s="18">
        <f t="shared" si="175"/>
        <v>0.19999999999999996</v>
      </c>
      <c r="I74" s="18">
        <f t="shared" si="175"/>
        <v>0.19999999999999996</v>
      </c>
      <c r="J74" s="18">
        <f t="shared" si="175"/>
        <v>0.19999999999999973</v>
      </c>
      <c r="K74" s="18">
        <f t="shared" si="175"/>
        <v>0.19999999999999996</v>
      </c>
    </row>
    <row r="75" spans="1:11" x14ac:dyDescent="0.15">
      <c r="A75" s="68"/>
    </row>
    <row r="76" spans="1:11" x14ac:dyDescent="0.15">
      <c r="A76" s="64" t="s">
        <v>88</v>
      </c>
      <c r="B76" s="15">
        <f>SUM(Reports!B70:E70)</f>
        <v>5185.1000000000004</v>
      </c>
      <c r="C76" s="15">
        <f>SUM(Reports!F70:I70)</f>
        <v>7753.8</v>
      </c>
      <c r="D76" s="15">
        <f>SUM(Reports!J70:M70)</f>
        <v>13762.900000000001</v>
      </c>
      <c r="E76" s="15">
        <f>SUM(Reports!N70:Q70)</f>
        <v>18455.900000000001</v>
      </c>
      <c r="F76" s="15">
        <f>SUM(Reports!R70:U70)</f>
        <v>28389.9</v>
      </c>
    </row>
    <row r="77" spans="1:11" s="18" customFormat="1" x14ac:dyDescent="0.15">
      <c r="A77" s="74" t="s">
        <v>89</v>
      </c>
      <c r="C77" s="18">
        <f>C76/B76-1</f>
        <v>0.49540028157605431</v>
      </c>
      <c r="D77" s="18">
        <f>D76/C76-1</f>
        <v>0.77498774794294434</v>
      </c>
      <c r="E77" s="18">
        <f>E76/D76-1</f>
        <v>0.34098918105922449</v>
      </c>
      <c r="F77" s="18">
        <f>F76/E76-1</f>
        <v>0.5382560590380312</v>
      </c>
    </row>
    <row r="79" spans="1:11" x14ac:dyDescent="0.15">
      <c r="A79" s="2" t="s">
        <v>110</v>
      </c>
      <c r="B79" s="18">
        <f>B21/B73</f>
        <v>9.1149242042848355E-2</v>
      </c>
      <c r="C79" s="18">
        <f>C21/C73</f>
        <v>0.10491755818143413</v>
      </c>
      <c r="D79" s="18">
        <f>D21/D73</f>
        <v>0.10356273511838904</v>
      </c>
      <c r="E79" s="18">
        <f>E21/E73</f>
        <v>0.11526020816653321</v>
      </c>
      <c r="F79" s="18">
        <f>F21/F73</f>
        <v>0.16405072334345416</v>
      </c>
      <c r="G79" s="18">
        <f>G21/G73</f>
        <v>0.20152596089888231</v>
      </c>
      <c r="H79" s="18">
        <f>H21/H73</f>
        <v>0.20152596089888231</v>
      </c>
      <c r="I79" s="18">
        <f t="shared" ref="H79:K79" si="176">I21/I73</f>
        <v>0.20152596089888231</v>
      </c>
      <c r="J79" s="18">
        <f t="shared" si="176"/>
        <v>0.20152596089888231</v>
      </c>
      <c r="K79" s="18">
        <f t="shared" si="176"/>
        <v>0.20152596089888231</v>
      </c>
    </row>
  </sheetData>
  <hyperlinks>
    <hyperlink ref="A1" r:id="rId1" xr:uid="{00000000-0004-0000-0000-000000000000}"/>
    <hyperlink ref="L4" r:id="rId2" xr:uid="{CBCA994A-BC74-CB48-8009-AD2DE8254A02}"/>
    <hyperlink ref="A4" r:id="rId3" xr:uid="{F36E7488-DA24-854F-91D5-539DCB66C376}"/>
    <hyperlink ref="A7" r:id="rId4" xr:uid="{F0ABA935-D9EB-3A44-9850-CE74CD082244}"/>
    <hyperlink ref="A8" r:id="rId5" xr:uid="{1D130FB2-1C64-1C4C-904F-3D43FEA52685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3"/>
  <sheetViews>
    <sheetView zoomScale="125" zoomScaleNormal="125" workbookViewId="0">
      <pane xSplit="1" ySplit="2" topLeftCell="N15" activePane="bottomRight" state="frozen"/>
      <selection pane="topRight" activeCell="B1" sqref="B1"/>
      <selection pane="bottomLeft" activeCell="A3" sqref="A3"/>
      <selection pane="bottomRight" activeCell="Z18" sqref="Z18"/>
    </sheetView>
  </sheetViews>
  <sheetFormatPr baseColWidth="10" defaultRowHeight="13" x14ac:dyDescent="0.15"/>
  <cols>
    <col min="1" max="1" width="20.33203125" style="68" bestFit="1" customWidth="1"/>
    <col min="2" max="5" width="10.83203125" style="19" customWidth="1"/>
    <col min="6" max="6" width="10.83203125" style="20" customWidth="1"/>
    <col min="7" max="8" width="10.83203125" style="19" customWidth="1"/>
    <col min="9" max="9" width="10.83203125" style="19"/>
    <col min="10" max="10" width="10.83203125" style="20"/>
    <col min="11" max="13" width="10.83203125" style="19"/>
    <col min="14" max="14" width="10.83203125" style="20"/>
    <col min="15" max="17" width="10.83203125" style="19"/>
    <col min="18" max="18" width="10.83203125" style="20"/>
    <col min="19" max="21" width="10.83203125" style="19"/>
    <col min="22" max="22" width="10.83203125" style="20"/>
    <col min="23" max="25" width="10.83203125" style="19"/>
    <col min="26" max="16384" width="10.83203125" style="5"/>
  </cols>
  <sheetData>
    <row r="1" spans="1:29" s="19" customFormat="1" x14ac:dyDescent="0.15">
      <c r="A1" s="73" t="s">
        <v>45</v>
      </c>
      <c r="B1" s="19" t="s">
        <v>38</v>
      </c>
      <c r="C1" s="19" t="s">
        <v>39</v>
      </c>
      <c r="D1" s="19" t="s">
        <v>40</v>
      </c>
      <c r="E1" s="19" t="s">
        <v>41</v>
      </c>
      <c r="F1" s="20" t="s">
        <v>22</v>
      </c>
      <c r="G1" s="19" t="s">
        <v>23</v>
      </c>
      <c r="H1" s="19" t="s">
        <v>24</v>
      </c>
      <c r="I1" s="19" t="s">
        <v>25</v>
      </c>
      <c r="J1" s="21" t="s">
        <v>0</v>
      </c>
      <c r="K1" s="22" t="s">
        <v>1</v>
      </c>
      <c r="L1" s="22" t="s">
        <v>2</v>
      </c>
      <c r="M1" s="22" t="s">
        <v>3</v>
      </c>
      <c r="N1" s="21" t="s">
        <v>34</v>
      </c>
      <c r="O1" s="22" t="s">
        <v>35</v>
      </c>
      <c r="P1" s="22" t="s">
        <v>36</v>
      </c>
      <c r="Q1" s="22" t="s">
        <v>37</v>
      </c>
      <c r="R1" s="21" t="s">
        <v>52</v>
      </c>
      <c r="S1" s="22" t="s">
        <v>53</v>
      </c>
      <c r="T1" s="22" t="s">
        <v>54</v>
      </c>
      <c r="U1" s="22" t="s">
        <v>55</v>
      </c>
      <c r="V1" s="21" t="s">
        <v>69</v>
      </c>
      <c r="W1" s="22" t="s">
        <v>74</v>
      </c>
      <c r="X1" s="22" t="s">
        <v>75</v>
      </c>
      <c r="Y1" s="22" t="s">
        <v>70</v>
      </c>
      <c r="Z1" s="19" t="s">
        <v>77</v>
      </c>
      <c r="AA1" s="19" t="s">
        <v>78</v>
      </c>
      <c r="AB1" s="19" t="s">
        <v>79</v>
      </c>
      <c r="AC1" s="19" t="s">
        <v>80</v>
      </c>
    </row>
    <row r="2" spans="1:29" s="19" customFormat="1" x14ac:dyDescent="0.15">
      <c r="A2" s="63"/>
      <c r="B2" s="56">
        <v>42094</v>
      </c>
      <c r="C2" s="56">
        <v>42185</v>
      </c>
      <c r="D2" s="56">
        <v>42277</v>
      </c>
      <c r="E2" s="56">
        <v>42369</v>
      </c>
      <c r="F2" s="57">
        <v>42460</v>
      </c>
      <c r="G2" s="56">
        <v>42551</v>
      </c>
      <c r="H2" s="56">
        <v>42643</v>
      </c>
      <c r="I2" s="56">
        <v>42735</v>
      </c>
      <c r="J2" s="57">
        <v>42825</v>
      </c>
      <c r="K2" s="56">
        <v>42916</v>
      </c>
      <c r="L2" s="56" t="s">
        <v>106</v>
      </c>
      <c r="M2" s="56">
        <v>43100</v>
      </c>
      <c r="N2" s="57">
        <v>43190</v>
      </c>
      <c r="O2" s="56">
        <v>43281</v>
      </c>
      <c r="P2" s="56">
        <v>43373</v>
      </c>
      <c r="Q2" s="56">
        <v>43465</v>
      </c>
      <c r="R2" s="57">
        <v>43555</v>
      </c>
      <c r="S2" s="56">
        <v>43646</v>
      </c>
      <c r="T2" s="56">
        <v>43738</v>
      </c>
      <c r="U2" s="56">
        <v>43830</v>
      </c>
      <c r="V2" s="57">
        <v>43921</v>
      </c>
      <c r="W2" s="56">
        <v>44012</v>
      </c>
      <c r="X2" s="56">
        <v>44104</v>
      </c>
      <c r="Y2" s="56"/>
    </row>
    <row r="3" spans="1:29" s="7" customFormat="1" x14ac:dyDescent="0.15">
      <c r="A3" s="64" t="s">
        <v>94</v>
      </c>
      <c r="B3" s="22">
        <v>68.498000000000005</v>
      </c>
      <c r="C3" s="22">
        <v>72.867000000000004</v>
      </c>
      <c r="D3" s="22">
        <v>74.286000000000001</v>
      </c>
      <c r="E3" s="22">
        <v>74.950999999999993</v>
      </c>
      <c r="F3" s="21">
        <v>77.534999999999997</v>
      </c>
      <c r="G3" s="22">
        <v>102.889</v>
      </c>
      <c r="H3" s="22">
        <v>131.00299999999999</v>
      </c>
      <c r="I3" s="22">
        <v>143.59700000000001</v>
      </c>
      <c r="J3" s="21">
        <v>159.80000000000001</v>
      </c>
      <c r="K3" s="22">
        <v>157.19999999999999</v>
      </c>
      <c r="L3" s="22">
        <v>176.6</v>
      </c>
      <c r="M3" s="22">
        <v>197.3</v>
      </c>
      <c r="N3" s="21">
        <v>184.2</v>
      </c>
      <c r="O3" s="22">
        <v>195.8</v>
      </c>
      <c r="P3" s="22">
        <v>220.8</v>
      </c>
      <c r="Q3" s="22">
        <v>265.39999999999998</v>
      </c>
      <c r="R3" s="21">
        <v>302.39999999999998</v>
      </c>
      <c r="S3" s="22">
        <v>340.9</v>
      </c>
      <c r="T3" s="22">
        <v>389.9</v>
      </c>
      <c r="U3" s="22">
        <v>428.3</v>
      </c>
      <c r="V3" s="21">
        <v>397.4</v>
      </c>
      <c r="W3" s="22">
        <v>465.3</v>
      </c>
      <c r="X3" s="22">
        <v>610.70000000000005</v>
      </c>
      <c r="Y3" s="22">
        <f>U3*1.5</f>
        <v>642.45000000000005</v>
      </c>
    </row>
    <row r="4" spans="1:29" s="7" customFormat="1" x14ac:dyDescent="0.15">
      <c r="A4" s="64" t="s">
        <v>95</v>
      </c>
      <c r="B4" s="22">
        <v>47.430999999999997</v>
      </c>
      <c r="C4" s="22">
        <v>56.83</v>
      </c>
      <c r="D4" s="22">
        <v>67.233999999999995</v>
      </c>
      <c r="E4" s="22">
        <v>73.515000000000001</v>
      </c>
      <c r="F4" s="21">
        <v>48.201000000000001</v>
      </c>
      <c r="G4" s="22">
        <v>67.700999999999993</v>
      </c>
      <c r="H4" s="22">
        <v>69.983000000000004</v>
      </c>
      <c r="I4" s="22">
        <v>76.367000000000004</v>
      </c>
      <c r="J4" s="21">
        <v>71.400000000000006</v>
      </c>
      <c r="K4" s="22">
        <v>88</v>
      </c>
      <c r="L4" s="22">
        <v>91.3</v>
      </c>
      <c r="M4" s="22">
        <v>108.7</v>
      </c>
      <c r="N4" s="21">
        <v>101.9</v>
      </c>
      <c r="O4" s="22">
        <v>100.1</v>
      </c>
      <c r="P4" s="22">
        <v>83.7</v>
      </c>
      <c r="Q4" s="22">
        <v>90.8</v>
      </c>
      <c r="R4" s="21">
        <v>93.8</v>
      </c>
      <c r="S4" s="22">
        <v>113.9</v>
      </c>
      <c r="T4" s="22">
        <v>116.2</v>
      </c>
      <c r="U4" s="22">
        <v>132.4</v>
      </c>
      <c r="V4" s="21">
        <v>132.9</v>
      </c>
      <c r="W4" s="22">
        <v>239.2</v>
      </c>
      <c r="X4" s="22">
        <v>284.7</v>
      </c>
      <c r="Y4" s="22">
        <f>U4*2.5</f>
        <v>331</v>
      </c>
    </row>
    <row r="5" spans="1:29" s="7" customFormat="1" x14ac:dyDescent="0.15">
      <c r="A5" s="64" t="s">
        <v>96</v>
      </c>
      <c r="B5" s="22">
        <v>9.4369999999999994</v>
      </c>
      <c r="C5" s="22">
        <v>9.9909999999999997</v>
      </c>
      <c r="D5" s="22">
        <v>9.8800000000000008</v>
      </c>
      <c r="E5" s="22">
        <v>11.03</v>
      </c>
      <c r="F5" s="21">
        <v>11.116</v>
      </c>
      <c r="G5" s="22">
        <v>11.452</v>
      </c>
      <c r="H5" s="22">
        <v>11.807</v>
      </c>
      <c r="I5" s="22">
        <v>11.957000000000001</v>
      </c>
      <c r="J5" s="21">
        <v>11.3</v>
      </c>
      <c r="K5" s="22">
        <v>10.8</v>
      </c>
      <c r="L5" s="22">
        <v>11.5</v>
      </c>
      <c r="M5" s="22">
        <v>17.7</v>
      </c>
      <c r="N5" s="21">
        <v>17.100000000000001</v>
      </c>
      <c r="O5" s="22">
        <v>17.5</v>
      </c>
      <c r="P5" s="22">
        <v>29</v>
      </c>
      <c r="Q5" s="22">
        <v>45.5</v>
      </c>
      <c r="R5" s="21">
        <v>54.6</v>
      </c>
      <c r="S5" s="22">
        <v>64.400000000000006</v>
      </c>
      <c r="T5" s="22">
        <v>71.400000000000006</v>
      </c>
      <c r="U5" s="22">
        <v>84.8</v>
      </c>
      <c r="V5" s="21">
        <v>94.8</v>
      </c>
      <c r="W5" s="22">
        <v>125.9</v>
      </c>
      <c r="X5" s="22">
        <v>150.4</v>
      </c>
      <c r="Y5" s="22">
        <f>U5*2</f>
        <v>169.6</v>
      </c>
    </row>
    <row r="6" spans="1:29" s="7" customFormat="1" x14ac:dyDescent="0.15">
      <c r="A6" s="64" t="s">
        <v>97</v>
      </c>
      <c r="B6" s="22">
        <f>13.955+8.782</f>
        <v>22.737000000000002</v>
      </c>
      <c r="C6" s="22">
        <f>5.714+8.912</f>
        <v>14.626000000000001</v>
      </c>
      <c r="D6" s="22">
        <f>8.86+8.381</f>
        <v>17.241</v>
      </c>
      <c r="E6" s="22">
        <f>11.946+9.29</f>
        <v>21.235999999999997</v>
      </c>
      <c r="F6" s="21">
        <f>12.105+8.673</f>
        <v>20.777999999999999</v>
      </c>
      <c r="G6" s="22">
        <f>7.452+10.141</f>
        <v>17.593</v>
      </c>
      <c r="H6" s="22">
        <f>6.885+11.169</f>
        <v>18.054000000000002</v>
      </c>
      <c r="I6" s="22">
        <f>10.734+13.62</f>
        <v>24.353999999999999</v>
      </c>
      <c r="J6" s="21">
        <f>14.4+12.8</f>
        <v>27.200000000000003</v>
      </c>
      <c r="K6" s="22">
        <f>14.2+13.8</f>
        <v>28</v>
      </c>
      <c r="L6" s="22">
        <f>9.8+15.8</f>
        <v>25.6</v>
      </c>
      <c r="M6" s="22">
        <f>16+18.4</f>
        <v>34.4</v>
      </c>
      <c r="N6" s="21">
        <v>17.8</v>
      </c>
      <c r="O6" s="22">
        <v>21.9</v>
      </c>
      <c r="P6" s="22">
        <v>21.8</v>
      </c>
      <c r="Q6" s="22">
        <v>26.3</v>
      </c>
      <c r="R6" s="21">
        <v>23</v>
      </c>
      <c r="S6" s="22">
        <v>26.1</v>
      </c>
      <c r="T6" s="22">
        <v>25.5</v>
      </c>
      <c r="U6" s="22">
        <v>28.7</v>
      </c>
      <c r="V6" s="21">
        <v>27</v>
      </c>
      <c r="W6" s="22">
        <v>49.9</v>
      </c>
      <c r="X6" s="22">
        <v>69.900000000000006</v>
      </c>
      <c r="Y6" s="22">
        <f>U6*2.5</f>
        <v>71.75</v>
      </c>
    </row>
    <row r="7" spans="1:29" s="19" customFormat="1" x14ac:dyDescent="0.15">
      <c r="A7" s="63"/>
      <c r="F7" s="20"/>
      <c r="J7" s="20"/>
      <c r="N7" s="20"/>
      <c r="R7" s="57"/>
      <c r="S7" s="56"/>
      <c r="T7" s="56"/>
      <c r="U7" s="56"/>
      <c r="V7" s="57"/>
      <c r="W7" s="56"/>
      <c r="X7" s="56"/>
      <c r="Y7" s="56"/>
    </row>
    <row r="8" spans="1:29" s="7" customFormat="1" x14ac:dyDescent="0.15">
      <c r="A8" s="64" t="s">
        <v>90</v>
      </c>
      <c r="B8" s="22"/>
      <c r="C8" s="22"/>
      <c r="D8" s="22"/>
      <c r="E8" s="22"/>
      <c r="F8" s="21"/>
      <c r="G8" s="22"/>
      <c r="H8" s="22"/>
      <c r="I8" s="22"/>
      <c r="J8" s="21"/>
      <c r="K8" s="22"/>
      <c r="L8" s="22"/>
      <c r="M8" s="22"/>
      <c r="N8" s="21"/>
      <c r="O8" s="22"/>
      <c r="P8" s="22"/>
      <c r="Q8" s="22"/>
      <c r="R8" s="21">
        <v>286.80500000000001</v>
      </c>
      <c r="S8" s="22">
        <v>324.01600000000002</v>
      </c>
      <c r="T8" s="22">
        <v>346.20800000000003</v>
      </c>
      <c r="U8" s="22"/>
      <c r="V8" s="21">
        <v>380.71</v>
      </c>
      <c r="W8" s="22">
        <v>581.70299999999997</v>
      </c>
      <c r="X8" s="22">
        <v>724.46600000000001</v>
      </c>
      <c r="Y8" s="22"/>
    </row>
    <row r="9" spans="1:29" s="7" customFormat="1" x14ac:dyDescent="0.15">
      <c r="A9" s="64" t="s">
        <v>91</v>
      </c>
      <c r="B9" s="22"/>
      <c r="C9" s="22"/>
      <c r="D9" s="22"/>
      <c r="E9" s="22"/>
      <c r="F9" s="21"/>
      <c r="G9" s="22"/>
      <c r="H9" s="22"/>
      <c r="I9" s="22"/>
      <c r="J9" s="21"/>
      <c r="K9" s="22"/>
      <c r="L9" s="22"/>
      <c r="M9" s="22"/>
      <c r="N9" s="21"/>
      <c r="O9" s="22"/>
      <c r="P9" s="22"/>
      <c r="Q9" s="22"/>
      <c r="R9" s="21">
        <v>186.965</v>
      </c>
      <c r="S9" s="22">
        <v>221.226</v>
      </c>
      <c r="T9" s="22">
        <v>256.82299999999998</v>
      </c>
      <c r="U9" s="22"/>
      <c r="V9" s="21">
        <v>271.38099999999997</v>
      </c>
      <c r="W9" s="22">
        <v>296.666</v>
      </c>
      <c r="X9" s="22">
        <v>391.23500000000001</v>
      </c>
      <c r="Y9" s="22"/>
    </row>
    <row r="10" spans="1:29" s="7" customFormat="1" x14ac:dyDescent="0.15">
      <c r="A10" s="64"/>
      <c r="B10" s="22"/>
      <c r="C10" s="22"/>
      <c r="D10" s="22"/>
      <c r="E10" s="22"/>
      <c r="F10" s="21"/>
      <c r="G10" s="22"/>
      <c r="H10" s="22"/>
      <c r="I10" s="22"/>
      <c r="J10" s="21"/>
      <c r="K10" s="22"/>
      <c r="L10" s="22"/>
      <c r="M10" s="22"/>
      <c r="N10" s="21"/>
      <c r="O10" s="22"/>
      <c r="P10" s="22"/>
      <c r="Q10" s="22"/>
      <c r="R10" s="21"/>
      <c r="S10" s="22"/>
      <c r="T10" s="22"/>
      <c r="U10" s="22"/>
      <c r="V10" s="21"/>
      <c r="W10" s="22"/>
      <c r="X10" s="22"/>
      <c r="Y10" s="22"/>
    </row>
    <row r="11" spans="1:29" s="7" customFormat="1" x14ac:dyDescent="0.15">
      <c r="A11" s="64" t="s">
        <v>82</v>
      </c>
      <c r="B11" s="22"/>
      <c r="C11" s="22"/>
      <c r="D11" s="22"/>
      <c r="E11" s="22"/>
      <c r="F11" s="21"/>
      <c r="G11" s="22"/>
      <c r="H11" s="22"/>
      <c r="I11" s="22"/>
      <c r="J11" s="21"/>
      <c r="K11" s="22"/>
      <c r="L11" s="22"/>
      <c r="M11" s="22"/>
      <c r="N11" s="21"/>
      <c r="O11" s="22"/>
      <c r="P11" s="22"/>
      <c r="Q11" s="22"/>
      <c r="R11" s="21">
        <v>33</v>
      </c>
      <c r="S11" s="22">
        <v>47.6</v>
      </c>
      <c r="T11" s="22">
        <v>39.6</v>
      </c>
      <c r="U11" s="22"/>
      <c r="V11" s="21">
        <v>43.2</v>
      </c>
      <c r="W11" s="22">
        <v>65.5</v>
      </c>
      <c r="X11" s="22">
        <v>76.099999999999994</v>
      </c>
      <c r="Y11" s="22"/>
    </row>
    <row r="12" spans="1:29" s="7" customFormat="1" x14ac:dyDescent="0.15">
      <c r="A12" s="64" t="s">
        <v>83</v>
      </c>
      <c r="B12" s="22"/>
      <c r="C12" s="22"/>
      <c r="D12" s="22"/>
      <c r="E12" s="22"/>
      <c r="F12" s="21"/>
      <c r="G12" s="22"/>
      <c r="H12" s="22"/>
      <c r="I12" s="22"/>
      <c r="J12" s="21"/>
      <c r="K12" s="22"/>
      <c r="L12" s="22"/>
      <c r="M12" s="22"/>
      <c r="N12" s="21"/>
      <c r="O12" s="22"/>
      <c r="P12" s="22"/>
      <c r="Q12" s="22"/>
      <c r="R12" s="27">
        <f>SUM(R8:R9)/R11</f>
        <v>14.356666666666666</v>
      </c>
      <c r="S12" s="26">
        <f>SUM(S8:S9)/S11</f>
        <v>11.454663865546218</v>
      </c>
      <c r="T12" s="26">
        <f>SUM(T8:T9)/T11</f>
        <v>15.228055555555553</v>
      </c>
      <c r="U12" s="22"/>
      <c r="V12" s="27">
        <f>SUM(V8:V9)/V11</f>
        <v>15.09469907407407</v>
      </c>
      <c r="W12" s="26">
        <f>SUM(W8:W9)/W11</f>
        <v>13.410213740458014</v>
      </c>
      <c r="X12" s="26">
        <f>SUM(X8:X9)/X11</f>
        <v>14.660985545335087</v>
      </c>
      <c r="Y12" s="22"/>
    </row>
    <row r="13" spans="1:29" s="22" customFormat="1" x14ac:dyDescent="0.15">
      <c r="A13" s="64"/>
      <c r="F13" s="21"/>
      <c r="J13" s="21"/>
      <c r="N13" s="21"/>
      <c r="R13" s="21"/>
      <c r="V13" s="21"/>
    </row>
    <row r="14" spans="1:29" s="16" customFormat="1" x14ac:dyDescent="0.15">
      <c r="A14" s="65" t="s">
        <v>4</v>
      </c>
      <c r="B14" s="23">
        <f>SUM(B3:B6)</f>
        <v>148.10300000000001</v>
      </c>
      <c r="C14" s="23">
        <f>SUM(C3:C6)</f>
        <v>154.31399999999999</v>
      </c>
      <c r="D14" s="23">
        <f>SUM(D3:D6)</f>
        <v>168.64099999999996</v>
      </c>
      <c r="E14" s="23">
        <f>SUM(E3:E6)</f>
        <v>180.732</v>
      </c>
      <c r="F14" s="24">
        <f>SUM(F3:F6)</f>
        <v>157.62999999999997</v>
      </c>
      <c r="G14" s="23">
        <f>SUM(G3:G6)</f>
        <v>199.63499999999996</v>
      </c>
      <c r="H14" s="23">
        <f>SUM(H3:H6)</f>
        <v>230.84699999999998</v>
      </c>
      <c r="I14" s="23">
        <f>SUM(I3:I6)</f>
        <v>256.27499999999998</v>
      </c>
      <c r="J14" s="24">
        <f>SUM(J3:J6)</f>
        <v>269.70000000000005</v>
      </c>
      <c r="K14" s="23">
        <f>SUM(K3:K6)</f>
        <v>284</v>
      </c>
      <c r="L14" s="23">
        <f>SUM(L3:L6)</f>
        <v>305</v>
      </c>
      <c r="M14" s="23">
        <f>SUM(M3:M6)</f>
        <v>358.09999999999997</v>
      </c>
      <c r="N14" s="24">
        <f>SUM(N3:N6)</f>
        <v>321.00000000000006</v>
      </c>
      <c r="O14" s="23">
        <f>SUM(O3:O6)</f>
        <v>335.29999999999995</v>
      </c>
      <c r="P14" s="23">
        <f>SUM(P3:P6)</f>
        <v>355.3</v>
      </c>
      <c r="Q14" s="23">
        <f>SUM(Q3:Q6)</f>
        <v>428</v>
      </c>
      <c r="R14" s="24">
        <f>R12*R11</f>
        <v>473.77</v>
      </c>
      <c r="S14" s="23">
        <f>S12*S11</f>
        <v>545.24199999999996</v>
      </c>
      <c r="T14" s="23">
        <f>T12*T11</f>
        <v>603.03099999999995</v>
      </c>
      <c r="U14" s="23">
        <f>SUM(U3:U6)</f>
        <v>674.2</v>
      </c>
      <c r="V14" s="24">
        <f>V12*V11</f>
        <v>652.09099999999989</v>
      </c>
      <c r="W14" s="23">
        <f>W12*W11</f>
        <v>878.36899999999991</v>
      </c>
      <c r="X14" s="23">
        <f>X12*X11</f>
        <v>1115.701</v>
      </c>
      <c r="Y14" s="23">
        <f>SUM(Y3:Y6)</f>
        <v>1214.8</v>
      </c>
    </row>
    <row r="15" spans="1:29" s="7" customFormat="1" x14ac:dyDescent="0.15">
      <c r="A15" s="64" t="s">
        <v>5</v>
      </c>
      <c r="B15" s="22">
        <v>44.707999999999998</v>
      </c>
      <c r="C15" s="22">
        <v>50.311</v>
      </c>
      <c r="D15" s="22">
        <v>56.813000000000002</v>
      </c>
      <c r="E15" s="22">
        <v>63.161999999999999</v>
      </c>
      <c r="F15" s="21">
        <v>55.448</v>
      </c>
      <c r="G15" s="22">
        <v>73.346000000000004</v>
      </c>
      <c r="H15" s="22">
        <v>85.198999999999998</v>
      </c>
      <c r="I15" s="22">
        <v>93.546000000000006</v>
      </c>
      <c r="J15" s="21">
        <v>100.819</v>
      </c>
      <c r="K15" s="22">
        <v>112.328</v>
      </c>
      <c r="L15" s="22">
        <v>129.09399999999999</v>
      </c>
      <c r="M15" s="22">
        <v>154.70099999999999</v>
      </c>
      <c r="N15" s="21">
        <v>158.21799999999999</v>
      </c>
      <c r="O15" s="22">
        <v>175.62799999999999</v>
      </c>
      <c r="P15" s="22">
        <v>185.56299999999999</v>
      </c>
      <c r="Q15" s="22">
        <v>223.23599999999999</v>
      </c>
      <c r="R15" s="21">
        <v>236.76599999999999</v>
      </c>
      <c r="S15" s="22">
        <v>272.81200000000001</v>
      </c>
      <c r="T15" s="50">
        <v>318.68900000000002</v>
      </c>
      <c r="U15" s="50">
        <v>365.92399999999998</v>
      </c>
      <c r="V15" s="21">
        <v>339.27699999999999</v>
      </c>
      <c r="W15" s="50">
        <v>451.197</v>
      </c>
      <c r="X15" s="50">
        <v>635.51099999999997</v>
      </c>
      <c r="Y15" s="22"/>
    </row>
    <row r="16" spans="1:29" s="7" customFormat="1" x14ac:dyDescent="0.15">
      <c r="A16" s="64" t="s">
        <v>6</v>
      </c>
      <c r="B16" s="26">
        <f>B14-B15</f>
        <v>103.39500000000001</v>
      </c>
      <c r="C16" s="26">
        <f>C14-C15</f>
        <v>104.00299999999999</v>
      </c>
      <c r="D16" s="26">
        <f>D14-D15</f>
        <v>111.82799999999996</v>
      </c>
      <c r="E16" s="26">
        <f>E14-E15</f>
        <v>117.57</v>
      </c>
      <c r="F16" s="27">
        <f>F14-F15</f>
        <v>102.18199999999996</v>
      </c>
      <c r="G16" s="26">
        <f t="shared" ref="G16:L16" si="0">G14-G15</f>
        <v>126.28899999999996</v>
      </c>
      <c r="H16" s="26">
        <f t="shared" si="0"/>
        <v>145.64799999999997</v>
      </c>
      <c r="I16" s="26">
        <f t="shared" si="0"/>
        <v>162.72899999999998</v>
      </c>
      <c r="J16" s="27">
        <f t="shared" si="0"/>
        <v>168.88100000000003</v>
      </c>
      <c r="K16" s="26">
        <f t="shared" si="0"/>
        <v>171.672</v>
      </c>
      <c r="L16" s="26">
        <f t="shared" si="0"/>
        <v>175.90600000000001</v>
      </c>
      <c r="M16" s="26">
        <f t="shared" ref="M16" si="1">M14-M15</f>
        <v>203.39899999999997</v>
      </c>
      <c r="N16" s="27">
        <f>N14-N15</f>
        <v>162.78200000000007</v>
      </c>
      <c r="O16" s="26">
        <f>O14-O15</f>
        <v>159.67199999999997</v>
      </c>
      <c r="P16" s="26">
        <f t="shared" ref="P16:R16" si="2">P14-P15</f>
        <v>169.73700000000002</v>
      </c>
      <c r="Q16" s="26">
        <f t="shared" si="2"/>
        <v>204.76400000000001</v>
      </c>
      <c r="R16" s="27">
        <f t="shared" si="2"/>
        <v>237.00399999999999</v>
      </c>
      <c r="S16" s="26">
        <f t="shared" ref="S16:X16" si="3">S14-S15</f>
        <v>272.42999999999995</v>
      </c>
      <c r="T16" s="26">
        <f t="shared" si="3"/>
        <v>284.34199999999993</v>
      </c>
      <c r="U16" s="26">
        <f t="shared" si="3"/>
        <v>308.27600000000007</v>
      </c>
      <c r="V16" s="27">
        <f t="shared" ref="V16" si="4">V14-V15</f>
        <v>312.81399999999991</v>
      </c>
      <c r="W16" s="26">
        <f t="shared" si="3"/>
        <v>427.17199999999991</v>
      </c>
      <c r="X16" s="26">
        <f t="shared" si="3"/>
        <v>480.19000000000005</v>
      </c>
      <c r="Y16" s="22"/>
    </row>
    <row r="17" spans="1:25" s="7" customFormat="1" x14ac:dyDescent="0.15">
      <c r="A17" s="64" t="s">
        <v>7</v>
      </c>
      <c r="B17" s="22">
        <v>17</v>
      </c>
      <c r="C17" s="22">
        <v>20</v>
      </c>
      <c r="D17" s="22">
        <v>17</v>
      </c>
      <c r="E17" s="22">
        <v>22</v>
      </c>
      <c r="F17" s="21">
        <v>22</v>
      </c>
      <c r="G17" s="22">
        <v>24</v>
      </c>
      <c r="H17" s="22">
        <v>26</v>
      </c>
      <c r="I17" s="22">
        <v>26</v>
      </c>
      <c r="J17" s="21">
        <v>30</v>
      </c>
      <c r="K17" s="22">
        <v>30</v>
      </c>
      <c r="L17" s="22">
        <v>32</v>
      </c>
      <c r="M17" s="22">
        <v>34</v>
      </c>
      <c r="N17" s="21">
        <v>38</v>
      </c>
      <c r="O17" s="22">
        <v>33</v>
      </c>
      <c r="P17" s="22">
        <v>35</v>
      </c>
      <c r="Q17" s="22">
        <v>39</v>
      </c>
      <c r="R17" s="21">
        <v>52</v>
      </c>
      <c r="S17" s="22">
        <v>54</v>
      </c>
      <c r="T17" s="50">
        <v>59</v>
      </c>
      <c r="U17" s="50">
        <v>58</v>
      </c>
      <c r="V17" s="21">
        <v>73</v>
      </c>
      <c r="W17" s="50">
        <v>73</v>
      </c>
      <c r="X17" s="50">
        <v>89</v>
      </c>
      <c r="Y17" s="22"/>
    </row>
    <row r="18" spans="1:25" s="7" customFormat="1" x14ac:dyDescent="0.15">
      <c r="A18" s="64" t="s">
        <v>8</v>
      </c>
      <c r="B18" s="22">
        <v>26</v>
      </c>
      <c r="C18" s="22">
        <v>29</v>
      </c>
      <c r="D18" s="22">
        <v>31</v>
      </c>
      <c r="E18" s="22">
        <v>42</v>
      </c>
      <c r="F18" s="21">
        <v>33</v>
      </c>
      <c r="G18" s="22">
        <v>35</v>
      </c>
      <c r="H18" s="22">
        <v>40</v>
      </c>
      <c r="I18" s="22">
        <v>49</v>
      </c>
      <c r="J18" s="21">
        <v>47</v>
      </c>
      <c r="K18" s="22">
        <v>77</v>
      </c>
      <c r="L18" s="22">
        <v>84</v>
      </c>
      <c r="M18" s="22">
        <v>117</v>
      </c>
      <c r="N18" s="21">
        <v>111</v>
      </c>
      <c r="O18" s="22">
        <v>121</v>
      </c>
      <c r="P18" s="22">
        <v>110</v>
      </c>
      <c r="Q18" s="22">
        <v>140</v>
      </c>
      <c r="R18" s="21">
        <v>131</v>
      </c>
      <c r="S18" s="22">
        <v>181</v>
      </c>
      <c r="T18" s="50">
        <v>253</v>
      </c>
      <c r="U18" s="50">
        <v>270</v>
      </c>
      <c r="V18" s="21">
        <v>207</v>
      </c>
      <c r="W18" s="50">
        <v>184</v>
      </c>
      <c r="X18" s="50">
        <v>230</v>
      </c>
      <c r="Y18" s="22"/>
    </row>
    <row r="19" spans="1:25" s="7" customFormat="1" x14ac:dyDescent="0.15">
      <c r="A19" s="64" t="s">
        <v>9</v>
      </c>
      <c r="B19" s="22">
        <f>18+16</f>
        <v>34</v>
      </c>
      <c r="C19" s="22">
        <v>21</v>
      </c>
      <c r="D19" s="22">
        <v>18</v>
      </c>
      <c r="E19" s="22">
        <v>19</v>
      </c>
      <c r="F19" s="21">
        <v>17</v>
      </c>
      <c r="G19" s="22">
        <f>21+14</f>
        <v>35</v>
      </c>
      <c r="H19" s="22">
        <v>26</v>
      </c>
      <c r="I19" s="22">
        <v>23</v>
      </c>
      <c r="J19" s="21">
        <v>28</v>
      </c>
      <c r="K19" s="22">
        <f>31+3</f>
        <v>34</v>
      </c>
      <c r="L19" s="22">
        <v>32</v>
      </c>
      <c r="M19" s="22">
        <f>31+86</f>
        <v>117</v>
      </c>
      <c r="N19" s="21">
        <v>43</v>
      </c>
      <c r="O19" s="22">
        <v>33</v>
      </c>
      <c r="P19" s="22">
        <v>35</v>
      </c>
      <c r="Q19" s="22">
        <v>27</v>
      </c>
      <c r="R19" s="21">
        <v>44</v>
      </c>
      <c r="S19" s="22">
        <v>50</v>
      </c>
      <c r="T19" s="50">
        <v>54</v>
      </c>
      <c r="U19" s="50">
        <v>49</v>
      </c>
      <c r="V19" s="21">
        <v>63</v>
      </c>
      <c r="W19" s="50">
        <v>70</v>
      </c>
      <c r="X19" s="50">
        <v>79</v>
      </c>
      <c r="Y19" s="22"/>
    </row>
    <row r="20" spans="1:25" s="7" customFormat="1" x14ac:dyDescent="0.15">
      <c r="A20" s="64" t="s">
        <v>10</v>
      </c>
      <c r="B20" s="26">
        <f>SUM(B17:B19)</f>
        <v>77</v>
      </c>
      <c r="C20" s="26">
        <f>SUM(C17:C19)</f>
        <v>70</v>
      </c>
      <c r="D20" s="26">
        <f>SUM(D17:D19)</f>
        <v>66</v>
      </c>
      <c r="E20" s="26">
        <f>SUM(E17:E19)</f>
        <v>83</v>
      </c>
      <c r="F20" s="27">
        <f>SUM(F17:F19)</f>
        <v>72</v>
      </c>
      <c r="G20" s="26">
        <f t="shared" ref="G20:L20" si="5">SUM(G17:G19)</f>
        <v>94</v>
      </c>
      <c r="H20" s="26">
        <f t="shared" si="5"/>
        <v>92</v>
      </c>
      <c r="I20" s="26">
        <f t="shared" si="5"/>
        <v>98</v>
      </c>
      <c r="J20" s="27">
        <f t="shared" si="5"/>
        <v>105</v>
      </c>
      <c r="K20" s="26">
        <f t="shared" si="5"/>
        <v>141</v>
      </c>
      <c r="L20" s="26">
        <f t="shared" si="5"/>
        <v>148</v>
      </c>
      <c r="M20" s="26">
        <f t="shared" ref="M20:N20" si="6">SUM(M17:M19)</f>
        <v>268</v>
      </c>
      <c r="N20" s="27">
        <f t="shared" si="6"/>
        <v>192</v>
      </c>
      <c r="O20" s="26">
        <f t="shared" ref="O20:P20" si="7">SUM(O17:O19)</f>
        <v>187</v>
      </c>
      <c r="P20" s="26">
        <f t="shared" si="7"/>
        <v>180</v>
      </c>
      <c r="Q20" s="26">
        <f t="shared" ref="Q20:S20" si="8">SUM(Q17:Q19)</f>
        <v>206</v>
      </c>
      <c r="R20" s="27">
        <f t="shared" si="8"/>
        <v>227</v>
      </c>
      <c r="S20" s="26">
        <f t="shared" si="8"/>
        <v>285</v>
      </c>
      <c r="T20" s="26">
        <f t="shared" ref="T20:U20" si="9">SUM(T17:T19)</f>
        <v>366</v>
      </c>
      <c r="U20" s="26">
        <f t="shared" si="9"/>
        <v>377</v>
      </c>
      <c r="V20" s="27">
        <f t="shared" ref="V20:X20" si="10">SUM(V17:V19)</f>
        <v>343</v>
      </c>
      <c r="W20" s="26">
        <f t="shared" si="10"/>
        <v>327</v>
      </c>
      <c r="X20" s="26">
        <f t="shared" si="10"/>
        <v>398</v>
      </c>
      <c r="Y20" s="22"/>
    </row>
    <row r="21" spans="1:25" s="7" customFormat="1" x14ac:dyDescent="0.15">
      <c r="A21" s="64" t="s">
        <v>11</v>
      </c>
      <c r="B21" s="26">
        <f>B16-B20</f>
        <v>26.39500000000001</v>
      </c>
      <c r="C21" s="26">
        <f>C16-C20</f>
        <v>34.002999999999986</v>
      </c>
      <c r="D21" s="26">
        <f>D16-D20</f>
        <v>45.82799999999996</v>
      </c>
      <c r="E21" s="26">
        <f>E16-E20</f>
        <v>34.569999999999993</v>
      </c>
      <c r="F21" s="27">
        <f>F16-F20</f>
        <v>30.18199999999996</v>
      </c>
      <c r="G21" s="26">
        <f t="shared" ref="G21:H21" si="11">G16-G20</f>
        <v>32.288999999999959</v>
      </c>
      <c r="H21" s="26">
        <f t="shared" si="11"/>
        <v>53.647999999999968</v>
      </c>
      <c r="I21" s="26">
        <f t="shared" ref="I21:P21" si="12">I16-I20</f>
        <v>64.728999999999985</v>
      </c>
      <c r="J21" s="27">
        <f t="shared" si="12"/>
        <v>63.881000000000029</v>
      </c>
      <c r="K21" s="26">
        <f t="shared" si="12"/>
        <v>30.671999999999997</v>
      </c>
      <c r="L21" s="26">
        <f t="shared" si="12"/>
        <v>27.906000000000006</v>
      </c>
      <c r="M21" s="26">
        <f t="shared" si="12"/>
        <v>-64.601000000000028</v>
      </c>
      <c r="N21" s="27">
        <f t="shared" si="12"/>
        <v>-29.217999999999932</v>
      </c>
      <c r="O21" s="26">
        <f t="shared" si="12"/>
        <v>-27.328000000000031</v>
      </c>
      <c r="P21" s="26">
        <f t="shared" si="12"/>
        <v>-10.262999999999977</v>
      </c>
      <c r="Q21" s="26">
        <f t="shared" ref="Q21:S21" si="13">Q16-Q20</f>
        <v>-1.23599999999999</v>
      </c>
      <c r="R21" s="27">
        <f t="shared" si="13"/>
        <v>10.003999999999991</v>
      </c>
      <c r="S21" s="26">
        <f t="shared" si="13"/>
        <v>-12.57000000000005</v>
      </c>
      <c r="T21" s="26">
        <f t="shared" ref="T21:U21" si="14">T16-T20</f>
        <v>-81.658000000000072</v>
      </c>
      <c r="U21" s="26">
        <f t="shared" si="14"/>
        <v>-68.723999999999933</v>
      </c>
      <c r="V21" s="27">
        <f t="shared" ref="V21:X21" si="15">V16-V20</f>
        <v>-30.186000000000092</v>
      </c>
      <c r="W21" s="26">
        <f t="shared" si="15"/>
        <v>100.17199999999991</v>
      </c>
      <c r="X21" s="26">
        <f t="shared" si="15"/>
        <v>82.190000000000055</v>
      </c>
      <c r="Y21" s="22"/>
    </row>
    <row r="22" spans="1:25" s="7" customFormat="1" x14ac:dyDescent="0.15">
      <c r="A22" s="64" t="s">
        <v>12</v>
      </c>
      <c r="B22" s="22">
        <f>4-5-9</f>
        <v>-10</v>
      </c>
      <c r="C22" s="22">
        <f>5-5-1</f>
        <v>-1</v>
      </c>
      <c r="D22" s="22">
        <f>6-6+3</f>
        <v>3</v>
      </c>
      <c r="E22" s="22">
        <f>6-4+18</f>
        <v>20</v>
      </c>
      <c r="F22" s="21">
        <f>7-6+5</f>
        <v>6</v>
      </c>
      <c r="G22" s="22">
        <f>8-7-5</f>
        <v>-4</v>
      </c>
      <c r="H22" s="22">
        <f>10-6-5</f>
        <v>-1</v>
      </c>
      <c r="I22" s="22">
        <f>10-7-1</f>
        <v>2</v>
      </c>
      <c r="J22" s="21">
        <f>12-6+1</f>
        <v>7</v>
      </c>
      <c r="K22" s="22">
        <f>11-7-22</f>
        <v>-18</v>
      </c>
      <c r="L22" s="22">
        <f>14-7+2</f>
        <v>9</v>
      </c>
      <c r="M22" s="22">
        <f>9-7-2</f>
        <v>0</v>
      </c>
      <c r="N22" s="21">
        <f>9-11+6</f>
        <v>4</v>
      </c>
      <c r="O22" s="22">
        <f>10-13+13</f>
        <v>10</v>
      </c>
      <c r="P22" s="22">
        <f>9-16+4</f>
        <v>-3</v>
      </c>
      <c r="Q22" s="22">
        <f>14-16-4</f>
        <v>-6</v>
      </c>
      <c r="R22" s="21">
        <f>24-16-4</f>
        <v>4</v>
      </c>
      <c r="S22" s="22">
        <f>34-15+1</f>
        <v>20</v>
      </c>
      <c r="T22" s="50">
        <f>28-14+1</f>
        <v>15</v>
      </c>
      <c r="U22" s="50">
        <f>27-21+0</f>
        <v>6</v>
      </c>
      <c r="V22" s="21">
        <f>37-24-0</f>
        <v>13</v>
      </c>
      <c r="W22" s="50">
        <f>19-27-2</f>
        <v>-10</v>
      </c>
      <c r="X22" s="50">
        <f>25-25-30</f>
        <v>-30</v>
      </c>
      <c r="Y22" s="22"/>
    </row>
    <row r="23" spans="1:25" s="7" customFormat="1" x14ac:dyDescent="0.15">
      <c r="A23" s="64" t="s">
        <v>13</v>
      </c>
      <c r="B23" s="26">
        <f>B21+B22</f>
        <v>16.39500000000001</v>
      </c>
      <c r="C23" s="26">
        <f>C21+C22</f>
        <v>33.002999999999986</v>
      </c>
      <c r="D23" s="26">
        <f>D21+D22</f>
        <v>48.82799999999996</v>
      </c>
      <c r="E23" s="26">
        <f>E21+E22</f>
        <v>54.569999999999993</v>
      </c>
      <c r="F23" s="27">
        <f>F21+F22</f>
        <v>36.18199999999996</v>
      </c>
      <c r="G23" s="26">
        <f t="shared" ref="G23:I23" si="16">G21+G22</f>
        <v>28.288999999999959</v>
      </c>
      <c r="H23" s="26">
        <f t="shared" si="16"/>
        <v>52.647999999999968</v>
      </c>
      <c r="I23" s="26">
        <f t="shared" si="16"/>
        <v>66.728999999999985</v>
      </c>
      <c r="J23" s="27">
        <f t="shared" ref="J23:K23" si="17">J21+J22</f>
        <v>70.881000000000029</v>
      </c>
      <c r="K23" s="26">
        <f t="shared" si="17"/>
        <v>12.671999999999997</v>
      </c>
      <c r="L23" s="26">
        <f t="shared" ref="L23:N23" si="18">L21+L22</f>
        <v>36.906000000000006</v>
      </c>
      <c r="M23" s="26">
        <f>M21+M22</f>
        <v>-64.601000000000028</v>
      </c>
      <c r="N23" s="27">
        <f t="shared" si="18"/>
        <v>-25.217999999999932</v>
      </c>
      <c r="O23" s="26">
        <f t="shared" ref="O23" si="19">O21+O22</f>
        <v>-17.328000000000031</v>
      </c>
      <c r="P23" s="26">
        <f t="shared" ref="P23:T23" si="20">P21+P22</f>
        <v>-13.262999999999977</v>
      </c>
      <c r="Q23" s="26">
        <f t="shared" si="20"/>
        <v>-7.23599999999999</v>
      </c>
      <c r="R23" s="27">
        <f t="shared" si="20"/>
        <v>14.003999999999991</v>
      </c>
      <c r="S23" s="26">
        <f t="shared" si="20"/>
        <v>7.42999999999995</v>
      </c>
      <c r="T23" s="26">
        <f t="shared" si="20"/>
        <v>-66.658000000000072</v>
      </c>
      <c r="U23" s="26">
        <f t="shared" ref="U23" si="21">U21+U22</f>
        <v>-62.723999999999933</v>
      </c>
      <c r="V23" s="27">
        <f t="shared" ref="V23:X23" si="22">V21+V22</f>
        <v>-17.186000000000092</v>
      </c>
      <c r="W23" s="26">
        <f t="shared" si="22"/>
        <v>90.171999999999912</v>
      </c>
      <c r="X23" s="26">
        <f t="shared" si="22"/>
        <v>52.190000000000055</v>
      </c>
      <c r="Y23" s="22"/>
    </row>
    <row r="24" spans="1:25" s="7" customFormat="1" x14ac:dyDescent="0.15">
      <c r="A24" s="64" t="s">
        <v>14</v>
      </c>
      <c r="B24" s="22">
        <v>15</v>
      </c>
      <c r="C24" s="22">
        <v>14</v>
      </c>
      <c r="D24" s="22">
        <v>2</v>
      </c>
      <c r="E24" s="22">
        <v>14</v>
      </c>
      <c r="F24" s="21">
        <v>7</v>
      </c>
      <c r="G24" s="22">
        <v>12</v>
      </c>
      <c r="H24" s="22">
        <v>13</v>
      </c>
      <c r="I24" s="22">
        <v>16</v>
      </c>
      <c r="J24" s="21">
        <v>21</v>
      </c>
      <c r="K24" s="22">
        <v>7</v>
      </c>
      <c r="L24" s="22">
        <v>9</v>
      </c>
      <c r="M24" s="22">
        <v>3</v>
      </c>
      <c r="N24" s="21">
        <v>-12</v>
      </c>
      <c r="O24" s="22">
        <v>-8</v>
      </c>
      <c r="P24" s="22">
        <v>-4</v>
      </c>
      <c r="Q24" s="22">
        <v>-4</v>
      </c>
      <c r="R24" s="21">
        <v>3</v>
      </c>
      <c r="S24" s="22">
        <v>-9</v>
      </c>
      <c r="T24" s="22">
        <v>79</v>
      </c>
      <c r="U24" s="22">
        <v>-9</v>
      </c>
      <c r="V24" s="21">
        <v>4</v>
      </c>
      <c r="W24" s="22">
        <v>33</v>
      </c>
      <c r="X24" s="22">
        <v>38</v>
      </c>
      <c r="Y24" s="22"/>
    </row>
    <row r="25" spans="1:25" s="16" customFormat="1" x14ac:dyDescent="0.15">
      <c r="A25" s="65" t="s">
        <v>15</v>
      </c>
      <c r="B25" s="23">
        <f>B23-B24</f>
        <v>1.3950000000000102</v>
      </c>
      <c r="C25" s="23">
        <f>C23-C24</f>
        <v>19.002999999999986</v>
      </c>
      <c r="D25" s="23">
        <f>D23-D24</f>
        <v>46.82799999999996</v>
      </c>
      <c r="E25" s="23">
        <f>E23-E24</f>
        <v>40.569999999999993</v>
      </c>
      <c r="F25" s="24">
        <f>F23-F24</f>
        <v>29.18199999999996</v>
      </c>
      <c r="G25" s="23">
        <f>G23-G24</f>
        <v>16.288999999999959</v>
      </c>
      <c r="H25" s="23">
        <f>H23-H24</f>
        <v>39.647999999999968</v>
      </c>
      <c r="I25" s="23">
        <f>I23-I24</f>
        <v>50.728999999999985</v>
      </c>
      <c r="J25" s="24">
        <f>J23-J24</f>
        <v>49.881000000000029</v>
      </c>
      <c r="K25" s="23">
        <f>K23-K24</f>
        <v>5.671999999999997</v>
      </c>
      <c r="L25" s="23">
        <f>L23-L24</f>
        <v>27.906000000000006</v>
      </c>
      <c r="M25" s="23">
        <f>M23-M24</f>
        <v>-67.601000000000028</v>
      </c>
      <c r="N25" s="24">
        <f>N23-N24</f>
        <v>-13.217999999999932</v>
      </c>
      <c r="O25" s="23">
        <f>O23-O24</f>
        <v>-9.3280000000000314</v>
      </c>
      <c r="P25" s="23">
        <f>P23-P24</f>
        <v>-9.2629999999999768</v>
      </c>
      <c r="Q25" s="23">
        <f>Q23-Q24</f>
        <v>-3.23599999999999</v>
      </c>
      <c r="R25" s="24">
        <f>R23-R24</f>
        <v>11.003999999999991</v>
      </c>
      <c r="S25" s="23">
        <f>S23-S24</f>
        <v>16.42999999999995</v>
      </c>
      <c r="T25" s="23">
        <f>T23-T24</f>
        <v>-145.65800000000007</v>
      </c>
      <c r="U25" s="23">
        <f>U23-U24</f>
        <v>-53.723999999999933</v>
      </c>
      <c r="V25" s="24">
        <f>V23-V24</f>
        <v>-21.186000000000092</v>
      </c>
      <c r="W25" s="23">
        <f>W23-W24</f>
        <v>57.171999999999912</v>
      </c>
      <c r="X25" s="23">
        <f>X23-X24</f>
        <v>14.190000000000055</v>
      </c>
      <c r="Y25" s="22"/>
    </row>
    <row r="26" spans="1:25" s="3" customFormat="1" x14ac:dyDescent="0.15">
      <c r="A26" s="66" t="s">
        <v>16</v>
      </c>
      <c r="B26" s="58">
        <f t="shared" ref="B26:H26" si="23">IFERROR(B25/B27,0)</f>
        <v>3.1593397011731417E-2</v>
      </c>
      <c r="C26" s="58">
        <f t="shared" si="23"/>
        <v>0.43036764512214148</v>
      </c>
      <c r="D26" s="58">
        <f t="shared" si="23"/>
        <v>1.0605168105774472</v>
      </c>
      <c r="E26" s="58">
        <f>IFERROR(E25/E27,0)</f>
        <v>0.91877128777447636</v>
      </c>
      <c r="F26" s="59">
        <f t="shared" si="23"/>
        <v>0.66086975505402101</v>
      </c>
      <c r="G26" s="58">
        <f t="shared" si="23"/>
        <v>0.36888543628566672</v>
      </c>
      <c r="H26" s="58">
        <f t="shared" si="23"/>
        <v>0.89791087609495657</v>
      </c>
      <c r="I26" s="58">
        <f t="shared" ref="I26:L26" si="24">IFERROR(I25/I27,0)</f>
        <v>1.148837778099862</v>
      </c>
      <c r="J26" s="59">
        <f t="shared" si="24"/>
        <v>1.1296190596884368</v>
      </c>
      <c r="K26" s="58">
        <f t="shared" si="24"/>
        <v>0.12844969640850837</v>
      </c>
      <c r="L26" s="58">
        <f t="shared" si="24"/>
        <v>0.63196707122282036</v>
      </c>
      <c r="M26" s="58">
        <f t="shared" ref="M26" si="25">IFERROR(M25/M27,0)</f>
        <v>-1.5309111295683326</v>
      </c>
      <c r="N26" s="59">
        <f t="shared" ref="N26:S26" si="26">IFERROR(N25/N27,0)</f>
        <v>-0.2993385202975416</v>
      </c>
      <c r="O26" s="58">
        <f t="shared" si="26"/>
        <v>-0.21124449367041093</v>
      </c>
      <c r="P26" s="58">
        <f t="shared" si="26"/>
        <v>-0.207743198815556</v>
      </c>
      <c r="Q26" s="58">
        <f t="shared" si="26"/>
        <v>-7.1588392229792158E-2</v>
      </c>
      <c r="R26" s="59">
        <f t="shared" si="26"/>
        <v>0.23932011686320553</v>
      </c>
      <c r="S26" s="58">
        <f t="shared" si="26"/>
        <v>0.33314055924060232</v>
      </c>
      <c r="T26" s="58">
        <f t="shared" ref="T26:U26" si="27">IFERROR(T25/T27,0)</f>
        <v>-2.9301122818109095</v>
      </c>
      <c r="U26" s="58">
        <f t="shared" si="27"/>
        <v>-1.0807493187229789</v>
      </c>
      <c r="V26" s="59">
        <f t="shared" ref="V26:X26" si="28">IFERROR(V25/V27,0)</f>
        <v>-0.42619229890672988</v>
      </c>
      <c r="W26" s="58">
        <f t="shared" si="28"/>
        <v>1.1501112664052324</v>
      </c>
      <c r="X26" s="58">
        <f t="shared" si="28"/>
        <v>0.28545149101935319</v>
      </c>
      <c r="Y26" s="22"/>
    </row>
    <row r="27" spans="1:25" s="7" customFormat="1" x14ac:dyDescent="0.15">
      <c r="A27" s="64" t="s">
        <v>17</v>
      </c>
      <c r="B27" s="22">
        <v>44.154795999999997</v>
      </c>
      <c r="C27" s="22">
        <v>44.155270999999999</v>
      </c>
      <c r="D27" s="22">
        <v>44.155830000000002</v>
      </c>
      <c r="E27" s="22">
        <v>44.156799999999997</v>
      </c>
      <c r="F27" s="21">
        <v>44.156961000000003</v>
      </c>
      <c r="G27" s="22">
        <v>44.157341000000002</v>
      </c>
      <c r="H27" s="22">
        <v>44.155830000000002</v>
      </c>
      <c r="I27" s="22">
        <v>44.156799999999997</v>
      </c>
      <c r="J27" s="21">
        <v>44.157364000000001</v>
      </c>
      <c r="K27" s="22">
        <v>44.157364000000001</v>
      </c>
      <c r="L27" s="22">
        <v>44.157364000000001</v>
      </c>
      <c r="M27" s="22">
        <v>44.157364000000001</v>
      </c>
      <c r="N27" s="21">
        <v>44.157364000000001</v>
      </c>
      <c r="O27" s="22">
        <v>44.157364000000001</v>
      </c>
      <c r="P27" s="22">
        <v>44.588704</v>
      </c>
      <c r="Q27" s="22">
        <v>45.202858999999997</v>
      </c>
      <c r="R27" s="21">
        <v>45.980255</v>
      </c>
      <c r="S27" s="22">
        <v>49.318522000000002</v>
      </c>
      <c r="T27" s="50">
        <v>49.710723000000002</v>
      </c>
      <c r="U27" s="50">
        <v>49.709955000000001</v>
      </c>
      <c r="V27" s="21">
        <v>49.709955000000001</v>
      </c>
      <c r="W27" s="50">
        <v>49.709972999999998</v>
      </c>
      <c r="X27" s="50">
        <v>49.710723000000002</v>
      </c>
      <c r="Y27" s="22"/>
    </row>
    <row r="28" spans="1:25" s="41" customFormat="1" x14ac:dyDescent="0.15">
      <c r="A28" s="67"/>
      <c r="B28" s="39"/>
      <c r="C28" s="39"/>
      <c r="D28" s="39"/>
      <c r="E28" s="39"/>
      <c r="F28" s="40"/>
      <c r="G28" s="39"/>
      <c r="H28" s="39"/>
      <c r="I28" s="39"/>
      <c r="J28" s="40"/>
      <c r="K28" s="39"/>
      <c r="L28" s="39"/>
      <c r="M28" s="39"/>
      <c r="N28" s="55"/>
      <c r="Q28" s="39"/>
      <c r="R28" s="55"/>
      <c r="V28" s="55"/>
      <c r="Y28" s="22"/>
    </row>
    <row r="29" spans="1:25" x14ac:dyDescent="0.15">
      <c r="A29" s="68" t="s">
        <v>19</v>
      </c>
      <c r="B29" s="33">
        <f>IFERROR(B16/B14,0)</f>
        <v>0.69812900481421714</v>
      </c>
      <c r="C29" s="33">
        <f>IFERROR(C16/C14,0)</f>
        <v>0.67396995735966914</v>
      </c>
      <c r="D29" s="33">
        <f>IFERROR(D16/D14,0)</f>
        <v>0.66311276617192727</v>
      </c>
      <c r="E29" s="33">
        <f>IFERROR(E16/E14,0)</f>
        <v>0.65052121373082794</v>
      </c>
      <c r="F29" s="34">
        <f>IFERROR(F16/F14,0)</f>
        <v>0.64823954830933184</v>
      </c>
      <c r="G29" s="33">
        <f>IFERROR(G16/G14,0)</f>
        <v>0.63259949407668992</v>
      </c>
      <c r="H29" s="33">
        <f>IFERROR(H16/H14,0)</f>
        <v>0.63092871035794262</v>
      </c>
      <c r="I29" s="33">
        <f>IFERROR(I16/I14,0)</f>
        <v>0.63497805092186133</v>
      </c>
      <c r="J29" s="34">
        <f>IFERROR(J16/J14,0)</f>
        <v>0.62618094178717099</v>
      </c>
      <c r="K29" s="33">
        <f>IFERROR(K16/K14,0)</f>
        <v>0.60447887323943661</v>
      </c>
      <c r="L29" s="33">
        <f>IFERROR(L16/L14,0)</f>
        <v>0.57674098360655734</v>
      </c>
      <c r="M29" s="33">
        <f>IFERROR(M16/M14,0)</f>
        <v>0.5679949734710974</v>
      </c>
      <c r="N29" s="34">
        <f>IFERROR(N16/N14,0)</f>
        <v>0.50710903426791287</v>
      </c>
      <c r="O29" s="33">
        <f>IFERROR(O16/O14,0)</f>
        <v>0.4762063823441694</v>
      </c>
      <c r="P29" s="33">
        <f>IFERROR(P16/P14,0)</f>
        <v>0.47772867998874197</v>
      </c>
      <c r="Q29" s="33">
        <f>IFERROR(Q16/Q14,0)</f>
        <v>0.47842056074766359</v>
      </c>
      <c r="R29" s="34">
        <f>IFERROR(R16/R14,0)</f>
        <v>0.50025117673132535</v>
      </c>
      <c r="S29" s="33">
        <f>IFERROR(S16/S14,0)</f>
        <v>0.49964969683186544</v>
      </c>
      <c r="T29" s="33">
        <f>IFERROR(T16/T14,0)</f>
        <v>0.47152136457329713</v>
      </c>
      <c r="U29" s="33">
        <f>IFERROR(U16/U14,0)</f>
        <v>0.45724710768318011</v>
      </c>
      <c r="V29" s="34">
        <f>IFERROR(V16/V14,0)</f>
        <v>0.47970912035283414</v>
      </c>
      <c r="W29" s="33">
        <f>IFERROR(W16/W14,0)</f>
        <v>0.48632408475253563</v>
      </c>
      <c r="X29" s="33">
        <f>IFERROR(X16/X14,0)</f>
        <v>0.43039308918787383</v>
      </c>
      <c r="Y29" s="22"/>
    </row>
    <row r="30" spans="1:25" x14ac:dyDescent="0.15">
      <c r="A30" s="68" t="s">
        <v>20</v>
      </c>
      <c r="B30" s="35">
        <f>IFERROR(B21/B14,0)</f>
        <v>0.1782205627164879</v>
      </c>
      <c r="C30" s="35">
        <f>IFERROR(C21/C14,0)</f>
        <v>0.22034941742162076</v>
      </c>
      <c r="D30" s="35">
        <f>IFERROR(D21/D14,0)</f>
        <v>0.27174886296926593</v>
      </c>
      <c r="E30" s="35">
        <f>IFERROR(E21/E14,0)</f>
        <v>0.19127769293760924</v>
      </c>
      <c r="F30" s="36">
        <f>IFERROR(F21/F14,0)</f>
        <v>0.19147370424411575</v>
      </c>
      <c r="G30" s="35">
        <f>IFERROR(G21/G14,0)</f>
        <v>0.16174017582087291</v>
      </c>
      <c r="H30" s="35">
        <f>IFERROR(H21/H14,0)</f>
        <v>0.23239634909702084</v>
      </c>
      <c r="I30" s="35">
        <f>IFERROR(I21/I14,0)</f>
        <v>0.2525763340161935</v>
      </c>
      <c r="J30" s="36">
        <f>IFERROR(J21/J14,0)</f>
        <v>0.236859473489062</v>
      </c>
      <c r="K30" s="35">
        <f>IFERROR(K21/K14,0)</f>
        <v>0.10799999999999998</v>
      </c>
      <c r="L30" s="35">
        <f>IFERROR(L21/L14,0)</f>
        <v>9.1495081967213135E-2</v>
      </c>
      <c r="M30" s="35">
        <f>IFERROR(M21/M14,0)</f>
        <v>-0.18039932979614642</v>
      </c>
      <c r="N30" s="36">
        <f>IFERROR(N21/N14,0)</f>
        <v>-9.1021806853582327E-2</v>
      </c>
      <c r="O30" s="35">
        <f>IFERROR(O21/O14,0)</f>
        <v>-8.1503131524008454E-2</v>
      </c>
      <c r="P30" s="35">
        <f>IFERROR(P21/P14,0)</f>
        <v>-2.8885448916408603E-2</v>
      </c>
      <c r="Q30" s="35">
        <f>IFERROR(Q21/Q14,0)</f>
        <v>-2.8878504672896961E-3</v>
      </c>
      <c r="R30" s="36">
        <f>IFERROR(R21/R14,0)</f>
        <v>2.111573126200475E-2</v>
      </c>
      <c r="S30" s="35">
        <f>IFERROR(S21/S14,0)</f>
        <v>-2.3053983368852823E-2</v>
      </c>
      <c r="T30" s="35">
        <f>IFERROR(T21/T14,0)</f>
        <v>-0.13541260731206203</v>
      </c>
      <c r="U30" s="35">
        <f>IFERROR(U21/U14,0)</f>
        <v>-0.10193414417086907</v>
      </c>
      <c r="V30" s="36">
        <f>IFERROR(V21/V14,0)</f>
        <v>-4.6291085139957611E-2</v>
      </c>
      <c r="W30" s="35">
        <f>IFERROR(W21/W14,0)</f>
        <v>0.11404318686110271</v>
      </c>
      <c r="X30" s="35">
        <f>IFERROR(X21/X14,0)</f>
        <v>7.366669026916714E-2</v>
      </c>
      <c r="Y30" s="22"/>
    </row>
    <row r="31" spans="1:25" x14ac:dyDescent="0.15">
      <c r="A31" s="68" t="s">
        <v>21</v>
      </c>
      <c r="B31" s="35">
        <f>IFERROR(B24/B23,0)</f>
        <v>0.91491308325708998</v>
      </c>
      <c r="C31" s="35">
        <f>IFERROR(C24/C23,0)</f>
        <v>0.42420386025512852</v>
      </c>
      <c r="D31" s="35">
        <f>IFERROR(D24/D23,0)</f>
        <v>4.0960104857868468E-2</v>
      </c>
      <c r="E31" s="35">
        <f>IFERROR(E24/E23,0)</f>
        <v>0.25655121861828845</v>
      </c>
      <c r="F31" s="36">
        <f>IFERROR(F24/F23,0)</f>
        <v>0.19346636449063093</v>
      </c>
      <c r="G31" s="35">
        <f>IFERROR(G24/G23,0)</f>
        <v>0.42419314928063973</v>
      </c>
      <c r="H31" s="35">
        <f>IFERROR(H24/H23,0)</f>
        <v>0.24692296003646877</v>
      </c>
      <c r="I31" s="35">
        <f>IFERROR(I24/I23,0)</f>
        <v>0.23977580961800721</v>
      </c>
      <c r="J31" s="36">
        <f>IFERROR(J24/J23,0)</f>
        <v>0.29627121513522653</v>
      </c>
      <c r="K31" s="35">
        <f>IFERROR(K24/K23,0)</f>
        <v>0.55239898989899006</v>
      </c>
      <c r="L31" s="35">
        <f>IFERROR(L24/L23,0)</f>
        <v>0.24386278653877413</v>
      </c>
      <c r="M31" s="35">
        <f>IFERROR(M24/M23,0)</f>
        <v>-4.6438909614402231E-2</v>
      </c>
      <c r="N31" s="36">
        <f>IFERROR(N24/N23,0)</f>
        <v>0.47585058291696536</v>
      </c>
      <c r="O31" s="35">
        <f>IFERROR(O24/O23,0)</f>
        <v>0.46168051708217828</v>
      </c>
      <c r="P31" s="35">
        <f>IFERROR(P24/P23,0)</f>
        <v>0.3015908919550635</v>
      </c>
      <c r="Q31" s="35">
        <f>IFERROR(Q24/Q23,0)</f>
        <v>0.55279159756771779</v>
      </c>
      <c r="R31" s="36">
        <f>IFERROR(R24/R23,0)</f>
        <v>0.2142245072836334</v>
      </c>
      <c r="S31" s="35">
        <f>IFERROR(S24/S23,0)</f>
        <v>-1.2113055181695909</v>
      </c>
      <c r="T31" s="35">
        <f>IFERROR(T24/T23,0)</f>
        <v>-1.1851540700291026</v>
      </c>
      <c r="U31" s="35">
        <f>IFERROR(U24/U23,0)</f>
        <v>0.14348574708245662</v>
      </c>
      <c r="V31" s="36">
        <f>IFERROR(V24/V23,0)</f>
        <v>-0.23274758524380185</v>
      </c>
      <c r="W31" s="35">
        <f>IFERROR(W24/W23,0)</f>
        <v>0.36596726256487638</v>
      </c>
      <c r="X31" s="35">
        <f>IFERROR(X24/X23,0)</f>
        <v>0.72810883310979035</v>
      </c>
      <c r="Y31" s="22"/>
    </row>
    <row r="32" spans="1:25" s="41" customFormat="1" x14ac:dyDescent="0.15">
      <c r="A32" s="67"/>
      <c r="B32" s="39"/>
      <c r="C32" s="39"/>
      <c r="D32" s="39"/>
      <c r="E32" s="39"/>
      <c r="F32" s="40"/>
      <c r="G32" s="39"/>
      <c r="H32" s="39"/>
      <c r="I32" s="39"/>
      <c r="J32" s="40"/>
      <c r="K32" s="39"/>
      <c r="L32" s="39"/>
      <c r="M32" s="39"/>
      <c r="N32" s="55"/>
      <c r="Q32" s="39"/>
      <c r="R32" s="55"/>
      <c r="V32" s="55"/>
      <c r="Y32" s="22"/>
    </row>
    <row r="33" spans="1:25" s="11" customFormat="1" x14ac:dyDescent="0.15">
      <c r="A33" s="69" t="s">
        <v>18</v>
      </c>
      <c r="B33" s="29"/>
      <c r="C33" s="29"/>
      <c r="D33" s="29"/>
      <c r="E33" s="29"/>
      <c r="F33" s="30">
        <f>IFERROR((F14/B14)-1,0)</f>
        <v>6.4326853608636991E-2</v>
      </c>
      <c r="G33" s="29">
        <f>IFERROR((G14/C14)-1,0)</f>
        <v>0.29369337843617549</v>
      </c>
      <c r="H33" s="29">
        <f>IFERROR((H14/D14)-1,0)</f>
        <v>0.36886640852461761</v>
      </c>
      <c r="I33" s="29">
        <f>IFERROR((I14/E14)-1,0)</f>
        <v>0.41798353362990492</v>
      </c>
      <c r="J33" s="30">
        <f>IFERROR((J14/F14)-1,0)</f>
        <v>0.71096872422762236</v>
      </c>
      <c r="K33" s="29">
        <f>IFERROR((K14/G14)-1,0)</f>
        <v>0.42259623813459601</v>
      </c>
      <c r="L33" s="29">
        <f>IFERROR((L14/H14)-1,0)</f>
        <v>0.32122141504979496</v>
      </c>
      <c r="M33" s="29">
        <f>IFERROR((M14/I14)-1,0)</f>
        <v>0.39732709003999611</v>
      </c>
      <c r="N33" s="30">
        <f>IFERROR((N14/J14)-1,0)</f>
        <v>0.19021134593993327</v>
      </c>
      <c r="O33" s="29">
        <f>IFERROR((O14/K14)-1,0)</f>
        <v>0.18063380281690122</v>
      </c>
      <c r="P33" s="29">
        <f>IFERROR((P14/L14)-1,0)</f>
        <v>0.16491803278688533</v>
      </c>
      <c r="Q33" s="29">
        <f>IFERROR((Q14/M14)-1,0)</f>
        <v>0.19519687238201633</v>
      </c>
      <c r="R33" s="30">
        <f>IFERROR((R14/N14)-1,0)</f>
        <v>0.47591900311526447</v>
      </c>
      <c r="S33" s="29">
        <f>IFERROR((S14/O14)-1,0)</f>
        <v>0.62613182224873265</v>
      </c>
      <c r="T33" s="29">
        <f>IFERROR((T14/P14)-1,0)</f>
        <v>0.6972445820433435</v>
      </c>
      <c r="U33" s="29">
        <f>IFERROR((U14/Q14)-1,0)</f>
        <v>0.57523364485981321</v>
      </c>
      <c r="V33" s="30">
        <f>IFERROR((V14/R14)-1,0)</f>
        <v>0.37638727652658455</v>
      </c>
      <c r="W33" s="29">
        <f>IFERROR((W14/S14)-1,0)</f>
        <v>0.61097090833061274</v>
      </c>
      <c r="X33" s="29">
        <f>IFERROR((X14/T14)-1,0)</f>
        <v>0.85015529881548391</v>
      </c>
      <c r="Y33" s="29">
        <f>IFERROR((Y14/U14)-1,0)</f>
        <v>0.80183921684959936</v>
      </c>
    </row>
    <row r="34" spans="1:25" s="11" customFormat="1" x14ac:dyDescent="0.15">
      <c r="A34" s="68" t="s">
        <v>42</v>
      </c>
      <c r="B34" s="31"/>
      <c r="C34" s="31"/>
      <c r="D34" s="31"/>
      <c r="E34" s="31"/>
      <c r="F34" s="32">
        <f>F17/B17-1</f>
        <v>0.29411764705882359</v>
      </c>
      <c r="G34" s="31">
        <f>G17/C17-1</f>
        <v>0.19999999999999996</v>
      </c>
      <c r="H34" s="31">
        <f>H17/D17-1</f>
        <v>0.52941176470588225</v>
      </c>
      <c r="I34" s="31">
        <f>I17/E17-1</f>
        <v>0.18181818181818188</v>
      </c>
      <c r="J34" s="32">
        <f>J17/F17-1</f>
        <v>0.36363636363636354</v>
      </c>
      <c r="K34" s="31">
        <f>K17/G17-1</f>
        <v>0.25</v>
      </c>
      <c r="L34" s="31">
        <f>L17/H17-1</f>
        <v>0.23076923076923084</v>
      </c>
      <c r="M34" s="31">
        <f>M17/I17-1</f>
        <v>0.30769230769230771</v>
      </c>
      <c r="N34" s="32">
        <f>N17/J17-1</f>
        <v>0.26666666666666661</v>
      </c>
      <c r="O34" s="31">
        <f>O17/K17-1</f>
        <v>0.10000000000000009</v>
      </c>
      <c r="P34" s="31">
        <f>P17/L17-1</f>
        <v>9.375E-2</v>
      </c>
      <c r="Q34" s="31">
        <f>Q17/M17-1</f>
        <v>0.14705882352941169</v>
      </c>
      <c r="R34" s="32">
        <f>R17/N17-1</f>
        <v>0.36842105263157898</v>
      </c>
      <c r="S34" s="31">
        <f>S17/O17-1</f>
        <v>0.63636363636363646</v>
      </c>
      <c r="T34" s="31">
        <f>T17/P17-1</f>
        <v>0.68571428571428572</v>
      </c>
      <c r="U34" s="31">
        <f>U17/Q17-1</f>
        <v>0.48717948717948723</v>
      </c>
      <c r="V34" s="32">
        <f>V17/R17-1</f>
        <v>0.40384615384615374</v>
      </c>
      <c r="W34" s="31">
        <f>W17/S17-1</f>
        <v>0.35185185185185186</v>
      </c>
      <c r="X34" s="31">
        <f>X17/T17-1</f>
        <v>0.50847457627118642</v>
      </c>
      <c r="Y34" s="22"/>
    </row>
    <row r="35" spans="1:25" s="11" customFormat="1" x14ac:dyDescent="0.15">
      <c r="A35" s="68" t="s">
        <v>43</v>
      </c>
      <c r="B35" s="31"/>
      <c r="C35" s="31"/>
      <c r="D35" s="31"/>
      <c r="E35" s="31"/>
      <c r="F35" s="32">
        <f>F18/B18-1</f>
        <v>0.26923076923076916</v>
      </c>
      <c r="G35" s="31">
        <f>G18/C18-1</f>
        <v>0.2068965517241379</v>
      </c>
      <c r="H35" s="31">
        <f>H18/D18-1</f>
        <v>0.29032258064516125</v>
      </c>
      <c r="I35" s="31">
        <f>I18/E18-1</f>
        <v>0.16666666666666674</v>
      </c>
      <c r="J35" s="32">
        <f>J18/F18-1</f>
        <v>0.42424242424242431</v>
      </c>
      <c r="K35" s="31">
        <f>K18/G18-1</f>
        <v>1.2000000000000002</v>
      </c>
      <c r="L35" s="31">
        <f>L18/H18-1</f>
        <v>1.1000000000000001</v>
      </c>
      <c r="M35" s="31">
        <f>M18/I18-1</f>
        <v>1.3877551020408165</v>
      </c>
      <c r="N35" s="32">
        <f>N18/J18-1</f>
        <v>1.3617021276595747</v>
      </c>
      <c r="O35" s="31">
        <f>O18/K18-1</f>
        <v>0.5714285714285714</v>
      </c>
      <c r="P35" s="31">
        <f>P18/L18-1</f>
        <v>0.30952380952380953</v>
      </c>
      <c r="Q35" s="31">
        <f>Q18/M18-1</f>
        <v>0.19658119658119655</v>
      </c>
      <c r="R35" s="32">
        <f>R18/N18-1</f>
        <v>0.18018018018018012</v>
      </c>
      <c r="S35" s="31">
        <f>S18/O18-1</f>
        <v>0.49586776859504123</v>
      </c>
      <c r="T35" s="31">
        <f>T18/P18-1</f>
        <v>1.2999999999999998</v>
      </c>
      <c r="U35" s="31">
        <f>U18/Q18-1</f>
        <v>0.9285714285714286</v>
      </c>
      <c r="V35" s="32">
        <f>V18/R18-1</f>
        <v>0.58015267175572527</v>
      </c>
      <c r="W35" s="31">
        <f>W18/S18-1</f>
        <v>1.6574585635359185E-2</v>
      </c>
      <c r="X35" s="31">
        <f>X18/T18-1</f>
        <v>-9.0909090909090939E-2</v>
      </c>
      <c r="Y35" s="22"/>
    </row>
    <row r="36" spans="1:25" s="11" customFormat="1" x14ac:dyDescent="0.15">
      <c r="A36" s="68" t="s">
        <v>44</v>
      </c>
      <c r="B36" s="31"/>
      <c r="C36" s="31"/>
      <c r="D36" s="31"/>
      <c r="E36" s="31"/>
      <c r="F36" s="32">
        <f>F19/B19-1</f>
        <v>-0.5</v>
      </c>
      <c r="G36" s="31">
        <f>G19/C19-1</f>
        <v>0.66666666666666674</v>
      </c>
      <c r="H36" s="31">
        <f>H19/D19-1</f>
        <v>0.44444444444444442</v>
      </c>
      <c r="I36" s="31">
        <f>I19/E19-1</f>
        <v>0.21052631578947367</v>
      </c>
      <c r="J36" s="32">
        <f>J19/F19-1</f>
        <v>0.64705882352941169</v>
      </c>
      <c r="K36" s="31">
        <f>K19/G19-1</f>
        <v>-2.8571428571428581E-2</v>
      </c>
      <c r="L36" s="31">
        <f>L19/H19-1</f>
        <v>0.23076923076923084</v>
      </c>
      <c r="M36" s="31">
        <f>M19/I19-1</f>
        <v>4.0869565217391308</v>
      </c>
      <c r="N36" s="32">
        <f>N19/J19-1</f>
        <v>0.53571428571428581</v>
      </c>
      <c r="O36" s="31">
        <f>O19/K19-1</f>
        <v>-2.9411764705882359E-2</v>
      </c>
      <c r="P36" s="31">
        <f>P19/L19-1</f>
        <v>9.375E-2</v>
      </c>
      <c r="Q36" s="31">
        <f>Q19/M19-1</f>
        <v>-0.76923076923076916</v>
      </c>
      <c r="R36" s="32">
        <f>R19/N19-1</f>
        <v>2.3255813953488413E-2</v>
      </c>
      <c r="S36" s="31">
        <f>S19/O19-1</f>
        <v>0.51515151515151514</v>
      </c>
      <c r="T36" s="31">
        <f>T19/P19-1</f>
        <v>0.54285714285714293</v>
      </c>
      <c r="U36" s="31">
        <f>U19/Q19-1</f>
        <v>0.81481481481481488</v>
      </c>
      <c r="V36" s="32">
        <f>V19/R19-1</f>
        <v>0.43181818181818188</v>
      </c>
      <c r="W36" s="31">
        <f>W19/S19-1</f>
        <v>0.39999999999999991</v>
      </c>
      <c r="X36" s="31">
        <f>X19/T19-1</f>
        <v>0.46296296296296302</v>
      </c>
      <c r="Y36" s="22"/>
    </row>
    <row r="37" spans="1:25" x14ac:dyDescent="0.15">
      <c r="A37" s="68" t="s">
        <v>68</v>
      </c>
      <c r="J37" s="34">
        <f>J20/F20-1</f>
        <v>0.45833333333333326</v>
      </c>
      <c r="K37" s="33">
        <f>K20/G20-1</f>
        <v>0.5</v>
      </c>
      <c r="L37" s="33">
        <f>L20/H20-1</f>
        <v>0.60869565217391308</v>
      </c>
      <c r="M37" s="33">
        <f>M20/I20-1</f>
        <v>1.7346938775510203</v>
      </c>
      <c r="N37" s="34">
        <f>N20/J20-1</f>
        <v>0.82857142857142851</v>
      </c>
      <c r="O37" s="33">
        <f>O20/K20-1</f>
        <v>0.32624113475177308</v>
      </c>
      <c r="P37" s="33">
        <f>P20/L20-1</f>
        <v>0.21621621621621623</v>
      </c>
      <c r="Q37" s="33">
        <f>Q20/M20-1</f>
        <v>-0.23134328358208955</v>
      </c>
      <c r="R37" s="34">
        <f>R20/N20-1</f>
        <v>0.18229166666666674</v>
      </c>
      <c r="S37" s="33">
        <f>S20/O20-1</f>
        <v>0.52406417112299475</v>
      </c>
      <c r="T37" s="33">
        <f>T20/P20-1</f>
        <v>1.0333333333333332</v>
      </c>
      <c r="U37" s="33">
        <f>U20/Q20-1</f>
        <v>0.83009708737864085</v>
      </c>
      <c r="V37" s="34">
        <f>V20/R20-1</f>
        <v>0.51101321585903081</v>
      </c>
      <c r="W37" s="33">
        <f>W20/S20-1</f>
        <v>0.14736842105263159</v>
      </c>
      <c r="X37" s="33">
        <f>X20/T20-1</f>
        <v>8.7431693989071135E-2</v>
      </c>
      <c r="Y37" s="22"/>
    </row>
    <row r="38" spans="1:25" x14ac:dyDescent="0.15">
      <c r="J38" s="45"/>
      <c r="K38" s="44"/>
      <c r="L38" s="44"/>
      <c r="M38" s="44"/>
      <c r="N38" s="45"/>
      <c r="O38" s="44"/>
      <c r="P38" s="44"/>
      <c r="Q38" s="44"/>
      <c r="S38" s="44"/>
      <c r="Y38" s="22"/>
    </row>
    <row r="39" spans="1:25" s="16" customFormat="1" x14ac:dyDescent="0.15">
      <c r="A39" s="65" t="s">
        <v>26</v>
      </c>
      <c r="B39" s="22"/>
      <c r="C39" s="22"/>
      <c r="D39" s="22"/>
      <c r="E39" s="23">
        <f>E40-E41</f>
        <v>261</v>
      </c>
      <c r="F39" s="21"/>
      <c r="G39" s="22"/>
      <c r="H39" s="22"/>
      <c r="I39" s="23">
        <f t="shared" ref="I39" si="29">I40-I41</f>
        <v>327</v>
      </c>
      <c r="J39" s="21"/>
      <c r="K39" s="22"/>
      <c r="L39" s="22"/>
      <c r="M39" s="23">
        <f t="shared" ref="M39:P39" si="30">M40-M41</f>
        <v>264</v>
      </c>
      <c r="N39" s="20"/>
      <c r="O39" s="44"/>
      <c r="P39" s="19"/>
      <c r="Q39" s="23">
        <f t="shared" ref="Q39:S39" si="31">Q40-Q41</f>
        <v>467</v>
      </c>
      <c r="R39" s="20"/>
      <c r="S39" s="44"/>
      <c r="T39" s="19"/>
      <c r="U39" s="23">
        <f t="shared" ref="U39" si="32">U40-U41</f>
        <v>2495</v>
      </c>
      <c r="V39" s="20"/>
      <c r="W39" s="19"/>
      <c r="X39" s="23">
        <f t="shared" ref="V39:X39" si="33">X40-X41</f>
        <v>2582</v>
      </c>
      <c r="Y39" s="22"/>
    </row>
    <row r="40" spans="1:25" s="7" customFormat="1" x14ac:dyDescent="0.15">
      <c r="A40" s="64" t="s">
        <v>27</v>
      </c>
      <c r="B40" s="22"/>
      <c r="C40" s="22"/>
      <c r="D40" s="22"/>
      <c r="E40" s="22">
        <f>167+202+188</f>
        <v>557</v>
      </c>
      <c r="F40" s="21"/>
      <c r="G40" s="22"/>
      <c r="H40" s="22"/>
      <c r="I40" s="22">
        <f>234+253+154</f>
        <v>641</v>
      </c>
      <c r="J40" s="21"/>
      <c r="K40" s="22"/>
      <c r="L40" s="22"/>
      <c r="M40" s="22">
        <f>388+209+35</f>
        <v>632</v>
      </c>
      <c r="N40" s="21"/>
      <c r="O40" s="22"/>
      <c r="P40" s="22"/>
      <c r="Q40" s="22">
        <f>440+24+462+276</f>
        <v>1202</v>
      </c>
      <c r="R40" s="21"/>
      <c r="S40" s="22"/>
      <c r="T40" s="22"/>
      <c r="U40" s="22">
        <f>1385+67+1597+264</f>
        <v>3313</v>
      </c>
      <c r="V40" s="21"/>
      <c r="W40" s="22"/>
      <c r="X40" s="22">
        <f>1140+484+2187+7</f>
        <v>3818</v>
      </c>
      <c r="Y40" s="22"/>
    </row>
    <row r="41" spans="1:25" s="7" customFormat="1" x14ac:dyDescent="0.15">
      <c r="A41" s="64" t="s">
        <v>28</v>
      </c>
      <c r="B41" s="22"/>
      <c r="C41" s="22"/>
      <c r="D41" s="22"/>
      <c r="E41" s="22">
        <f>2+294</f>
        <v>296</v>
      </c>
      <c r="F41" s="21"/>
      <c r="G41" s="22"/>
      <c r="H41" s="22"/>
      <c r="I41" s="22">
        <f>12+302</f>
        <v>314</v>
      </c>
      <c r="J41" s="21"/>
      <c r="K41" s="22"/>
      <c r="L41" s="22"/>
      <c r="M41" s="22">
        <f>56+312</f>
        <v>368</v>
      </c>
      <c r="N41" s="21"/>
      <c r="O41" s="22"/>
      <c r="P41" s="22"/>
      <c r="Q41" s="22">
        <f>133+602</f>
        <v>735</v>
      </c>
      <c r="R41" s="21"/>
      <c r="S41" s="22"/>
      <c r="T41" s="22"/>
      <c r="U41" s="22">
        <f>186+632</f>
        <v>818</v>
      </c>
      <c r="V41" s="21"/>
      <c r="W41" s="22"/>
      <c r="X41" s="22">
        <f>618+618</f>
        <v>1236</v>
      </c>
      <c r="Y41" s="22"/>
    </row>
    <row r="42" spans="1:25" s="7" customFormat="1" x14ac:dyDescent="0.15">
      <c r="A42" s="64"/>
      <c r="B42" s="22"/>
      <c r="C42" s="22"/>
      <c r="D42" s="22"/>
      <c r="E42" s="22"/>
      <c r="F42" s="21"/>
      <c r="G42" s="22"/>
      <c r="H42" s="22"/>
      <c r="I42" s="22"/>
      <c r="J42" s="21"/>
      <c r="K42" s="22"/>
      <c r="L42" s="22"/>
      <c r="M42" s="22"/>
      <c r="N42" s="21"/>
      <c r="O42" s="22"/>
      <c r="P42" s="22"/>
      <c r="Q42" s="22"/>
      <c r="R42" s="21"/>
      <c r="S42" s="22"/>
      <c r="T42" s="22"/>
      <c r="U42" s="22"/>
      <c r="V42" s="21"/>
      <c r="W42" s="22"/>
      <c r="X42" s="22"/>
      <c r="Y42" s="22"/>
    </row>
    <row r="43" spans="1:25" s="7" customFormat="1" x14ac:dyDescent="0.15">
      <c r="A43" s="70" t="s">
        <v>56</v>
      </c>
      <c r="B43" s="22"/>
      <c r="C43" s="22"/>
      <c r="D43" s="22"/>
      <c r="E43" s="37">
        <f>87+29</f>
        <v>116</v>
      </c>
      <c r="F43" s="21"/>
      <c r="G43" s="22"/>
      <c r="H43" s="22"/>
      <c r="I43" s="37">
        <f>92+26</f>
        <v>118</v>
      </c>
      <c r="J43" s="21"/>
      <c r="K43" s="22"/>
      <c r="L43" s="22"/>
      <c r="M43" s="37">
        <f>92+23</f>
        <v>115</v>
      </c>
      <c r="N43" s="21"/>
      <c r="O43" s="22"/>
      <c r="P43" s="22"/>
      <c r="Q43" s="22">
        <f>89+19</f>
        <v>108</v>
      </c>
      <c r="R43" s="21"/>
      <c r="S43" s="22"/>
      <c r="T43" s="22"/>
      <c r="U43" s="22">
        <f>88+14</f>
        <v>102</v>
      </c>
      <c r="V43" s="21"/>
      <c r="W43" s="22"/>
      <c r="X43" s="22">
        <f>79+14</f>
        <v>93</v>
      </c>
      <c r="Y43" s="22"/>
    </row>
    <row r="44" spans="1:25" s="7" customFormat="1" x14ac:dyDescent="0.15">
      <c r="A44" s="70" t="s">
        <v>57</v>
      </c>
      <c r="B44" s="22"/>
      <c r="C44" s="22"/>
      <c r="D44" s="22"/>
      <c r="E44" s="37">
        <v>1004</v>
      </c>
      <c r="F44" s="21"/>
      <c r="G44" s="22"/>
      <c r="H44" s="22"/>
      <c r="I44" s="37">
        <v>1367</v>
      </c>
      <c r="J44" s="21"/>
      <c r="K44" s="22"/>
      <c r="L44" s="22"/>
      <c r="M44" s="37">
        <v>1673</v>
      </c>
      <c r="N44" s="21"/>
      <c r="O44" s="22"/>
      <c r="P44" s="22"/>
      <c r="Q44" s="22">
        <v>2240</v>
      </c>
      <c r="R44" s="21"/>
      <c r="S44" s="22"/>
      <c r="T44" s="22"/>
      <c r="U44" s="22">
        <v>4782</v>
      </c>
      <c r="V44" s="21"/>
      <c r="W44" s="22"/>
      <c r="X44" s="22">
        <v>5738</v>
      </c>
      <c r="Y44" s="22"/>
    </row>
    <row r="45" spans="1:25" s="7" customFormat="1" x14ac:dyDescent="0.15">
      <c r="A45" s="70" t="s">
        <v>58</v>
      </c>
      <c r="B45" s="22"/>
      <c r="C45" s="22"/>
      <c r="D45" s="22"/>
      <c r="E45" s="37">
        <v>664</v>
      </c>
      <c r="F45" s="21"/>
      <c r="G45" s="22"/>
      <c r="H45" s="22"/>
      <c r="I45" s="37">
        <v>939</v>
      </c>
      <c r="J45" s="21"/>
      <c r="K45" s="22"/>
      <c r="L45" s="22"/>
      <c r="M45" s="37">
        <v>1347</v>
      </c>
      <c r="N45" s="21"/>
      <c r="O45" s="22"/>
      <c r="P45" s="22"/>
      <c r="Q45" s="22">
        <v>1903</v>
      </c>
      <c r="R45" s="21"/>
      <c r="S45" s="22"/>
      <c r="T45" s="22"/>
      <c r="U45" s="22">
        <f>2700+99</f>
        <v>2799</v>
      </c>
      <c r="V45" s="21"/>
      <c r="W45" s="22"/>
      <c r="X45" s="22">
        <f>3942+49</f>
        <v>3991</v>
      </c>
      <c r="Y45" s="22"/>
    </row>
    <row r="46" spans="1:25" s="7" customFormat="1" x14ac:dyDescent="0.15">
      <c r="A46" s="64"/>
      <c r="B46" s="22"/>
      <c r="C46" s="22"/>
      <c r="D46" s="22"/>
      <c r="E46" s="37"/>
      <c r="F46" s="21"/>
      <c r="G46" s="22"/>
      <c r="H46" s="22"/>
      <c r="I46" s="37"/>
      <c r="J46" s="21"/>
      <c r="K46" s="22"/>
      <c r="L46" s="22"/>
      <c r="M46" s="37"/>
      <c r="N46" s="21"/>
      <c r="O46" s="22"/>
      <c r="P46" s="22"/>
      <c r="Q46" s="22"/>
      <c r="R46" s="21"/>
      <c r="S46" s="22"/>
      <c r="T46" s="22"/>
      <c r="U46" s="22"/>
      <c r="V46" s="21"/>
      <c r="W46" s="22"/>
      <c r="X46" s="22"/>
      <c r="Y46" s="22"/>
    </row>
    <row r="47" spans="1:25" s="7" customFormat="1" x14ac:dyDescent="0.15">
      <c r="A47" s="70" t="s">
        <v>59</v>
      </c>
      <c r="B47" s="22"/>
      <c r="C47" s="22"/>
      <c r="D47" s="22"/>
      <c r="E47" s="26">
        <f>E44-E40-E43</f>
        <v>331</v>
      </c>
      <c r="F47" s="21"/>
      <c r="G47" s="22"/>
      <c r="H47" s="22"/>
      <c r="I47" s="26">
        <f t="shared" ref="I47:O47" si="34">I44-I40-I43</f>
        <v>608</v>
      </c>
      <c r="J47" s="21"/>
      <c r="K47" s="22"/>
      <c r="L47" s="22"/>
      <c r="M47" s="26">
        <f t="shared" si="34"/>
        <v>926</v>
      </c>
      <c r="N47" s="21"/>
      <c r="O47" s="22"/>
      <c r="P47" s="22"/>
      <c r="Q47" s="26">
        <f t="shared" ref="P47:V47" si="35">Q44-Q40-Q43</f>
        <v>930</v>
      </c>
      <c r="R47" s="21"/>
      <c r="S47" s="22"/>
      <c r="T47" s="22"/>
      <c r="U47" s="26">
        <f t="shared" si="35"/>
        <v>1367</v>
      </c>
      <c r="V47" s="21"/>
      <c r="W47" s="22"/>
      <c r="X47" s="26">
        <f t="shared" ref="W47:X47" si="36">X44-X40-X43</f>
        <v>1827</v>
      </c>
      <c r="Y47" s="22"/>
    </row>
    <row r="48" spans="1:25" s="7" customFormat="1" x14ac:dyDescent="0.15">
      <c r="A48" s="70" t="s">
        <v>60</v>
      </c>
      <c r="B48" s="22"/>
      <c r="C48" s="22"/>
      <c r="D48" s="22"/>
      <c r="E48" s="26">
        <f>E44-E45</f>
        <v>340</v>
      </c>
      <c r="F48" s="21"/>
      <c r="G48" s="22"/>
      <c r="H48" s="22"/>
      <c r="I48" s="26">
        <f>I44-I45</f>
        <v>428</v>
      </c>
      <c r="J48" s="21"/>
      <c r="K48" s="22"/>
      <c r="L48" s="22"/>
      <c r="M48" s="26">
        <f t="shared" ref="M48:P48" si="37">M44-M45</f>
        <v>326</v>
      </c>
      <c r="N48" s="21"/>
      <c r="O48" s="22"/>
      <c r="P48" s="22"/>
      <c r="Q48" s="26">
        <f t="shared" ref="Q48:S48" si="38">Q44-Q45</f>
        <v>337</v>
      </c>
      <c r="R48" s="21"/>
      <c r="S48" s="22"/>
      <c r="T48" s="22"/>
      <c r="U48" s="26">
        <f>U44-U45</f>
        <v>1983</v>
      </c>
      <c r="V48" s="21"/>
      <c r="W48" s="22"/>
      <c r="X48" s="26">
        <f>X44-X45</f>
        <v>1747</v>
      </c>
      <c r="Y48" s="22"/>
    </row>
    <row r="49" spans="1:25" s="7" customFormat="1" x14ac:dyDescent="0.15">
      <c r="A49" s="64"/>
      <c r="B49" s="22"/>
      <c r="C49" s="22"/>
      <c r="D49" s="22"/>
      <c r="E49" s="37"/>
      <c r="F49" s="21"/>
      <c r="G49" s="22"/>
      <c r="H49" s="22"/>
      <c r="I49" s="37"/>
      <c r="J49" s="21"/>
      <c r="K49" s="22"/>
      <c r="L49" s="22"/>
      <c r="M49" s="37"/>
      <c r="N49" s="21"/>
      <c r="O49" s="22"/>
      <c r="P49" s="22"/>
      <c r="Q49" s="22"/>
      <c r="R49" s="21"/>
      <c r="S49" s="22"/>
      <c r="T49" s="22"/>
      <c r="U49" s="22"/>
      <c r="V49" s="21"/>
      <c r="W49" s="22"/>
      <c r="X49" s="22"/>
      <c r="Y49" s="22"/>
    </row>
    <row r="50" spans="1:25" s="16" customFormat="1" x14ac:dyDescent="0.15">
      <c r="A50" s="71" t="s">
        <v>61</v>
      </c>
      <c r="B50" s="46"/>
      <c r="C50" s="46"/>
      <c r="D50" s="46"/>
      <c r="E50" s="23">
        <f>SUM(B25:E25)</f>
        <v>107.79599999999995</v>
      </c>
      <c r="F50" s="21"/>
      <c r="G50" s="22"/>
      <c r="H50" s="22"/>
      <c r="I50" s="23">
        <f>SUM(F25:I25)</f>
        <v>135.84799999999987</v>
      </c>
      <c r="J50" s="21"/>
      <c r="K50" s="22"/>
      <c r="L50" s="22"/>
      <c r="M50" s="23">
        <f t="shared" ref="M50:U50" si="39">SUM(J25:M25)</f>
        <v>15.858000000000004</v>
      </c>
      <c r="N50" s="21"/>
      <c r="O50" s="22"/>
      <c r="P50" s="22"/>
      <c r="Q50" s="23">
        <f t="shared" si="39"/>
        <v>-35.044999999999931</v>
      </c>
      <c r="R50" s="21"/>
      <c r="S50" s="22"/>
      <c r="T50" s="22"/>
      <c r="U50" s="23">
        <f t="shared" si="39"/>
        <v>-171.94800000000006</v>
      </c>
      <c r="V50" s="21"/>
      <c r="W50" s="22"/>
      <c r="X50" s="23">
        <f>SUM(U25:X25)</f>
        <v>-3.5480000000000587</v>
      </c>
      <c r="Y50" s="22"/>
    </row>
    <row r="51" spans="1:25" x14ac:dyDescent="0.15">
      <c r="A51" s="72" t="s">
        <v>62</v>
      </c>
      <c r="E51" s="33">
        <f>E25/E48</f>
        <v>0.11932352941176469</v>
      </c>
      <c r="I51" s="33">
        <f t="shared" ref="I51:O51" si="40">I50/I48</f>
        <v>0.31740186915887819</v>
      </c>
      <c r="J51" s="21"/>
      <c r="K51" s="22"/>
      <c r="L51" s="22"/>
      <c r="M51" s="33">
        <f t="shared" si="40"/>
        <v>4.864417177914112E-2</v>
      </c>
      <c r="N51" s="21"/>
      <c r="O51" s="22"/>
      <c r="P51" s="22"/>
      <c r="Q51" s="33">
        <f t="shared" ref="P51:V51" si="41">Q50/Q48</f>
        <v>-0.10399109792284845</v>
      </c>
      <c r="R51" s="21"/>
      <c r="S51" s="22"/>
      <c r="T51" s="22"/>
      <c r="U51" s="33">
        <f t="shared" si="41"/>
        <v>-8.6711043872919849E-2</v>
      </c>
      <c r="V51" s="21"/>
      <c r="W51" s="22"/>
      <c r="X51" s="33">
        <f t="shared" ref="W51:X51" si="42">X50/X48</f>
        <v>-2.0309101316542981E-3</v>
      </c>
      <c r="Y51" s="22"/>
    </row>
    <row r="52" spans="1:25" x14ac:dyDescent="0.15">
      <c r="A52" s="72" t="s">
        <v>63</v>
      </c>
      <c r="E52" s="33">
        <f>E25/E44</f>
        <v>4.0408366533864537E-2</v>
      </c>
      <c r="I52" s="33">
        <f t="shared" ref="I52:O52" si="43">I50/I44</f>
        <v>9.9376737381126456E-2</v>
      </c>
      <c r="J52" s="21"/>
      <c r="K52" s="22"/>
      <c r="L52" s="22"/>
      <c r="M52" s="33">
        <f t="shared" si="43"/>
        <v>9.4787806335923513E-3</v>
      </c>
      <c r="N52" s="21"/>
      <c r="O52" s="22"/>
      <c r="P52" s="22"/>
      <c r="Q52" s="33">
        <f t="shared" ref="P52:V52" si="44">Q50/Q44</f>
        <v>-1.5645089285714255E-2</v>
      </c>
      <c r="R52" s="21"/>
      <c r="S52" s="22"/>
      <c r="T52" s="22"/>
      <c r="U52" s="33">
        <f t="shared" si="44"/>
        <v>-3.5957340025094119E-2</v>
      </c>
      <c r="V52" s="21"/>
      <c r="W52" s="22"/>
      <c r="X52" s="33">
        <f t="shared" ref="W52:X52" si="45">X50/X44</f>
        <v>-6.1833391425584854E-4</v>
      </c>
      <c r="Y52" s="22"/>
    </row>
    <row r="53" spans="1:25" x14ac:dyDescent="0.15">
      <c r="A53" s="72" t="s">
        <v>64</v>
      </c>
      <c r="E53" s="33">
        <f>E25/(E48-E43)</f>
        <v>0.18111607142857139</v>
      </c>
      <c r="I53" s="33">
        <f t="shared" ref="I53:O53" si="46">I50/(I48-I43)</f>
        <v>0.43821935483870927</v>
      </c>
      <c r="J53" s="21"/>
      <c r="K53" s="22"/>
      <c r="L53" s="22"/>
      <c r="M53" s="33">
        <f t="shared" si="46"/>
        <v>7.5156398104265429E-2</v>
      </c>
      <c r="N53" s="21"/>
      <c r="O53" s="22"/>
      <c r="P53" s="22"/>
      <c r="Q53" s="33">
        <f t="shared" ref="P53:V53" si="47">Q50/(Q48-Q43)</f>
        <v>-0.1530349344978163</v>
      </c>
      <c r="R53" s="21"/>
      <c r="S53" s="22"/>
      <c r="T53" s="22"/>
      <c r="U53" s="33">
        <f t="shared" si="47"/>
        <v>-9.1413078149920293E-2</v>
      </c>
      <c r="V53" s="21"/>
      <c r="W53" s="22"/>
      <c r="X53" s="33">
        <f t="shared" ref="W53:X53" si="48">X50/(X48-X43)</f>
        <v>-2.1451027811366739E-3</v>
      </c>
      <c r="Y53" s="22"/>
    </row>
    <row r="54" spans="1:25" x14ac:dyDescent="0.15">
      <c r="A54" s="72" t="s">
        <v>65</v>
      </c>
      <c r="E54" s="33">
        <f>E25/E47</f>
        <v>0.12256797583081569</v>
      </c>
      <c r="I54" s="33">
        <f t="shared" ref="I54:O54" si="49">I50/I47</f>
        <v>0.22343421052631557</v>
      </c>
      <c r="J54" s="21"/>
      <c r="K54" s="22"/>
      <c r="L54" s="22"/>
      <c r="M54" s="33">
        <f t="shared" si="49"/>
        <v>1.7125269978401733E-2</v>
      </c>
      <c r="N54" s="21"/>
      <c r="O54" s="22"/>
      <c r="P54" s="22"/>
      <c r="Q54" s="33">
        <f t="shared" ref="P54:V54" si="50">Q50/Q47</f>
        <v>-3.7682795698924659E-2</v>
      </c>
      <c r="R54" s="21"/>
      <c r="S54" s="22"/>
      <c r="T54" s="22"/>
      <c r="U54" s="33">
        <f t="shared" si="50"/>
        <v>-0.12578493050475498</v>
      </c>
      <c r="V54" s="21"/>
      <c r="W54" s="22"/>
      <c r="X54" s="33">
        <f t="shared" ref="W54:X54" si="51">X50/X47</f>
        <v>-1.9419813902572843E-3</v>
      </c>
      <c r="Y54" s="22"/>
    </row>
    <row r="55" spans="1:25" x14ac:dyDescent="0.15">
      <c r="Y55" s="22"/>
    </row>
    <row r="56" spans="1:25" s="75" customFormat="1" x14ac:dyDescent="0.15">
      <c r="A56" s="74" t="s">
        <v>102</v>
      </c>
      <c r="B56" s="33"/>
      <c r="C56" s="33"/>
      <c r="D56" s="33"/>
      <c r="E56" s="33"/>
      <c r="F56" s="34">
        <f>F3/B3-1</f>
        <v>0.1319308592951618</v>
      </c>
      <c r="G56" s="33">
        <f>G3/C3-1</f>
        <v>0.41201092401224138</v>
      </c>
      <c r="H56" s="33">
        <f>H3/D3-1</f>
        <v>0.76349514040330591</v>
      </c>
      <c r="I56" s="33">
        <f>I3/E3-1</f>
        <v>0.9158783738709293</v>
      </c>
      <c r="J56" s="34">
        <f>J3/F3-1</f>
        <v>1.0610047075514286</v>
      </c>
      <c r="K56" s="33">
        <f>K3/G3-1</f>
        <v>0.52786012110138114</v>
      </c>
      <c r="L56" s="33">
        <f>L3/H3-1</f>
        <v>0.34806073143363148</v>
      </c>
      <c r="M56" s="33">
        <f>M3/I3-1</f>
        <v>0.37398413615883341</v>
      </c>
      <c r="N56" s="34">
        <f>N3/J3-1</f>
        <v>0.15269086357947415</v>
      </c>
      <c r="O56" s="33">
        <f>O3/K3-1</f>
        <v>0.24554707379134877</v>
      </c>
      <c r="P56" s="33">
        <f>P3/L3-1</f>
        <v>0.25028312570781441</v>
      </c>
      <c r="Q56" s="33">
        <f>Q3/M3-1</f>
        <v>0.34515965534718673</v>
      </c>
      <c r="R56" s="34">
        <f>R3/N3-1</f>
        <v>0.64169381107491863</v>
      </c>
      <c r="S56" s="33">
        <f>S3/O3-1</f>
        <v>0.74106230847803856</v>
      </c>
      <c r="T56" s="33">
        <f>T3/P3-1</f>
        <v>0.76585144927536208</v>
      </c>
      <c r="U56" s="33">
        <f>U3/Q3-1</f>
        <v>0.61379050489826703</v>
      </c>
      <c r="V56" s="34">
        <f>V3/R3-1</f>
        <v>0.31415343915343907</v>
      </c>
      <c r="W56" s="33">
        <f>W3/S3-1</f>
        <v>0.36491639777060736</v>
      </c>
      <c r="X56" s="33">
        <f>X3/T3-1</f>
        <v>0.56629905103872802</v>
      </c>
      <c r="Y56" s="33">
        <f>Y3/U3-1</f>
        <v>0.5</v>
      </c>
    </row>
    <row r="57" spans="1:25" s="75" customFormat="1" x14ac:dyDescent="0.15">
      <c r="A57" s="74" t="s">
        <v>103</v>
      </c>
      <c r="B57" s="33"/>
      <c r="C57" s="33"/>
      <c r="D57" s="33"/>
      <c r="E57" s="33"/>
      <c r="F57" s="34">
        <f>F4/B4-1</f>
        <v>1.6234108494444621E-2</v>
      </c>
      <c r="G57" s="33">
        <f>G4/C4-1</f>
        <v>0.19128981171916237</v>
      </c>
      <c r="H57" s="33">
        <f>H4/D4-1</f>
        <v>4.0887051194336443E-2</v>
      </c>
      <c r="I57" s="33">
        <f>I4/E4-1</f>
        <v>3.879480378154132E-2</v>
      </c>
      <c r="J57" s="34">
        <f>J4/F4-1</f>
        <v>0.48129706852554932</v>
      </c>
      <c r="K57" s="33">
        <f>K4/G4-1</f>
        <v>0.29983308961462907</v>
      </c>
      <c r="L57" s="33">
        <f>L4/H4-1</f>
        <v>0.30460254633268069</v>
      </c>
      <c r="M57" s="33">
        <f>M4/I4-1</f>
        <v>0.42338968402582267</v>
      </c>
      <c r="N57" s="34">
        <f>N4/J4-1</f>
        <v>0.42717086834733897</v>
      </c>
      <c r="O57" s="33">
        <f>O4/K4-1</f>
        <v>0.13749999999999996</v>
      </c>
      <c r="P57" s="33">
        <f>P4/L4-1</f>
        <v>-8.3242059145673508E-2</v>
      </c>
      <c r="Q57" s="33">
        <f>Q4/M4-1</f>
        <v>-0.16467341306347749</v>
      </c>
      <c r="R57" s="34">
        <f>R4/N4-1</f>
        <v>-7.9489695780176728E-2</v>
      </c>
      <c r="S57" s="33">
        <f>S4/O4-1</f>
        <v>0.13786213786213808</v>
      </c>
      <c r="T57" s="33">
        <f>T4/P4-1</f>
        <v>0.38829151732377531</v>
      </c>
      <c r="U57" s="33">
        <f>U4/Q4-1</f>
        <v>0.45814977973568283</v>
      </c>
      <c r="V57" s="34">
        <f>V4/R4-1</f>
        <v>0.41684434968017059</v>
      </c>
      <c r="W57" s="33">
        <f>W4/S4-1</f>
        <v>1.1000877963125548</v>
      </c>
      <c r="X57" s="33">
        <f>X4/T4-1</f>
        <v>1.4500860585197932</v>
      </c>
      <c r="Y57" s="33">
        <f>Y4/U4-1</f>
        <v>1.5</v>
      </c>
    </row>
    <row r="58" spans="1:25" s="75" customFormat="1" x14ac:dyDescent="0.15">
      <c r="A58" s="74" t="s">
        <v>104</v>
      </c>
      <c r="B58" s="33"/>
      <c r="C58" s="33"/>
      <c r="D58" s="33"/>
      <c r="E58" s="33"/>
      <c r="F58" s="34">
        <f>F5/B5-1</f>
        <v>0.1779167108191162</v>
      </c>
      <c r="G58" s="33">
        <f>G5/C5-1</f>
        <v>0.14623160844760297</v>
      </c>
      <c r="H58" s="33">
        <f>H5/D5-1</f>
        <v>0.19504048582995948</v>
      </c>
      <c r="I58" s="33">
        <f>I5/E5-1</f>
        <v>8.4043517679057267E-2</v>
      </c>
      <c r="J58" s="34">
        <f>J5/F5-1</f>
        <v>1.6552716804606016E-2</v>
      </c>
      <c r="K58" s="33">
        <f>K5/G5-1</f>
        <v>-5.6933286762137603E-2</v>
      </c>
      <c r="L58" s="33">
        <f>L5/H5-1</f>
        <v>-2.6001524519353003E-2</v>
      </c>
      <c r="M58" s="33">
        <f>M5/I5-1</f>
        <v>0.48030442418666874</v>
      </c>
      <c r="N58" s="34">
        <f>N5/J5-1</f>
        <v>0.51327433628318597</v>
      </c>
      <c r="O58" s="33">
        <f>O5/K5-1</f>
        <v>0.62037037037037024</v>
      </c>
      <c r="P58" s="33">
        <f>P5/L5-1</f>
        <v>1.5217391304347827</v>
      </c>
      <c r="Q58" s="33">
        <f>Q5/M5-1</f>
        <v>1.5706214689265536</v>
      </c>
      <c r="R58" s="34">
        <f>R5/N5-1</f>
        <v>2.1929824561403506</v>
      </c>
      <c r="S58" s="33">
        <f>S5/O5-1</f>
        <v>2.68</v>
      </c>
      <c r="T58" s="33">
        <f>T5/P5-1</f>
        <v>1.4620689655172416</v>
      </c>
      <c r="U58" s="33">
        <f>U5/Q5-1</f>
        <v>0.86373626373626378</v>
      </c>
      <c r="V58" s="34">
        <f>V5/R5-1</f>
        <v>0.73626373626373609</v>
      </c>
      <c r="W58" s="33">
        <f>W5/S5-1</f>
        <v>0.95496894409937871</v>
      </c>
      <c r="X58" s="33">
        <f>X5/T5-1</f>
        <v>1.1064425770308124</v>
      </c>
      <c r="Y58" s="33">
        <f>Y5/U5-1</f>
        <v>1</v>
      </c>
    </row>
    <row r="59" spans="1:25" s="75" customFormat="1" x14ac:dyDescent="0.15">
      <c r="A59" s="74" t="s">
        <v>105</v>
      </c>
      <c r="B59" s="33"/>
      <c r="C59" s="33"/>
      <c r="D59" s="33"/>
      <c r="E59" s="33"/>
      <c r="F59" s="34">
        <f>F6/B6-1</f>
        <v>-8.6159123894973044E-2</v>
      </c>
      <c r="G59" s="33">
        <f>G6/C6-1</f>
        <v>0.20285792424449589</v>
      </c>
      <c r="H59" s="33">
        <f>H6/D6-1</f>
        <v>4.7155037410823164E-2</v>
      </c>
      <c r="I59" s="33">
        <f>I6/E6-1</f>
        <v>0.14682614428329255</v>
      </c>
      <c r="J59" s="34">
        <f>J6/F6-1</f>
        <v>0.30907690826836109</v>
      </c>
      <c r="K59" s="33">
        <f>K6/G6-1</f>
        <v>0.5915420906042177</v>
      </c>
      <c r="L59" s="33">
        <f>L6/H6-1</f>
        <v>0.41796831727041095</v>
      </c>
      <c r="M59" s="33">
        <f>M6/I6-1</f>
        <v>0.4124989734745832</v>
      </c>
      <c r="N59" s="34">
        <f>N6/J6-1</f>
        <v>-0.34558823529411764</v>
      </c>
      <c r="O59" s="33">
        <f>O6/K6-1</f>
        <v>-0.21785714285714286</v>
      </c>
      <c r="P59" s="33">
        <f>P6/L6-1</f>
        <v>-0.1484375</v>
      </c>
      <c r="Q59" s="33">
        <f>Q6/M6-1</f>
        <v>-0.23546511627906974</v>
      </c>
      <c r="R59" s="34">
        <f>R6/N6-1</f>
        <v>0.2921348314606742</v>
      </c>
      <c r="S59" s="33">
        <f>S6/O6-1</f>
        <v>0.19178082191780832</v>
      </c>
      <c r="T59" s="33">
        <f>T6/P6-1</f>
        <v>0.16972477064220182</v>
      </c>
      <c r="U59" s="33">
        <f>U6/Q6-1</f>
        <v>9.1254752851710919E-2</v>
      </c>
      <c r="V59" s="34">
        <f>V6/R6-1</f>
        <v>0.17391304347826098</v>
      </c>
      <c r="W59" s="33">
        <f>W6/S6-1</f>
        <v>0.91187739463601525</v>
      </c>
      <c r="X59" s="33">
        <f>X6/T6-1</f>
        <v>1.7411764705882353</v>
      </c>
      <c r="Y59" s="33">
        <f>Y6/U6-1</f>
        <v>1.5</v>
      </c>
    </row>
    <row r="60" spans="1:25" x14ac:dyDescent="0.15">
      <c r="Y60" s="22"/>
    </row>
    <row r="61" spans="1:25" x14ac:dyDescent="0.15">
      <c r="A61" s="68" t="s">
        <v>92</v>
      </c>
      <c r="F61" s="34"/>
      <c r="G61" s="33"/>
      <c r="H61" s="33"/>
      <c r="I61" s="33"/>
      <c r="J61" s="34"/>
      <c r="K61" s="33"/>
      <c r="L61" s="33"/>
      <c r="M61" s="33"/>
      <c r="N61" s="34"/>
      <c r="O61" s="33"/>
      <c r="P61" s="33"/>
      <c r="Q61" s="33"/>
      <c r="R61" s="34"/>
      <c r="S61" s="33"/>
      <c r="T61" s="33"/>
      <c r="U61" s="33"/>
      <c r="V61" s="34">
        <f t="shared" ref="F61:W61" si="52">V8/R8-1</f>
        <v>0.32741758337546401</v>
      </c>
      <c r="W61" s="33">
        <f t="shared" si="52"/>
        <v>0.79529097328526976</v>
      </c>
      <c r="X61" s="33">
        <f>X8/T8-1</f>
        <v>1.0925744061373508</v>
      </c>
      <c r="Y61" s="33"/>
    </row>
    <row r="62" spans="1:25" x14ac:dyDescent="0.15">
      <c r="A62" s="68" t="s">
        <v>93</v>
      </c>
      <c r="F62" s="34"/>
      <c r="G62" s="33"/>
      <c r="H62" s="33"/>
      <c r="I62" s="33"/>
      <c r="J62" s="34"/>
      <c r="K62" s="33"/>
      <c r="L62" s="33"/>
      <c r="M62" s="33"/>
      <c r="N62" s="34"/>
      <c r="O62" s="33"/>
      <c r="P62" s="33"/>
      <c r="Q62" s="33"/>
      <c r="R62" s="34"/>
      <c r="S62" s="33"/>
      <c r="T62" s="33"/>
      <c r="U62" s="33"/>
      <c r="V62" s="34">
        <f t="shared" ref="F62:W62" si="53">V9/R9-1</f>
        <v>0.45150696654454014</v>
      </c>
      <c r="W62" s="33">
        <f t="shared" si="53"/>
        <v>0.34100874219124333</v>
      </c>
      <c r="X62" s="33">
        <f>X9/T9-1</f>
        <v>0.52336434042122404</v>
      </c>
      <c r="Y62" s="33"/>
    </row>
    <row r="64" spans="1:25" s="75" customFormat="1" x14ac:dyDescent="0.15">
      <c r="A64" s="74" t="s">
        <v>84</v>
      </c>
      <c r="B64" s="33"/>
      <c r="C64" s="33"/>
      <c r="D64" s="33"/>
      <c r="E64" s="33"/>
      <c r="F64" s="34"/>
      <c r="G64" s="33"/>
      <c r="H64" s="33"/>
      <c r="I64" s="33"/>
      <c r="J64" s="34"/>
      <c r="K64" s="33"/>
      <c r="L64" s="33"/>
      <c r="M64" s="33"/>
      <c r="N64" s="34"/>
      <c r="O64" s="33"/>
      <c r="P64" s="33"/>
      <c r="Q64" s="33"/>
      <c r="R64" s="34"/>
      <c r="S64" s="33"/>
      <c r="T64" s="33"/>
      <c r="U64" s="33"/>
      <c r="V64" s="34">
        <f>V11/R11-1</f>
        <v>0.30909090909090908</v>
      </c>
      <c r="W64" s="33">
        <f>W11/S11-1</f>
        <v>0.37605042016806722</v>
      </c>
      <c r="X64" s="33">
        <f>X11/T11-1</f>
        <v>0.92171717171717149</v>
      </c>
      <c r="Y64" s="33"/>
    </row>
    <row r="65" spans="1:25" x14ac:dyDescent="0.15">
      <c r="A65" s="68" t="s">
        <v>85</v>
      </c>
      <c r="V65" s="34">
        <f>V12/R12-1</f>
        <v>5.1406947346696485E-2</v>
      </c>
      <c r="W65" s="33">
        <f>W12/S12-1</f>
        <v>0.17072084330591086</v>
      </c>
      <c r="X65" s="33">
        <f>X12/T12-1</f>
        <v>-3.7238504164347153E-2</v>
      </c>
      <c r="Y65" s="33"/>
    </row>
    <row r="66" spans="1:25" x14ac:dyDescent="0.15">
      <c r="Y66" s="22"/>
    </row>
    <row r="67" spans="1:25" s="7" customFormat="1" x14ac:dyDescent="0.15">
      <c r="A67" s="64" t="s">
        <v>86</v>
      </c>
      <c r="B67" s="22">
        <v>1649.1</v>
      </c>
      <c r="C67" s="22">
        <v>1653.5</v>
      </c>
      <c r="D67" s="7">
        <v>1842.1</v>
      </c>
      <c r="E67" s="22">
        <v>2006.1</v>
      </c>
      <c r="F67" s="21">
        <v>1781.1</v>
      </c>
      <c r="G67" s="22">
        <v>2004.7</v>
      </c>
      <c r="H67" s="22">
        <v>2040.2</v>
      </c>
      <c r="I67" s="22">
        <v>2222.1</v>
      </c>
      <c r="J67" s="21">
        <v>2334</v>
      </c>
      <c r="K67" s="22">
        <v>2722.4</v>
      </c>
      <c r="L67" s="22">
        <v>3075.3</v>
      </c>
      <c r="M67" s="22">
        <v>3617.7</v>
      </c>
      <c r="N67" s="21">
        <v>3126.4</v>
      </c>
      <c r="O67" s="22">
        <v>3135.4</v>
      </c>
      <c r="P67" s="22">
        <v>2995.2</v>
      </c>
      <c r="Q67" s="22">
        <v>3233</v>
      </c>
      <c r="R67" s="21">
        <v>3087.8</v>
      </c>
      <c r="S67" s="22">
        <v>3397.7</v>
      </c>
      <c r="T67" s="22">
        <v>3640.7</v>
      </c>
      <c r="U67" s="22">
        <v>3871.3</v>
      </c>
      <c r="V67" s="21">
        <v>2414.1</v>
      </c>
      <c r="W67" s="22">
        <v>5044.8</v>
      </c>
      <c r="X67" s="22">
        <v>5902.4</v>
      </c>
      <c r="Y67" s="22">
        <f>U67*1.5</f>
        <v>5806.9500000000007</v>
      </c>
    </row>
    <row r="68" spans="1:25" s="75" customFormat="1" x14ac:dyDescent="0.15">
      <c r="A68" s="74" t="s">
        <v>87</v>
      </c>
      <c r="B68" s="33"/>
      <c r="C68" s="33"/>
      <c r="D68" s="33"/>
      <c r="E68" s="33"/>
      <c r="F68" s="34">
        <f>F67/B67-1</f>
        <v>8.0043660178279019E-2</v>
      </c>
      <c r="G68" s="33">
        <f>G67/C67-1</f>
        <v>0.21239794375566978</v>
      </c>
      <c r="H68" s="33">
        <f>H67/D67-1</f>
        <v>0.10754030725802077</v>
      </c>
      <c r="I68" s="33">
        <f>I67/E67-1</f>
        <v>0.10767160161507405</v>
      </c>
      <c r="J68" s="34">
        <f>J67/F67-1</f>
        <v>0.31042614114872835</v>
      </c>
      <c r="K68" s="33">
        <f>K67/G67-1</f>
        <v>0.35800867960293314</v>
      </c>
      <c r="L68" s="33">
        <f>L67/H67-1</f>
        <v>0.50735222037055205</v>
      </c>
      <c r="M68" s="33">
        <f>M67/I67-1</f>
        <v>0.62805454299986496</v>
      </c>
      <c r="N68" s="34">
        <f>N67/J67-1</f>
        <v>0.339502999143102</v>
      </c>
      <c r="O68" s="33">
        <f>O67/K67-1</f>
        <v>0.15170437848956797</v>
      </c>
      <c r="P68" s="33">
        <f>P67/L67-1</f>
        <v>-2.6046239391279036E-2</v>
      </c>
      <c r="Q68" s="33">
        <f>Q67/M67-1</f>
        <v>-0.10633828122840472</v>
      </c>
      <c r="R68" s="34">
        <f>R67/N67-1</f>
        <v>-1.2346468781985642E-2</v>
      </c>
      <c r="S68" s="33">
        <f>S67/O67-1</f>
        <v>8.3657587548638057E-2</v>
      </c>
      <c r="T68" s="33">
        <f>T67/P67-1</f>
        <v>0.2155114850427351</v>
      </c>
      <c r="U68" s="33">
        <f>U67/Q67-1</f>
        <v>0.19743272502319842</v>
      </c>
      <c r="V68" s="34">
        <f>V67/R67-1</f>
        <v>-0.2181812293542329</v>
      </c>
      <c r="W68" s="33">
        <f>W67/S67-1</f>
        <v>0.48476910851458355</v>
      </c>
      <c r="X68" s="33">
        <f>X67/T67-1</f>
        <v>0.62122668717554319</v>
      </c>
      <c r="Y68" s="33">
        <f>Y67/U67-1</f>
        <v>0.50000000000000022</v>
      </c>
    </row>
    <row r="69" spans="1:25" x14ac:dyDescent="0.15">
      <c r="Y69" s="22"/>
    </row>
    <row r="70" spans="1:25" s="7" customFormat="1" x14ac:dyDescent="0.15">
      <c r="A70" s="64" t="s">
        <v>88</v>
      </c>
      <c r="B70" s="22">
        <v>1037.3</v>
      </c>
      <c r="C70" s="22">
        <v>1206</v>
      </c>
      <c r="D70" s="22">
        <v>1384.4</v>
      </c>
      <c r="E70" s="22">
        <v>1557.4</v>
      </c>
      <c r="F70" s="21">
        <v>1376.1</v>
      </c>
      <c r="G70" s="22">
        <v>1816.9</v>
      </c>
      <c r="H70" s="22">
        <v>2114</v>
      </c>
      <c r="I70" s="22">
        <v>2446.8000000000002</v>
      </c>
      <c r="J70" s="21">
        <v>2601</v>
      </c>
      <c r="K70" s="22">
        <v>3152</v>
      </c>
      <c r="L70" s="22">
        <v>3667.1</v>
      </c>
      <c r="M70" s="22">
        <v>4342.8</v>
      </c>
      <c r="N70" s="21">
        <v>4175.3</v>
      </c>
      <c r="O70" s="22">
        <v>4426.1000000000004</v>
      </c>
      <c r="P70" s="22">
        <v>4552.3999999999996</v>
      </c>
      <c r="Q70" s="22">
        <v>5302.1</v>
      </c>
      <c r="R70" s="21">
        <v>5639.1</v>
      </c>
      <c r="S70" s="22">
        <v>6517.4</v>
      </c>
      <c r="T70" s="22">
        <v>7565.2</v>
      </c>
      <c r="U70" s="22">
        <v>8668.2000000000007</v>
      </c>
      <c r="V70" s="21">
        <v>8094.5</v>
      </c>
      <c r="W70" s="22">
        <v>11214.3</v>
      </c>
      <c r="X70" s="22">
        <v>14506</v>
      </c>
      <c r="Y70" s="22"/>
    </row>
    <row r="71" spans="1:25" x14ac:dyDescent="0.15">
      <c r="A71" s="68" t="s">
        <v>89</v>
      </c>
      <c r="F71" s="34">
        <f>F70/B70-1</f>
        <v>0.32661717921527034</v>
      </c>
      <c r="G71" s="33">
        <f>G70/C70-1</f>
        <v>0.50655058043117762</v>
      </c>
      <c r="H71" s="33">
        <f>H70/D70-1</f>
        <v>0.52701531349320985</v>
      </c>
      <c r="I71" s="33">
        <f>I70/E70-1</f>
        <v>0.57108000513676638</v>
      </c>
      <c r="J71" s="34">
        <f>J70/F70-1</f>
        <v>0.89012426422498381</v>
      </c>
      <c r="K71" s="33">
        <f>K70/G70-1</f>
        <v>0.73482305025042649</v>
      </c>
      <c r="L71" s="33">
        <f>L70/H70-1</f>
        <v>0.73467360454115416</v>
      </c>
      <c r="M71" s="33">
        <f>M70/I70-1</f>
        <v>0.77488965179009317</v>
      </c>
      <c r="N71" s="34">
        <f>N70/J70-1</f>
        <v>0.60526720492118424</v>
      </c>
      <c r="O71" s="33">
        <f>O70/K70-1</f>
        <v>0.4042195431472082</v>
      </c>
      <c r="P71" s="33">
        <f>P70/L70-1</f>
        <v>0.24141692345450072</v>
      </c>
      <c r="Q71" s="33">
        <f>Q70/M70-1</f>
        <v>0.22089435387307721</v>
      </c>
      <c r="R71" s="34">
        <f>R70/N70-1</f>
        <v>0.3505855866644314</v>
      </c>
      <c r="S71" s="33">
        <f>S70/O70-1</f>
        <v>0.47249271367569623</v>
      </c>
      <c r="T71" s="33">
        <f>T70/P70-1</f>
        <v>0.6618047623231702</v>
      </c>
      <c r="U71" s="33">
        <f>U70/Q70-1</f>
        <v>0.63486165858810661</v>
      </c>
      <c r="V71" s="34">
        <f>V70/R70-1</f>
        <v>0.43542409249702962</v>
      </c>
      <c r="W71" s="33">
        <f>W70/S70-1</f>
        <v>0.72067081965200841</v>
      </c>
      <c r="X71" s="33">
        <f>X70/T70-1</f>
        <v>0.91746417807857039</v>
      </c>
    </row>
    <row r="72" spans="1:25" x14ac:dyDescent="0.15">
      <c r="Q72" s="22"/>
      <c r="U72" s="22"/>
    </row>
    <row r="73" spans="1:25" s="75" customFormat="1" x14ac:dyDescent="0.15">
      <c r="A73" s="74" t="s">
        <v>110</v>
      </c>
      <c r="B73" s="33">
        <f t="shared" ref="B73:X73" si="54">B14/B67</f>
        <v>8.9808380328664131E-2</v>
      </c>
      <c r="C73" s="33">
        <f t="shared" si="54"/>
        <v>9.3325672815240401E-2</v>
      </c>
      <c r="D73" s="33">
        <f t="shared" si="54"/>
        <v>9.1548232994951392E-2</v>
      </c>
      <c r="E73" s="33">
        <f t="shared" si="54"/>
        <v>9.0091221773590552E-2</v>
      </c>
      <c r="F73" s="34">
        <f t="shared" si="54"/>
        <v>8.8501487844590401E-2</v>
      </c>
      <c r="G73" s="33">
        <f t="shared" si="54"/>
        <v>9.958347882476179E-2</v>
      </c>
      <c r="H73" s="33">
        <f t="shared" si="54"/>
        <v>0.11314920105871971</v>
      </c>
      <c r="I73" s="33">
        <f t="shared" si="54"/>
        <v>0.11533009315512352</v>
      </c>
      <c r="J73" s="34">
        <f t="shared" si="54"/>
        <v>0.1155526992287918</v>
      </c>
      <c r="K73" s="33">
        <f t="shared" si="54"/>
        <v>0.10431971789597413</v>
      </c>
      <c r="L73" s="33">
        <f t="shared" si="54"/>
        <v>9.9177316034208041E-2</v>
      </c>
      <c r="M73" s="33">
        <f t="shared" si="54"/>
        <v>9.8985543300992337E-2</v>
      </c>
      <c r="N73" s="34">
        <f t="shared" si="54"/>
        <v>0.10267400204708292</v>
      </c>
      <c r="O73" s="33">
        <f t="shared" si="54"/>
        <v>0.10694010333609745</v>
      </c>
      <c r="P73" s="33">
        <f t="shared" si="54"/>
        <v>0.11862313034188035</v>
      </c>
      <c r="Q73" s="33">
        <f t="shared" si="54"/>
        <v>0.13238478193628209</v>
      </c>
      <c r="R73" s="34">
        <f t="shared" si="54"/>
        <v>0.15343286482285121</v>
      </c>
      <c r="S73" s="33">
        <f t="shared" si="54"/>
        <v>0.16047384995732408</v>
      </c>
      <c r="T73" s="33">
        <f t="shared" si="54"/>
        <v>0.1656360040651523</v>
      </c>
      <c r="U73" s="33">
        <f t="shared" si="54"/>
        <v>0.17415338516777309</v>
      </c>
      <c r="V73" s="34">
        <f t="shared" si="54"/>
        <v>0.2701176421854935</v>
      </c>
      <c r="W73" s="33">
        <f t="shared" si="54"/>
        <v>0.17411374088169995</v>
      </c>
      <c r="X73" s="33">
        <f>X14/X67</f>
        <v>0.18902497289238276</v>
      </c>
      <c r="Y73" s="33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7"/>
  <sheetViews>
    <sheetView zoomScale="130" zoomScaleNormal="130" workbookViewId="0">
      <selection activeCell="B9" sqref="B9"/>
    </sheetView>
  </sheetViews>
  <sheetFormatPr baseColWidth="10" defaultRowHeight="13" x14ac:dyDescent="0.15"/>
  <cols>
    <col min="1" max="1" width="10.83203125" style="2"/>
    <col min="2" max="2" width="12.5" style="2" bestFit="1" customWidth="1"/>
    <col min="3" max="3" width="30.6640625" style="2" bestFit="1" customWidth="1"/>
    <col min="4" max="16384" width="10.83203125" style="2"/>
  </cols>
  <sheetData>
    <row r="4" spans="2:3" x14ac:dyDescent="0.15">
      <c r="B4" s="62" t="s">
        <v>76</v>
      </c>
    </row>
    <row r="6" spans="2:3" x14ac:dyDescent="0.15">
      <c r="B6" s="2" t="s">
        <v>98</v>
      </c>
      <c r="C6" s="2" t="s">
        <v>100</v>
      </c>
    </row>
    <row r="7" spans="2:3" x14ac:dyDescent="0.15">
      <c r="B7" s="2" t="s">
        <v>99</v>
      </c>
      <c r="C7" s="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2021-02-12T21:17:16Z</dcterms:modified>
</cp:coreProperties>
</file>