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2EAA382D-4C3A-6D4B-B248-9C74DA2DC8C5}" xr6:coauthVersionLast="46" xr6:coauthVersionMax="46" xr10:uidLastSave="{00000000-0000-0000-0000-000000000000}"/>
  <bookViews>
    <workbookView xWindow="-61040" yWindow="-5940" windowWidth="32760" windowHeight="2706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1" i="2" l="1"/>
  <c r="D31" i="2"/>
  <c r="B12" i="2"/>
  <c r="C12" i="2"/>
  <c r="E31" i="2"/>
  <c r="D12" i="2"/>
  <c r="E12" i="2"/>
  <c r="F31" i="2"/>
  <c r="H53" i="2"/>
  <c r="N16" i="2"/>
  <c r="O16" i="2" s="1"/>
  <c r="P16" i="2" s="1"/>
  <c r="Q16" i="2" s="1"/>
  <c r="M16" i="2"/>
  <c r="N12" i="2"/>
  <c r="O12" i="2" s="1"/>
  <c r="P12" i="2" s="1"/>
  <c r="Q12" i="2" s="1"/>
  <c r="M12" i="2"/>
  <c r="G38" i="2"/>
  <c r="H14" i="2"/>
  <c r="H13" i="2"/>
  <c r="I12" i="2"/>
  <c r="M28" i="1"/>
  <c r="L54" i="1"/>
  <c r="L53" i="1"/>
  <c r="H8" i="1"/>
  <c r="L8" i="1"/>
  <c r="I10" i="2"/>
  <c r="J10" i="2" s="1"/>
  <c r="K10" i="2" s="1"/>
  <c r="L10" i="2" s="1"/>
  <c r="J4" i="2"/>
  <c r="F9" i="2"/>
  <c r="G8" i="1"/>
  <c r="G10" i="1" s="1"/>
  <c r="G13" i="1"/>
  <c r="G14" i="1"/>
  <c r="G32" i="1" s="1"/>
  <c r="G29" i="1"/>
  <c r="G30" i="1"/>
  <c r="G31" i="1"/>
  <c r="G34" i="1"/>
  <c r="G42" i="1"/>
  <c r="G43" i="1"/>
  <c r="G51" i="1"/>
  <c r="F8" i="1"/>
  <c r="F10" i="1" s="1"/>
  <c r="F13" i="1"/>
  <c r="F31" i="1" s="1"/>
  <c r="F14" i="1"/>
  <c r="F32" i="1" s="1"/>
  <c r="F29" i="1"/>
  <c r="F30" i="1"/>
  <c r="F34" i="1"/>
  <c r="F42" i="1"/>
  <c r="F43" i="1"/>
  <c r="F51" i="1"/>
  <c r="E8" i="1"/>
  <c r="E28" i="1" s="1"/>
  <c r="E13" i="1"/>
  <c r="E31" i="1" s="1"/>
  <c r="E29" i="1"/>
  <c r="E30" i="1"/>
  <c r="E35" i="1"/>
  <c r="E34" i="1" s="1"/>
  <c r="E42" i="1"/>
  <c r="E43" i="1"/>
  <c r="E51" i="1"/>
  <c r="H10" i="2"/>
  <c r="H17" i="2"/>
  <c r="I17" i="2" s="1"/>
  <c r="J17" i="2" s="1"/>
  <c r="K17" i="2" s="1"/>
  <c r="L17" i="2" s="1"/>
  <c r="H16" i="2"/>
  <c r="I16" i="2" s="1"/>
  <c r="J16" i="2" s="1"/>
  <c r="K16" i="2" s="1"/>
  <c r="L16" i="2" s="1"/>
  <c r="H15" i="2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G3" i="2"/>
  <c r="F15" i="1" l="1"/>
  <c r="F24" i="1"/>
  <c r="G15" i="1"/>
  <c r="G24" i="1"/>
  <c r="G28" i="1"/>
  <c r="F28" i="1"/>
  <c r="E10" i="1"/>
  <c r="E14" i="1"/>
  <c r="G20" i="2"/>
  <c r="F20" i="2"/>
  <c r="F12" i="2"/>
  <c r="K35" i="1"/>
  <c r="I35" i="1"/>
  <c r="H35" i="1"/>
  <c r="H16" i="1"/>
  <c r="L35" i="1"/>
  <c r="L16" i="1"/>
  <c r="G17" i="1" l="1"/>
  <c r="G25" i="1"/>
  <c r="F17" i="1"/>
  <c r="F25" i="1"/>
  <c r="E24" i="1"/>
  <c r="E15" i="1"/>
  <c r="E32" i="1"/>
  <c r="L51" i="1"/>
  <c r="L43" i="1"/>
  <c r="L34" i="1"/>
  <c r="G5" i="2" s="1"/>
  <c r="L30" i="1"/>
  <c r="L29" i="1"/>
  <c r="L14" i="1"/>
  <c r="L10" i="1"/>
  <c r="F20" i="1" l="1"/>
  <c r="F21" i="1" s="1"/>
  <c r="F26" i="1"/>
  <c r="G20" i="1"/>
  <c r="G21" i="1" s="1"/>
  <c r="G26" i="1"/>
  <c r="E17" i="1"/>
  <c r="E25" i="1"/>
  <c r="L15" i="1"/>
  <c r="L24" i="1"/>
  <c r="L42" i="1"/>
  <c r="K51" i="1"/>
  <c r="K43" i="1"/>
  <c r="K34" i="1"/>
  <c r="K30" i="1"/>
  <c r="K29" i="1"/>
  <c r="K16" i="1"/>
  <c r="K13" i="1"/>
  <c r="K8" i="1"/>
  <c r="K10" i="1" s="1"/>
  <c r="K24" i="1" s="1"/>
  <c r="E26" i="1" l="1"/>
  <c r="E20" i="1"/>
  <c r="K42" i="1"/>
  <c r="K14" i="1"/>
  <c r="L17" i="1"/>
  <c r="L25" i="1"/>
  <c r="G43" i="2"/>
  <c r="G42" i="2"/>
  <c r="G46" i="2" s="1"/>
  <c r="J13" i="1"/>
  <c r="I51" i="1"/>
  <c r="I43" i="1"/>
  <c r="I30" i="1"/>
  <c r="I29" i="1"/>
  <c r="I14" i="1"/>
  <c r="I8" i="1"/>
  <c r="E21" i="1" l="1"/>
  <c r="F45" i="1"/>
  <c r="G45" i="1"/>
  <c r="E45" i="1"/>
  <c r="I34" i="1"/>
  <c r="J42" i="1"/>
  <c r="L20" i="1"/>
  <c r="L21" i="1" s="1"/>
  <c r="L26" i="1"/>
  <c r="I42" i="1"/>
  <c r="G39" i="2"/>
  <c r="G37" i="2" s="1"/>
  <c r="K15" i="1"/>
  <c r="I10" i="1"/>
  <c r="I24" i="1" s="1"/>
  <c r="G41" i="2"/>
  <c r="H32" i="2"/>
  <c r="G12" i="2"/>
  <c r="H20" i="2" l="1"/>
  <c r="G46" i="1"/>
  <c r="G48" i="1"/>
  <c r="G47" i="1"/>
  <c r="G49" i="1"/>
  <c r="F49" i="1"/>
  <c r="F46" i="1"/>
  <c r="F48" i="1"/>
  <c r="F47" i="1"/>
  <c r="E48" i="1"/>
  <c r="E49" i="1"/>
  <c r="E46" i="1"/>
  <c r="E47" i="1"/>
  <c r="K25" i="1"/>
  <c r="K17" i="1"/>
  <c r="I15" i="1"/>
  <c r="G45" i="2"/>
  <c r="G14" i="2"/>
  <c r="I25" i="1" l="1"/>
  <c r="I17" i="1"/>
  <c r="K26" i="1"/>
  <c r="K20" i="1"/>
  <c r="K21" i="1" s="1"/>
  <c r="I20" i="1" l="1"/>
  <c r="I26" i="1"/>
  <c r="I21" i="1" l="1"/>
  <c r="H43" i="1"/>
  <c r="H51" i="1"/>
  <c r="L31" i="1"/>
  <c r="L28" i="1"/>
  <c r="J51" i="1"/>
  <c r="J43" i="1"/>
  <c r="J30" i="1"/>
  <c r="J29" i="1"/>
  <c r="J14" i="1"/>
  <c r="J8" i="1"/>
  <c r="H10" i="1" l="1"/>
  <c r="H14" i="1"/>
  <c r="H34" i="1"/>
  <c r="H42" i="1"/>
  <c r="J10" i="1"/>
  <c r="J34" i="1"/>
  <c r="G4" i="2"/>
  <c r="H29" i="1"/>
  <c r="H30" i="1"/>
  <c r="K31" i="1"/>
  <c r="G53" i="2"/>
  <c r="I31" i="1"/>
  <c r="F41" i="2"/>
  <c r="F38" i="2"/>
  <c r="J31" i="1"/>
  <c r="F42" i="2"/>
  <c r="F39" i="2"/>
  <c r="F43" i="2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G9" i="2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K28" i="1" l="1"/>
  <c r="I28" i="1"/>
  <c r="J32" i="1"/>
  <c r="J28" i="1"/>
  <c r="H15" i="1"/>
  <c r="H17" i="1" s="1"/>
  <c r="H20" i="1" s="1"/>
  <c r="L32" i="1"/>
  <c r="F37" i="2"/>
  <c r="J15" i="1"/>
  <c r="J24" i="1"/>
  <c r="F46" i="2"/>
  <c r="F45" i="2"/>
  <c r="H31" i="1"/>
  <c r="G6" i="2"/>
  <c r="G7" i="2" s="1"/>
  <c r="H32" i="1"/>
  <c r="G18" i="2" l="1"/>
  <c r="G19" i="2" s="1"/>
  <c r="G21" i="2" s="1"/>
  <c r="H21" i="1"/>
  <c r="I32" i="1"/>
  <c r="K32" i="1"/>
  <c r="J25" i="1"/>
  <c r="J17" i="1"/>
  <c r="H28" i="1"/>
  <c r="G33" i="2"/>
  <c r="F14" i="2"/>
  <c r="F18" i="2"/>
  <c r="J20" i="1" l="1"/>
  <c r="J26" i="1"/>
  <c r="G32" i="2"/>
  <c r="H33" i="2"/>
  <c r="H24" i="1"/>
  <c r="G34" i="2"/>
  <c r="F19" i="2"/>
  <c r="F27" i="2"/>
  <c r="H12" i="2"/>
  <c r="G35" i="2"/>
  <c r="L45" i="1" l="1"/>
  <c r="K45" i="1"/>
  <c r="J21" i="1"/>
  <c r="H25" i="1"/>
  <c r="H34" i="2"/>
  <c r="I18" i="2"/>
  <c r="I33" i="2"/>
  <c r="G31" i="2"/>
  <c r="F28" i="2"/>
  <c r="F21" i="2"/>
  <c r="H18" i="2"/>
  <c r="H35" i="2" s="1"/>
  <c r="I45" i="1" l="1"/>
  <c r="K49" i="1"/>
  <c r="K46" i="1"/>
  <c r="K48" i="1"/>
  <c r="K47" i="1"/>
  <c r="L49" i="1"/>
  <c r="L47" i="1"/>
  <c r="L48" i="1"/>
  <c r="L46" i="1"/>
  <c r="H45" i="1"/>
  <c r="I35" i="2"/>
  <c r="I32" i="2"/>
  <c r="G27" i="2"/>
  <c r="I53" i="2"/>
  <c r="I34" i="2"/>
  <c r="J33" i="2"/>
  <c r="H31" i="2"/>
  <c r="F29" i="2"/>
  <c r="F23" i="2"/>
  <c r="H48" i="1" l="1"/>
  <c r="H46" i="1"/>
  <c r="H49" i="1"/>
  <c r="H47" i="1"/>
  <c r="I49" i="1"/>
  <c r="I47" i="1"/>
  <c r="I48" i="1"/>
  <c r="I46" i="1"/>
  <c r="J18" i="2"/>
  <c r="J35" i="2" s="1"/>
  <c r="F51" i="2"/>
  <c r="F50" i="2"/>
  <c r="F48" i="2"/>
  <c r="J32" i="2"/>
  <c r="I31" i="2"/>
  <c r="J53" i="2"/>
  <c r="J12" i="2"/>
  <c r="H26" i="1"/>
  <c r="F24" i="2"/>
  <c r="F49" i="2"/>
  <c r="K33" i="2"/>
  <c r="G28" i="2"/>
  <c r="J34" i="2"/>
  <c r="R32" i="2" l="1"/>
  <c r="H19" i="2"/>
  <c r="H28" i="2" s="1"/>
  <c r="H27" i="2"/>
  <c r="I14" i="2" s="1"/>
  <c r="I19" i="2" s="1"/>
  <c r="K18" i="2"/>
  <c r="K35" i="2" s="1"/>
  <c r="L53" i="2"/>
  <c r="L12" i="2"/>
  <c r="R12" i="2" s="1"/>
  <c r="S12" i="2" s="1"/>
  <c r="T12" i="2" s="1"/>
  <c r="U12" i="2" s="1"/>
  <c r="V12" i="2" s="1"/>
  <c r="K32" i="2"/>
  <c r="G29" i="2"/>
  <c r="J31" i="2"/>
  <c r="L33" i="2"/>
  <c r="K34" i="2"/>
  <c r="K12" i="2"/>
  <c r="K53" i="2"/>
  <c r="I13" i="2" l="1"/>
  <c r="I27" i="2"/>
  <c r="J14" i="2" s="1"/>
  <c r="J13" i="2" s="1"/>
  <c r="S32" i="2"/>
  <c r="G23" i="2"/>
  <c r="J45" i="1"/>
  <c r="L32" i="2"/>
  <c r="K31" i="2"/>
  <c r="L34" i="2"/>
  <c r="M17" i="2"/>
  <c r="L18" i="2"/>
  <c r="L35" i="2" s="1"/>
  <c r="M33" i="2"/>
  <c r="I28" i="2"/>
  <c r="J27" i="2" l="1"/>
  <c r="K14" i="2" s="1"/>
  <c r="K13" i="2" s="1"/>
  <c r="J19" i="2"/>
  <c r="T32" i="2"/>
  <c r="J48" i="1"/>
  <c r="J49" i="1"/>
  <c r="G24" i="2"/>
  <c r="G48" i="2"/>
  <c r="G50" i="2"/>
  <c r="G49" i="2"/>
  <c r="G51" i="2"/>
  <c r="H21" i="2"/>
  <c r="J47" i="1"/>
  <c r="J46" i="1"/>
  <c r="M32" i="2"/>
  <c r="N17" i="2"/>
  <c r="N18" i="2" s="1"/>
  <c r="M34" i="2"/>
  <c r="K19" i="2"/>
  <c r="L31" i="2"/>
  <c r="M18" i="2"/>
  <c r="M35" i="2" s="1"/>
  <c r="N33" i="2"/>
  <c r="J28" i="2"/>
  <c r="K27" i="2" l="1"/>
  <c r="L14" i="2" s="1"/>
  <c r="L13" i="2" s="1"/>
  <c r="U32" i="2"/>
  <c r="N32" i="2"/>
  <c r="K28" i="2"/>
  <c r="H29" i="2"/>
  <c r="M31" i="2"/>
  <c r="N35" i="2"/>
  <c r="O33" i="2"/>
  <c r="O17" i="2"/>
  <c r="N34" i="2"/>
  <c r="L27" i="2" l="1"/>
  <c r="M14" i="2" s="1"/>
  <c r="M27" i="2" s="1"/>
  <c r="N14" i="2" s="1"/>
  <c r="L19" i="2"/>
  <c r="V32" i="2"/>
  <c r="H23" i="2"/>
  <c r="H37" i="2" s="1"/>
  <c r="O32" i="2"/>
  <c r="N31" i="2"/>
  <c r="P33" i="2"/>
  <c r="R16" i="2"/>
  <c r="L28" i="2"/>
  <c r="P17" i="2"/>
  <c r="O34" i="2"/>
  <c r="O18" i="2"/>
  <c r="O35" i="2" s="1"/>
  <c r="M19" i="2" l="1"/>
  <c r="M28" i="2" s="1"/>
  <c r="M13" i="2"/>
  <c r="R33" i="2"/>
  <c r="S16" i="2"/>
  <c r="H24" i="2"/>
  <c r="P32" i="2"/>
  <c r="N19" i="2"/>
  <c r="N27" i="2"/>
  <c r="O14" i="2" s="1"/>
  <c r="N13" i="2"/>
  <c r="P34" i="2"/>
  <c r="Q17" i="2"/>
  <c r="R17" i="2" s="1"/>
  <c r="P18" i="2"/>
  <c r="P35" i="2" s="1"/>
  <c r="Q33" i="2"/>
  <c r="Q18" i="2"/>
  <c r="O31" i="2"/>
  <c r="S17" i="2" l="1"/>
  <c r="R34" i="2"/>
  <c r="R18" i="2"/>
  <c r="R35" i="2" s="1"/>
  <c r="S33" i="2"/>
  <c r="T16" i="2"/>
  <c r="S18" i="2"/>
  <c r="S35" i="2" s="1"/>
  <c r="Q32" i="2"/>
  <c r="O27" i="2"/>
  <c r="P14" i="2" s="1"/>
  <c r="P13" i="2" s="1"/>
  <c r="O19" i="2"/>
  <c r="O13" i="2"/>
  <c r="P31" i="2"/>
  <c r="Q35" i="2"/>
  <c r="I20" i="2"/>
  <c r="I21" i="2" s="1"/>
  <c r="Q34" i="2"/>
  <c r="N28" i="2"/>
  <c r="T33" i="2" l="1"/>
  <c r="U16" i="2"/>
  <c r="S34" i="2"/>
  <c r="T17" i="2"/>
  <c r="R31" i="2"/>
  <c r="I29" i="2"/>
  <c r="O28" i="2"/>
  <c r="Q31" i="2"/>
  <c r="P19" i="2"/>
  <c r="P27" i="2"/>
  <c r="Q14" i="2" s="1"/>
  <c r="T18" i="2" l="1"/>
  <c r="T35" i="2" s="1"/>
  <c r="U17" i="2"/>
  <c r="U18" i="2" s="1"/>
  <c r="T34" i="2"/>
  <c r="U33" i="2"/>
  <c r="V16" i="2"/>
  <c r="S31" i="2"/>
  <c r="I23" i="2"/>
  <c r="Q19" i="2"/>
  <c r="Q27" i="2"/>
  <c r="R14" i="2" s="1"/>
  <c r="Q13" i="2"/>
  <c r="P28" i="2"/>
  <c r="U35" i="2" l="1"/>
  <c r="U34" i="2"/>
  <c r="V17" i="2"/>
  <c r="V34" i="2" s="1"/>
  <c r="V33" i="2"/>
  <c r="V18" i="2"/>
  <c r="V35" i="2" s="1"/>
  <c r="R19" i="2"/>
  <c r="R27" i="2"/>
  <c r="S14" i="2" s="1"/>
  <c r="R13" i="2"/>
  <c r="T31" i="2"/>
  <c r="I24" i="2"/>
  <c r="I37" i="2"/>
  <c r="J20" i="2" s="1"/>
  <c r="J21" i="2" s="1"/>
  <c r="Q28" i="2"/>
  <c r="U31" i="2" l="1"/>
  <c r="S27" i="2"/>
  <c r="T14" i="2" s="1"/>
  <c r="S19" i="2"/>
  <c r="S13" i="2"/>
  <c r="R28" i="2"/>
  <c r="J29" i="2"/>
  <c r="S28" i="2" l="1"/>
  <c r="T27" i="2"/>
  <c r="U14" i="2" s="1"/>
  <c r="T19" i="2"/>
  <c r="T13" i="2"/>
  <c r="V31" i="2"/>
  <c r="J23" i="2"/>
  <c r="J37" i="2" l="1"/>
  <c r="T28" i="2"/>
  <c r="U13" i="2"/>
  <c r="U27" i="2"/>
  <c r="V14" i="2" s="1"/>
  <c r="U19" i="2"/>
  <c r="J24" i="2"/>
  <c r="K20" i="2"/>
  <c r="K21" i="2" s="1"/>
  <c r="U28" i="2" l="1"/>
  <c r="V27" i="2"/>
  <c r="V19" i="2"/>
  <c r="V13" i="2"/>
  <c r="K22" i="2"/>
  <c r="K29" i="2" s="1"/>
  <c r="V28" i="2" l="1"/>
  <c r="K23" i="2"/>
  <c r="K24" i="2" l="1"/>
  <c r="K37" i="2"/>
  <c r="L20" i="2" s="1"/>
  <c r="L21" i="2" s="1"/>
  <c r="L22" i="2" l="1"/>
  <c r="L29" i="2" s="1"/>
  <c r="L23" i="2"/>
  <c r="L24" i="2" l="1"/>
  <c r="L37" i="2"/>
  <c r="M20" i="2" l="1"/>
  <c r="M21" i="2" s="1"/>
  <c r="M22" i="2" l="1"/>
  <c r="M29" i="2" s="1"/>
  <c r="M23" i="2" l="1"/>
  <c r="M24" i="2" s="1"/>
  <c r="M37" i="2" l="1"/>
  <c r="N20" i="2"/>
  <c r="N21" i="2" s="1"/>
  <c r="N22" i="2" l="1"/>
  <c r="N29" i="2" s="1"/>
  <c r="N23" i="2" l="1"/>
  <c r="N24" i="2" l="1"/>
  <c r="N37" i="2"/>
  <c r="O20" i="2" l="1"/>
  <c r="O21" i="2" s="1"/>
  <c r="O22" i="2" l="1"/>
  <c r="O29" i="2" s="1"/>
  <c r="O23" i="2" l="1"/>
  <c r="O24" i="2" s="1"/>
  <c r="O37" i="2" l="1"/>
  <c r="P20" i="2" s="1"/>
  <c r="P21" i="2" s="1"/>
  <c r="P22" i="2" l="1"/>
  <c r="P29" i="2" s="1"/>
  <c r="P23" i="2" l="1"/>
  <c r="P24" i="2" s="1"/>
  <c r="P37" i="2" l="1"/>
  <c r="Q20" i="2" s="1"/>
  <c r="Q21" i="2" s="1"/>
  <c r="Q22" i="2" l="1"/>
  <c r="Q29" i="2" s="1"/>
  <c r="Q23" i="2" l="1"/>
  <c r="Q24" i="2" l="1"/>
  <c r="Q37" i="2"/>
  <c r="R20" i="2" l="1"/>
  <c r="R21" i="2" s="1"/>
  <c r="R22" i="2" l="1"/>
  <c r="R29" i="2" s="1"/>
  <c r="R23" i="2" l="1"/>
  <c r="R24" i="2"/>
  <c r="R37" i="2"/>
  <c r="S20" i="2" l="1"/>
  <c r="S21" i="2" s="1"/>
  <c r="S22" i="2" l="1"/>
  <c r="S29" i="2" s="1"/>
  <c r="S23" i="2" l="1"/>
  <c r="S24" i="2"/>
  <c r="S37" i="2"/>
  <c r="T20" i="2" l="1"/>
  <c r="T21" i="2" s="1"/>
  <c r="T22" i="2" l="1"/>
  <c r="T29" i="2" s="1"/>
  <c r="T23" i="2" l="1"/>
  <c r="T24" i="2" l="1"/>
  <c r="T37" i="2"/>
  <c r="U20" i="2" l="1"/>
  <c r="U21" i="2" s="1"/>
  <c r="U22" i="2" l="1"/>
  <c r="U29" i="2" s="1"/>
  <c r="U23" i="2" l="1"/>
  <c r="U24" i="2" s="1"/>
  <c r="U37" i="2" l="1"/>
  <c r="V20" i="2"/>
  <c r="V21" i="2" s="1"/>
  <c r="V22" i="2" l="1"/>
  <c r="V29" i="2" s="1"/>
  <c r="V23" i="2" l="1"/>
  <c r="V24" i="2" l="1"/>
  <c r="W23" i="2"/>
  <c r="V37" i="2"/>
  <c r="X23" i="2" l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BP23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CG23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X23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DO23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EF23" i="2" s="1"/>
  <c r="EG23" i="2" s="1"/>
  <c r="EH23" i="2" s="1"/>
  <c r="EI23" i="2" s="1"/>
  <c r="EJ23" i="2" s="1"/>
  <c r="EK23" i="2" s="1"/>
  <c r="EL23" i="2" s="1"/>
  <c r="EM23" i="2" s="1"/>
  <c r="EN23" i="2" s="1"/>
  <c r="EO23" i="2" s="1"/>
  <c r="EP23" i="2" s="1"/>
  <c r="EQ23" i="2" s="1"/>
  <c r="ER23" i="2" s="1"/>
  <c r="ES23" i="2" s="1"/>
  <c r="ET23" i="2" s="1"/>
  <c r="EU23" i="2" s="1"/>
  <c r="EV23" i="2" s="1"/>
  <c r="EW23" i="2" s="1"/>
  <c r="EX23" i="2" s="1"/>
  <c r="EY23" i="2" s="1"/>
  <c r="EZ23" i="2" s="1"/>
  <c r="FA23" i="2" s="1"/>
  <c r="FB23" i="2" s="1"/>
  <c r="FC23" i="2" s="1"/>
  <c r="FD23" i="2" s="1"/>
  <c r="FE23" i="2" s="1"/>
  <c r="FF23" i="2" s="1"/>
  <c r="FG23" i="2" s="1"/>
  <c r="FH23" i="2" s="1"/>
  <c r="FI23" i="2" s="1"/>
  <c r="FJ23" i="2" s="1"/>
  <c r="FK23" i="2" s="1"/>
  <c r="FL23" i="2" s="1"/>
  <c r="FM23" i="2" s="1"/>
  <c r="FN23" i="2" s="1"/>
  <c r="FO23" i="2" s="1"/>
  <c r="FP23" i="2" s="1"/>
  <c r="FQ23" i="2" s="1"/>
  <c r="FR23" i="2" s="1"/>
  <c r="FS23" i="2" s="1"/>
  <c r="FT23" i="2" s="1"/>
  <c r="FU23" i="2" s="1"/>
  <c r="FV23" i="2" s="1"/>
  <c r="FW23" i="2" s="1"/>
  <c r="FX23" i="2" s="1"/>
  <c r="FY23" i="2" s="1"/>
  <c r="FZ23" i="2" s="1"/>
  <c r="GA23" i="2" s="1"/>
  <c r="GB23" i="2" s="1"/>
  <c r="GC23" i="2" s="1"/>
  <c r="GD23" i="2" s="1"/>
  <c r="GE23" i="2" s="1"/>
  <c r="GF23" i="2" s="1"/>
  <c r="GG23" i="2" s="1"/>
  <c r="GH23" i="2" s="1"/>
  <c r="GI23" i="2" s="1"/>
  <c r="GJ23" i="2" s="1"/>
  <c r="GK23" i="2" s="1"/>
  <c r="GL23" i="2" s="1"/>
  <c r="GM23" i="2" s="1"/>
  <c r="GN23" i="2" s="1"/>
  <c r="GO23" i="2" s="1"/>
  <c r="GP23" i="2" s="1"/>
  <c r="GQ23" i="2" s="1"/>
  <c r="GR23" i="2" s="1"/>
  <c r="GS23" i="2" s="1"/>
  <c r="J5" i="2" s="1"/>
  <c r="J6" i="2" l="1"/>
  <c r="J7" i="2" s="1"/>
  <c r="K7" i="2" s="1"/>
</calcChain>
</file>

<file path=xl/sharedStrings.xml><?xml version="1.0" encoding="utf-8"?>
<sst xmlns="http://schemas.openxmlformats.org/spreadsheetml/2006/main" count="136" uniqueCount="94">
  <si>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</si>
  <si>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</si>
  <si>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</si>
  <si>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</si>
  <si>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</si>
  <si>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</si>
  <si>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</si>
  <si>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</si>
  <si>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</si>
  <si>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</si>
  <si>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</si>
  <si>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</si>
  <si>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</si>
  <si>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</si>
  <si>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</si>
  <si>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</si>
  <si>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</si>
  <si>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</si>
  <si>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</si>
  <si>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</si>
  <si>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</si>
  <si>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</si>
  <si>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</si>
  <si>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</si>
  <si>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</si>
  <si>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</si>
  <si>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</si>
  <si>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</si>
  <si>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</si>
  <si>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</si>
  <si>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</si>
  <si>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</si>
  <si>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</si>
  <si>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</si>
  <si>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</si>
  <si>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</si>
  <si>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</si>
  <si>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</si>
  <si>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</si>
  <si>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</si>
  <si>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</si>
  <si>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</si>
  <si>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</si>
  <si>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</si>
  <si>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</si>
  <si>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</si>
  <si>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</si>
  <si>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</si>
  <si>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</si>
  <si>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</si>
  <si>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</si>
  <si>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</si>
  <si>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</si>
  <si>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</si>
  <si>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</si>
  <si>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</si>
  <si>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Tax anomaly</t>
  </si>
  <si>
    <t>Subscription</t>
  </si>
  <si>
    <t>Subscription y/y</t>
  </si>
  <si>
    <t>Operating Expenses y/y</t>
  </si>
  <si>
    <t>Q120</t>
  </si>
  <si>
    <t>Q420</t>
  </si>
  <si>
    <t>Risk-free rate + market premium (opportunity cost)</t>
  </si>
  <si>
    <t>http://www.worldgovernmentbonds.com/country/united-states/</t>
  </si>
  <si>
    <t>Net present value on future net income (terminal value)</t>
  </si>
  <si>
    <t>Q220</t>
  </si>
  <si>
    <t>Q320</t>
  </si>
  <si>
    <t>Palantir Technologies (PLTR)</t>
  </si>
  <si>
    <t>Alex Karp</t>
  </si>
  <si>
    <t>Peter Thiel</t>
  </si>
  <si>
    <t>Gotham</t>
  </si>
  <si>
    <t>Foundry</t>
  </si>
  <si>
    <t>Data management</t>
  </si>
  <si>
    <t>Apollo</t>
  </si>
  <si>
    <t>CDS</t>
  </si>
  <si>
    <t>Products</t>
  </si>
  <si>
    <t>Data analytics and pattern detection</t>
  </si>
  <si>
    <t>ML for public applications (non-technical)</t>
  </si>
  <si>
    <t>Data safety and security</t>
  </si>
  <si>
    <t>Government</t>
  </si>
  <si>
    <t>Commercial</t>
  </si>
  <si>
    <t>Government y/y</t>
  </si>
  <si>
    <t>Commercial y/y</t>
  </si>
  <si>
    <t>US Army Research Lab</t>
  </si>
  <si>
    <t>NCATS</t>
  </si>
  <si>
    <t>FDA</t>
  </si>
  <si>
    <t>Army Vantage</t>
  </si>
  <si>
    <t>NHS</t>
  </si>
  <si>
    <t>Japan Business</t>
  </si>
  <si>
    <t>Fujitsu</t>
  </si>
  <si>
    <t>Contracts USD M</t>
  </si>
  <si>
    <t>Commercial TAM</t>
  </si>
  <si>
    <t>Government TAM</t>
  </si>
  <si>
    <t>10% of 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</si>
</sst>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4" fillId="0" borderId="0" xfId="4" applyFont="1" applyBorder="1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Border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7" fillId="0" borderId="0" xfId="0" applyNumberFormat="1" applyFont="1" applyBorder="1"/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4" fontId="6" fillId="2" borderId="0" xfId="0" applyNumberFormat="1" applyFont="1" applyFill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3" fontId="5" fillId="0" borderId="0" xfId="0" applyNumberFormat="1" applyFont="1" applyFill="1" applyBorder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/>
    <xf numFmtId="0" fontId="4" fillId="0" borderId="0" xfId="4" applyBorder="1"/>
    <xf numFmtId="3" fontId="4" fillId="0" borderId="0" xfId="4" applyNumberFormat="1" applyFont="1" applyBorder="1"/>
    <xf numFmtId="9" fontId="6" fillId="0" borderId="0" xfId="0" applyNumberFormat="1" applyFont="1" applyBorder="1"/>
    <xf numFmtId="0" fontId="8" fillId="0" borderId="0" xfId="0" applyFont="1"/>
    <xf numFmtId="14" fontId="6" fillId="0" borderId="0" xfId="0" applyNumberFormat="1" applyFont="1"/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7</xdr:row>
      <xdr:rowOff>152400</xdr:rowOff>
    </xdr:from>
    <xdr:to>
      <xdr:col>7</xdr:col>
      <xdr:colOff>165100</xdr:colOff>
      <xdr:row>54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765800" y="1308100"/>
          <a:ext cx="0" cy="9271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165100</xdr:colOff>
      <xdr:row>0</xdr:row>
      <xdr:rowOff>152400</xdr:rowOff>
    </xdr:from>
    <xdr:to>
      <xdr:col>12</xdr:col>
      <xdr:colOff>165100</xdr:colOff>
      <xdr:row>55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0790767" y="152400"/>
          <a:ext cx="0" cy="916093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lex_Karp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investors.palantir.com/home/default.aspx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n.wikipedia.org/wiki/Peter_Thiel" TargetMode="External"/><Relationship Id="rId4" Type="http://schemas.openxmlformats.org/officeDocument/2006/relationships/hyperlink" Target="https://en.wikipedia.org/wiki/Alex_Kar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1321655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53"/>
  <sheetViews>
    <sheetView tabSelected="1" zoomScale="125" zoomScaleNormal="125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H10" sqref="H10"/>
    </sheetView>
  </sheetViews>
  <sheetFormatPr baseColWidth="10" defaultRowHeight="13" x14ac:dyDescent="0.15"/>
  <cols>
    <col min="1" max="1" width="20.33203125" style="3" bestFit="1" customWidth="1"/>
    <col min="2" max="16384" width="10.83203125" style="3"/>
  </cols>
  <sheetData>
    <row r="1" spans="1:118" x14ac:dyDescent="0.15">
      <c r="A1" s="67" t="s">
        <v>54</v>
      </c>
      <c r="F1" s="2" t="s">
        <v>67</v>
      </c>
    </row>
    <row r="2" spans="1:118" x14ac:dyDescent="0.15">
      <c r="F2" s="3" t="s">
        <v>36</v>
      </c>
      <c r="G2" s="4">
        <v>36.450000000000003</v>
      </c>
      <c r="H2" s="64">
        <v>44224</v>
      </c>
      <c r="I2" s="6" t="s">
        <v>21</v>
      </c>
      <c r="J2" s="7">
        <v>5.0000000000000001E-3</v>
      </c>
      <c r="M2" s="16"/>
      <c r="P2" s="2"/>
    </row>
    <row r="3" spans="1:118" x14ac:dyDescent="0.15">
      <c r="A3" s="2" t="s">
        <v>34</v>
      </c>
      <c r="F3" s="3" t="s">
        <v>13</v>
      </c>
      <c r="G3" s="8">
        <f>Reports!L22</f>
        <v>905.46200999999996</v>
      </c>
      <c r="H3" s="65" t="s">
        <v>66</v>
      </c>
      <c r="I3" s="6" t="s">
        <v>22</v>
      </c>
      <c r="J3" s="7">
        <v>0.02</v>
      </c>
      <c r="K3" s="5" t="s">
        <v>55</v>
      </c>
      <c r="M3" s="16"/>
    </row>
    <row r="4" spans="1:118" x14ac:dyDescent="0.15">
      <c r="A4" s="66" t="s">
        <v>68</v>
      </c>
      <c r="F4" s="3" t="s">
        <v>37</v>
      </c>
      <c r="G4" s="10">
        <f>G2*G3</f>
        <v>33004.090264500002</v>
      </c>
      <c r="H4" s="65"/>
      <c r="I4" s="6" t="s">
        <v>23</v>
      </c>
      <c r="J4" s="7">
        <f>7%</f>
        <v>7.0000000000000007E-2</v>
      </c>
      <c r="K4" s="5" t="s">
        <v>62</v>
      </c>
      <c r="M4" s="19"/>
      <c r="P4" s="9" t="s">
        <v>63</v>
      </c>
    </row>
    <row r="5" spans="1:118" x14ac:dyDescent="0.15">
      <c r="F5" s="3" t="s">
        <v>18</v>
      </c>
      <c r="G5" s="8">
        <f>Reports!L34</f>
        <v>1646</v>
      </c>
      <c r="H5" s="65" t="s">
        <v>66</v>
      </c>
      <c r="I5" s="6" t="s">
        <v>24</v>
      </c>
      <c r="J5" s="11">
        <f>NPV(J4,H23:GS23)</f>
        <v>70718.299070527559</v>
      </c>
      <c r="K5" s="5" t="s">
        <v>64</v>
      </c>
      <c r="M5" s="19"/>
    </row>
    <row r="6" spans="1:118" x14ac:dyDescent="0.15">
      <c r="A6" s="2" t="s">
        <v>35</v>
      </c>
      <c r="F6" s="3" t="s">
        <v>38</v>
      </c>
      <c r="G6" s="10">
        <f>G4-G5</f>
        <v>31358.090264500002</v>
      </c>
      <c r="H6" s="65"/>
      <c r="I6" s="12" t="s">
        <v>25</v>
      </c>
      <c r="J6" s="13">
        <f>J5+G5</f>
        <v>72364.299070527559</v>
      </c>
      <c r="M6" s="19"/>
    </row>
    <row r="7" spans="1:118" x14ac:dyDescent="0.15">
      <c r="A7" s="66" t="s">
        <v>69</v>
      </c>
      <c r="F7" s="5" t="s">
        <v>39</v>
      </c>
      <c r="G7" s="43">
        <f>G6/G3</f>
        <v>34.632143500421407</v>
      </c>
      <c r="H7" s="65"/>
      <c r="I7" s="14" t="s">
        <v>39</v>
      </c>
      <c r="J7" s="42">
        <f>J6/G3</f>
        <v>79.919751763552796</v>
      </c>
      <c r="K7" s="19">
        <f>J7/G2-1</f>
        <v>1.1925857822648229</v>
      </c>
    </row>
    <row r="8" spans="1:118" x14ac:dyDescent="0.15">
      <c r="A8" s="66" t="s">
        <v>68</v>
      </c>
      <c r="F8" s="6"/>
      <c r="G8" s="15"/>
    </row>
    <row r="9" spans="1:118" x14ac:dyDescent="0.15">
      <c r="B9" s="38">
        <v>2014</v>
      </c>
      <c r="C9" s="38">
        <v>2015</v>
      </c>
      <c r="D9" s="38">
        <v>2016</v>
      </c>
      <c r="E9" s="38">
        <v>2017</v>
      </c>
      <c r="F9" s="38">
        <f>2018</f>
        <v>2018</v>
      </c>
      <c r="G9" s="38">
        <f t="shared" ref="G9:V9" si="0">F9+1</f>
        <v>2019</v>
      </c>
      <c r="H9" s="38">
        <f t="shared" si="0"/>
        <v>2020</v>
      </c>
      <c r="I9" s="38">
        <f t="shared" si="0"/>
        <v>2021</v>
      </c>
      <c r="J9" s="38">
        <f t="shared" si="0"/>
        <v>2022</v>
      </c>
      <c r="K9" s="38">
        <f t="shared" si="0"/>
        <v>2023</v>
      </c>
      <c r="L9" s="38">
        <f t="shared" si="0"/>
        <v>2024</v>
      </c>
      <c r="M9" s="38">
        <f t="shared" si="0"/>
        <v>2025</v>
      </c>
      <c r="N9" s="38">
        <f t="shared" si="0"/>
        <v>2026</v>
      </c>
      <c r="O9" s="38">
        <f t="shared" si="0"/>
        <v>2027</v>
      </c>
      <c r="P9" s="38">
        <f t="shared" si="0"/>
        <v>2028</v>
      </c>
      <c r="Q9" s="38">
        <f t="shared" si="0"/>
        <v>2029</v>
      </c>
      <c r="R9" s="38">
        <f t="shared" si="0"/>
        <v>2030</v>
      </c>
      <c r="S9" s="38">
        <f t="shared" si="0"/>
        <v>2031</v>
      </c>
      <c r="T9" s="38">
        <f t="shared" si="0"/>
        <v>2032</v>
      </c>
      <c r="U9" s="38">
        <f t="shared" si="0"/>
        <v>2033</v>
      </c>
      <c r="V9" s="38">
        <f t="shared" si="0"/>
        <v>2034</v>
      </c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</row>
    <row r="10" spans="1:118" x14ac:dyDescent="0.15">
      <c r="A10" s="8" t="s">
        <v>57</v>
      </c>
      <c r="B10" s="37">
        <v>235</v>
      </c>
      <c r="C10" s="37">
        <v>364</v>
      </c>
      <c r="D10" s="37">
        <v>466</v>
      </c>
      <c r="E10" s="37">
        <v>515</v>
      </c>
      <c r="F10" s="37">
        <v>595.40899999999999</v>
      </c>
      <c r="G10" s="37">
        <v>742.55499999999995</v>
      </c>
      <c r="H10" s="37">
        <f>G10*1.4</f>
        <v>1039.5769999999998</v>
      </c>
      <c r="I10" s="37">
        <f t="shared" ref="I10:L10" si="1">H10*1.4</f>
        <v>1455.4077999999995</v>
      </c>
      <c r="J10" s="37">
        <f t="shared" si="1"/>
        <v>2037.5709199999992</v>
      </c>
      <c r="K10" s="37">
        <f t="shared" si="1"/>
        <v>2852.5992879999985</v>
      </c>
      <c r="L10" s="37">
        <f t="shared" si="1"/>
        <v>3993.6390031999977</v>
      </c>
      <c r="M10" s="37"/>
      <c r="N10" s="37"/>
      <c r="O10" s="37"/>
      <c r="P10" s="37"/>
      <c r="Q10" s="37"/>
      <c r="R10" s="37"/>
      <c r="S10" s="37"/>
      <c r="T10" s="37"/>
      <c r="U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</row>
    <row r="11" spans="1:118" s="38" customFormat="1" x14ac:dyDescent="0.15">
      <c r="G11" s="37"/>
      <c r="H11" s="37">
        <v>1070</v>
      </c>
      <c r="I11" s="37"/>
      <c r="J11" s="37"/>
      <c r="V11" s="37" t="s">
        <v>93</v>
      </c>
    </row>
    <row r="12" spans="1:118" x14ac:dyDescent="0.15">
      <c r="A12" s="2" t="s">
        <v>0</v>
      </c>
      <c r="B12" s="24">
        <f t="shared" ref="B12" si="2">SUM(B10:B10)</f>
        <v>235</v>
      </c>
      <c r="C12" s="24">
        <f t="shared" ref="C12" si="3">SUM(C10:C10)</f>
        <v>364</v>
      </c>
      <c r="D12" s="24">
        <f t="shared" ref="D12:L12" si="4">SUM(D10:D10)</f>
        <v>466</v>
      </c>
      <c r="E12" s="24">
        <f t="shared" si="4"/>
        <v>515</v>
      </c>
      <c r="F12" s="24">
        <f t="shared" si="4"/>
        <v>595.40899999999999</v>
      </c>
      <c r="G12" s="24">
        <f t="shared" si="4"/>
        <v>742.55499999999995</v>
      </c>
      <c r="H12" s="45">
        <f t="shared" si="4"/>
        <v>1039.5769999999998</v>
      </c>
      <c r="I12" s="45">
        <f>SUM(I10:I10)</f>
        <v>1455.4077999999995</v>
      </c>
      <c r="J12" s="45">
        <f t="shared" si="4"/>
        <v>2037.5709199999992</v>
      </c>
      <c r="K12" s="45">
        <f t="shared" si="4"/>
        <v>2852.5992879999985</v>
      </c>
      <c r="L12" s="45">
        <f t="shared" si="4"/>
        <v>3993.6390031999977</v>
      </c>
      <c r="M12" s="45">
        <f>L12*1.2</f>
        <v>4792.3668038399974</v>
      </c>
      <c r="N12" s="45">
        <f t="shared" ref="N12:Q12" si="5">M12*1.2</f>
        <v>5750.8401646079965</v>
      </c>
      <c r="O12" s="45">
        <f t="shared" si="5"/>
        <v>6901.0081975295952</v>
      </c>
      <c r="P12" s="45">
        <f t="shared" si="5"/>
        <v>8281.2098370355143</v>
      </c>
      <c r="Q12" s="45">
        <f t="shared" si="5"/>
        <v>9937.4518044426168</v>
      </c>
      <c r="R12" s="45">
        <f t="shared" ref="R12:V12" si="6">Q12*1.1</f>
        <v>10931.196984886879</v>
      </c>
      <c r="S12" s="45">
        <f t="shared" si="6"/>
        <v>12024.316683375568</v>
      </c>
      <c r="T12" s="45">
        <f t="shared" si="6"/>
        <v>13226.748351713126</v>
      </c>
      <c r="U12" s="45">
        <f t="shared" si="6"/>
        <v>14549.42318688444</v>
      </c>
      <c r="V12" s="45">
        <f t="shared" si="6"/>
        <v>16004.365505572885</v>
      </c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</row>
    <row r="13" spans="1:118" x14ac:dyDescent="0.15">
      <c r="A13" s="3" t="s">
        <v>1</v>
      </c>
      <c r="B13" s="23"/>
      <c r="C13" s="23"/>
      <c r="D13" s="23"/>
      <c r="E13" s="23"/>
      <c r="F13" s="37">
        <v>165.40100000000001</v>
      </c>
      <c r="G13" s="37">
        <v>242.37299999999999</v>
      </c>
      <c r="H13" s="23">
        <f>H12-H14</f>
        <v>339.32219999999995</v>
      </c>
      <c r="I13" s="23">
        <f t="shared" ref="I13" si="7">I12-I14</f>
        <v>475.05107999999984</v>
      </c>
      <c r="J13" s="23">
        <f t="shared" ref="J13:Q13" si="8">J12-J14</f>
        <v>665.07151199999976</v>
      </c>
      <c r="K13" s="23">
        <f t="shared" si="8"/>
        <v>931.10011679999957</v>
      </c>
      <c r="L13" s="23">
        <f>L12-L14</f>
        <v>1303.5401635199992</v>
      </c>
      <c r="M13" s="23">
        <f t="shared" si="8"/>
        <v>1564.248196223999</v>
      </c>
      <c r="N13" s="23">
        <f t="shared" si="8"/>
        <v>1877.0978354687991</v>
      </c>
      <c r="O13" s="23">
        <f t="shared" si="8"/>
        <v>2252.5174025625583</v>
      </c>
      <c r="P13" s="23">
        <f t="shared" si="8"/>
        <v>2703.0208830750698</v>
      </c>
      <c r="Q13" s="23">
        <f t="shared" si="8"/>
        <v>3243.6250596900845</v>
      </c>
      <c r="R13" s="23">
        <f t="shared" ref="R13:V13" si="9">R12-R14</f>
        <v>3567.987565659093</v>
      </c>
      <c r="S13" s="23">
        <f t="shared" si="9"/>
        <v>3924.7863222250026</v>
      </c>
      <c r="T13" s="23">
        <f t="shared" si="9"/>
        <v>4317.2649544475025</v>
      </c>
      <c r="U13" s="23">
        <f t="shared" si="9"/>
        <v>4748.9914498922535</v>
      </c>
      <c r="V13" s="23">
        <f t="shared" si="9"/>
        <v>5223.890594881479</v>
      </c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</row>
    <row r="14" spans="1:118" x14ac:dyDescent="0.15">
      <c r="A14" s="3" t="s">
        <v>2</v>
      </c>
      <c r="B14" s="23"/>
      <c r="C14" s="23"/>
      <c r="D14" s="23"/>
      <c r="E14" s="23"/>
      <c r="F14" s="26">
        <f>F12-F13</f>
        <v>430.00799999999998</v>
      </c>
      <c r="G14" s="26">
        <f>G12-G13</f>
        <v>500.18199999999996</v>
      </c>
      <c r="H14" s="23">
        <f>H12*G27</f>
        <v>700.25479999999982</v>
      </c>
      <c r="I14" s="23">
        <f t="shared" ref="I14:V14" si="10">I12*H27</f>
        <v>980.35671999999965</v>
      </c>
      <c r="J14" s="23">
        <f t="shared" si="10"/>
        <v>1372.4994079999994</v>
      </c>
      <c r="K14" s="23">
        <f t="shared" si="10"/>
        <v>1921.499171199999</v>
      </c>
      <c r="L14" s="23">
        <f>L12*K27</f>
        <v>2690.0988396799985</v>
      </c>
      <c r="M14" s="23">
        <f t="shared" si="10"/>
        <v>3228.1186076159984</v>
      </c>
      <c r="N14" s="23">
        <f t="shared" si="10"/>
        <v>3873.7423291391974</v>
      </c>
      <c r="O14" s="23">
        <f t="shared" si="10"/>
        <v>4648.4907949670369</v>
      </c>
      <c r="P14" s="23">
        <f t="shared" si="10"/>
        <v>5578.1889539604445</v>
      </c>
      <c r="Q14" s="23">
        <f t="shared" si="10"/>
        <v>6693.8267447525322</v>
      </c>
      <c r="R14" s="23">
        <f t="shared" si="10"/>
        <v>7363.2094192277864</v>
      </c>
      <c r="S14" s="23">
        <f t="shared" si="10"/>
        <v>8099.5303611505651</v>
      </c>
      <c r="T14" s="23">
        <f t="shared" si="10"/>
        <v>8909.4833972656234</v>
      </c>
      <c r="U14" s="23">
        <f t="shared" si="10"/>
        <v>9800.4317369921864</v>
      </c>
      <c r="V14" s="23">
        <f t="shared" si="10"/>
        <v>10780.474910691406</v>
      </c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</row>
    <row r="15" spans="1:118" x14ac:dyDescent="0.15">
      <c r="A15" s="3" t="s">
        <v>3</v>
      </c>
      <c r="B15" s="23"/>
      <c r="C15" s="23"/>
      <c r="D15" s="23"/>
      <c r="E15" s="23"/>
      <c r="F15" s="37">
        <v>285</v>
      </c>
      <c r="G15" s="37">
        <v>306</v>
      </c>
      <c r="H15" s="23">
        <f>G15*1.1</f>
        <v>336.6</v>
      </c>
      <c r="I15" s="23">
        <f t="shared" ref="I15:L15" si="11">H15*1.1</f>
        <v>370.26000000000005</v>
      </c>
      <c r="J15" s="23">
        <f t="shared" si="11"/>
        <v>407.28600000000006</v>
      </c>
      <c r="K15" s="23">
        <f t="shared" si="11"/>
        <v>448.01460000000009</v>
      </c>
      <c r="L15" s="23">
        <f t="shared" si="11"/>
        <v>492.81606000000016</v>
      </c>
      <c r="M15" s="23">
        <f>L15*1.05</f>
        <v>517.45686300000023</v>
      </c>
      <c r="N15" s="23">
        <f t="shared" ref="N15:V16" si="12">M15*1.05</f>
        <v>543.32970615000022</v>
      </c>
      <c r="O15" s="23">
        <f t="shared" si="12"/>
        <v>570.49619145750023</v>
      </c>
      <c r="P15" s="23">
        <f t="shared" si="12"/>
        <v>599.02100103037526</v>
      </c>
      <c r="Q15" s="23">
        <f t="shared" si="12"/>
        <v>628.97205108189405</v>
      </c>
      <c r="R15" s="23">
        <f t="shared" si="12"/>
        <v>660.42065363598874</v>
      </c>
      <c r="S15" s="23">
        <f t="shared" si="12"/>
        <v>693.44168631778825</v>
      </c>
      <c r="T15" s="23">
        <f t="shared" si="12"/>
        <v>728.11377063367775</v>
      </c>
      <c r="U15" s="23">
        <f t="shared" si="12"/>
        <v>764.5194591653617</v>
      </c>
      <c r="V15" s="23">
        <f t="shared" si="12"/>
        <v>802.74543212362983</v>
      </c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</row>
    <row r="16" spans="1:118" x14ac:dyDescent="0.15">
      <c r="A16" s="3" t="s">
        <v>4</v>
      </c>
      <c r="B16" s="23"/>
      <c r="C16" s="23"/>
      <c r="D16" s="23"/>
      <c r="E16" s="23"/>
      <c r="F16" s="37">
        <v>462</v>
      </c>
      <c r="G16" s="37">
        <v>450</v>
      </c>
      <c r="H16" s="23">
        <f t="shared" ref="H16:L16" si="13">G16*1.1</f>
        <v>495.00000000000006</v>
      </c>
      <c r="I16" s="23">
        <f t="shared" si="13"/>
        <v>544.50000000000011</v>
      </c>
      <c r="J16" s="23">
        <f t="shared" si="13"/>
        <v>598.95000000000016</v>
      </c>
      <c r="K16" s="23">
        <f t="shared" si="13"/>
        <v>658.84500000000025</v>
      </c>
      <c r="L16" s="23">
        <f t="shared" si="13"/>
        <v>724.72950000000037</v>
      </c>
      <c r="M16" s="23">
        <f>L16*1.05</f>
        <v>760.96597500000041</v>
      </c>
      <c r="N16" s="23">
        <f t="shared" si="12"/>
        <v>799.01427375000048</v>
      </c>
      <c r="O16" s="23">
        <f t="shared" si="12"/>
        <v>838.96498743750055</v>
      </c>
      <c r="P16" s="23">
        <f t="shared" si="12"/>
        <v>880.91323680937558</v>
      </c>
      <c r="Q16" s="23">
        <f t="shared" si="12"/>
        <v>924.9588986498444</v>
      </c>
      <c r="R16" s="23">
        <f t="shared" ref="R16:V16" si="14">Q16*0.98</f>
        <v>906.4597206768475</v>
      </c>
      <c r="S16" s="23">
        <f t="shared" si="14"/>
        <v>888.3305262633105</v>
      </c>
      <c r="T16" s="23">
        <f t="shared" si="14"/>
        <v>870.56391573804433</v>
      </c>
      <c r="U16" s="23">
        <f t="shared" si="14"/>
        <v>853.15263742328341</v>
      </c>
      <c r="V16" s="23">
        <f t="shared" si="14"/>
        <v>836.08958467481773</v>
      </c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</row>
    <row r="17" spans="1:201" x14ac:dyDescent="0.15">
      <c r="A17" s="3" t="s">
        <v>5</v>
      </c>
      <c r="B17" s="23"/>
      <c r="C17" s="23"/>
      <c r="D17" s="23"/>
      <c r="E17" s="23"/>
      <c r="F17" s="37">
        <v>306</v>
      </c>
      <c r="G17" s="37">
        <v>321</v>
      </c>
      <c r="H17" s="23">
        <f>G17*1.05</f>
        <v>337.05</v>
      </c>
      <c r="I17" s="23">
        <f t="shared" ref="I17:L17" si="15">H17*1.05</f>
        <v>353.90250000000003</v>
      </c>
      <c r="J17" s="23">
        <f t="shared" si="15"/>
        <v>371.59762500000005</v>
      </c>
      <c r="K17" s="23">
        <f t="shared" si="15"/>
        <v>390.17750625000008</v>
      </c>
      <c r="L17" s="23">
        <f t="shared" si="15"/>
        <v>409.68638156250012</v>
      </c>
      <c r="M17" s="23">
        <f t="shared" ref="M17:V17" si="16">L17*0.98</f>
        <v>401.49265393125012</v>
      </c>
      <c r="N17" s="23">
        <f t="shared" si="16"/>
        <v>393.46280085262509</v>
      </c>
      <c r="O17" s="23">
        <f t="shared" si="16"/>
        <v>385.59354483557257</v>
      </c>
      <c r="P17" s="23">
        <f t="shared" si="16"/>
        <v>377.88167393886113</v>
      </c>
      <c r="Q17" s="23">
        <f t="shared" si="16"/>
        <v>370.32404046008389</v>
      </c>
      <c r="R17" s="23">
        <f t="shared" si="16"/>
        <v>362.9175596508822</v>
      </c>
      <c r="S17" s="23">
        <f t="shared" si="16"/>
        <v>355.65920845786457</v>
      </c>
      <c r="T17" s="23">
        <f t="shared" si="16"/>
        <v>348.54602428870726</v>
      </c>
      <c r="U17" s="23">
        <f t="shared" si="16"/>
        <v>341.57510380293309</v>
      </c>
      <c r="V17" s="23">
        <f t="shared" si="16"/>
        <v>334.74360172687443</v>
      </c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</row>
    <row r="18" spans="1:201" x14ac:dyDescent="0.15">
      <c r="A18" s="3" t="s">
        <v>6</v>
      </c>
      <c r="B18" s="23"/>
      <c r="C18" s="23"/>
      <c r="D18" s="23"/>
      <c r="E18" s="23"/>
      <c r="F18" s="26">
        <f>SUM(F15:F17)</f>
        <v>1053</v>
      </c>
      <c r="G18" s="26">
        <f>SUM(G15:G17)</f>
        <v>1077</v>
      </c>
      <c r="H18" s="23">
        <f t="shared" ref="H18:I18" si="17">SUM(H15:H17)</f>
        <v>1168.6500000000001</v>
      </c>
      <c r="I18" s="23">
        <f t="shared" si="17"/>
        <v>1268.6625000000004</v>
      </c>
      <c r="J18" s="23">
        <f t="shared" ref="J18:Q18" si="18">SUM(J15:J17)</f>
        <v>1377.8336250000002</v>
      </c>
      <c r="K18" s="23">
        <f t="shared" si="18"/>
        <v>1497.0371062500003</v>
      </c>
      <c r="L18" s="23">
        <f t="shared" si="18"/>
        <v>1627.2319415625007</v>
      </c>
      <c r="M18" s="23">
        <f t="shared" si="18"/>
        <v>1679.9154919312507</v>
      </c>
      <c r="N18" s="23">
        <f t="shared" si="18"/>
        <v>1735.8067807526259</v>
      </c>
      <c r="O18" s="23">
        <f t="shared" si="18"/>
        <v>1795.0547237305734</v>
      </c>
      <c r="P18" s="23">
        <f t="shared" si="18"/>
        <v>1857.8159117786122</v>
      </c>
      <c r="Q18" s="23">
        <f t="shared" si="18"/>
        <v>1924.2549901918223</v>
      </c>
      <c r="R18" s="23">
        <f t="shared" ref="R18:V18" si="19">SUM(R15:R17)</f>
        <v>1929.7979339637184</v>
      </c>
      <c r="S18" s="23">
        <f t="shared" si="19"/>
        <v>1937.4314210389634</v>
      </c>
      <c r="T18" s="23">
        <f t="shared" si="19"/>
        <v>1947.2237106604293</v>
      </c>
      <c r="U18" s="23">
        <f t="shared" si="19"/>
        <v>1959.2472003915782</v>
      </c>
      <c r="V18" s="23">
        <f t="shared" si="19"/>
        <v>1973.5786185253221</v>
      </c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</row>
    <row r="19" spans="1:201" x14ac:dyDescent="0.15">
      <c r="A19" s="3" t="s">
        <v>7</v>
      </c>
      <c r="B19" s="23"/>
      <c r="C19" s="23"/>
      <c r="D19" s="23"/>
      <c r="E19" s="23"/>
      <c r="F19" s="26">
        <f>F14-F18</f>
        <v>-622.99199999999996</v>
      </c>
      <c r="G19" s="26">
        <f>G14-G18</f>
        <v>-576.81799999999998</v>
      </c>
      <c r="H19" s="23">
        <f t="shared" ref="H19:I19" si="20">H14-H18</f>
        <v>-468.39520000000027</v>
      </c>
      <c r="I19" s="23">
        <f t="shared" si="20"/>
        <v>-288.30578000000071</v>
      </c>
      <c r="J19" s="23">
        <f t="shared" ref="J19:Q19" si="21">J14-J18</f>
        <v>-5.3342170000007627</v>
      </c>
      <c r="K19" s="23">
        <f t="shared" si="21"/>
        <v>424.46206494999865</v>
      </c>
      <c r="L19" s="23">
        <f t="shared" si="21"/>
        <v>1062.8668981174978</v>
      </c>
      <c r="M19" s="23">
        <f t="shared" si="21"/>
        <v>1548.2031156847477</v>
      </c>
      <c r="N19" s="23">
        <f t="shared" si="21"/>
        <v>2137.9355483865716</v>
      </c>
      <c r="O19" s="23">
        <f t="shared" si="21"/>
        <v>2853.4360712364632</v>
      </c>
      <c r="P19" s="23">
        <f t="shared" si="21"/>
        <v>3720.3730421818323</v>
      </c>
      <c r="Q19" s="23">
        <f t="shared" si="21"/>
        <v>4769.5717545607095</v>
      </c>
      <c r="R19" s="23">
        <f t="shared" ref="R19:V19" si="22">R14-R18</f>
        <v>5433.4114852640678</v>
      </c>
      <c r="S19" s="23">
        <f t="shared" si="22"/>
        <v>6162.0989401116021</v>
      </c>
      <c r="T19" s="23">
        <f t="shared" si="22"/>
        <v>6962.2596866051936</v>
      </c>
      <c r="U19" s="23">
        <f t="shared" si="22"/>
        <v>7841.1845366006082</v>
      </c>
      <c r="V19" s="23">
        <f t="shared" si="22"/>
        <v>8806.8962921660841</v>
      </c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</row>
    <row r="20" spans="1:201" x14ac:dyDescent="0.15">
      <c r="A20" s="3" t="s">
        <v>8</v>
      </c>
      <c r="B20" s="23"/>
      <c r="C20" s="23"/>
      <c r="D20" s="23"/>
      <c r="E20" s="23"/>
      <c r="F20" s="23">
        <f>10-3+48-3</f>
        <v>52</v>
      </c>
      <c r="G20" s="37">
        <f>15-3-3</f>
        <v>9</v>
      </c>
      <c r="H20" s="23">
        <f t="shared" ref="H20:V20" si="23">G37*$J$3</f>
        <v>14.700000000000001</v>
      </c>
      <c r="I20" s="23">
        <f t="shared" si="23"/>
        <v>5.6260959999999942</v>
      </c>
      <c r="J20" s="23">
        <f t="shared" si="23"/>
        <v>-2.7497680000019502E-2</v>
      </c>
      <c r="K20" s="23">
        <f t="shared" si="23"/>
        <v>-0.13473197360003514</v>
      </c>
      <c r="L20" s="23">
        <f t="shared" si="23"/>
        <v>7.5031600199751409</v>
      </c>
      <c r="M20" s="23">
        <f t="shared" si="23"/>
        <v>26.769821066449655</v>
      </c>
      <c r="N20" s="23">
        <f t="shared" si="23"/>
        <v>55.119333927971205</v>
      </c>
      <c r="O20" s="23">
        <f t="shared" si="23"/>
        <v>94.594321809632973</v>
      </c>
      <c r="P20" s="23">
        <f t="shared" si="23"/>
        <v>147.65886888446269</v>
      </c>
      <c r="Q20" s="23">
        <f t="shared" si="23"/>
        <v>217.28344328365603</v>
      </c>
      <c r="R20" s="23">
        <f t="shared" si="23"/>
        <v>307.04683684485457</v>
      </c>
      <c r="S20" s="23">
        <f t="shared" si="23"/>
        <v>410.37508664281518</v>
      </c>
      <c r="T20" s="23">
        <f t="shared" si="23"/>
        <v>528.67961912439466</v>
      </c>
      <c r="U20" s="23">
        <f t="shared" si="23"/>
        <v>663.51652662752724</v>
      </c>
      <c r="V20" s="23">
        <f t="shared" si="23"/>
        <v>816.60114576563376</v>
      </c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</row>
    <row r="21" spans="1:201" x14ac:dyDescent="0.15">
      <c r="A21" s="3" t="s">
        <v>9</v>
      </c>
      <c r="B21" s="23"/>
      <c r="C21" s="23"/>
      <c r="D21" s="23"/>
      <c r="E21" s="23"/>
      <c r="F21" s="26">
        <f>F19+F20</f>
        <v>-570.99199999999996</v>
      </c>
      <c r="G21" s="26">
        <f>G19+G20</f>
        <v>-567.81799999999998</v>
      </c>
      <c r="H21" s="23">
        <f t="shared" ref="H21:I21" si="24">H19+H20</f>
        <v>-453.69520000000028</v>
      </c>
      <c r="I21" s="23">
        <f t="shared" si="24"/>
        <v>-282.67968400000069</v>
      </c>
      <c r="J21" s="23">
        <f t="shared" ref="J21" si="25">J19+J20</f>
        <v>-5.361714680000782</v>
      </c>
      <c r="K21" s="23">
        <f t="shared" ref="K21" si="26">K19+K20</f>
        <v>424.32733297639862</v>
      </c>
      <c r="L21" s="23">
        <f t="shared" ref="L21" si="27">L19+L20</f>
        <v>1070.3700581374731</v>
      </c>
      <c r="M21" s="23">
        <f t="shared" ref="M21" si="28">M19+M20</f>
        <v>1574.9729367511973</v>
      </c>
      <c r="N21" s="23">
        <f t="shared" ref="N21" si="29">N19+N20</f>
        <v>2193.0548823145427</v>
      </c>
      <c r="O21" s="23">
        <f t="shared" ref="O21" si="30">O19+O20</f>
        <v>2948.0303930460964</v>
      </c>
      <c r="P21" s="23">
        <f t="shared" ref="P21" si="31">P19+P20</f>
        <v>3868.0319110662949</v>
      </c>
      <c r="Q21" s="23">
        <f t="shared" ref="Q21:R21" si="32">Q19+Q20</f>
        <v>4986.8551978443656</v>
      </c>
      <c r="R21" s="23">
        <f t="shared" si="32"/>
        <v>5740.4583221089224</v>
      </c>
      <c r="S21" s="23">
        <f t="shared" ref="S21:V21" si="33">S19+S20</f>
        <v>6572.4740267544175</v>
      </c>
      <c r="T21" s="23">
        <f t="shared" si="33"/>
        <v>7490.9393057295883</v>
      </c>
      <c r="U21" s="23">
        <f t="shared" si="33"/>
        <v>8504.7010632281363</v>
      </c>
      <c r="V21" s="23">
        <f t="shared" si="33"/>
        <v>9623.4974379317173</v>
      </c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</row>
    <row r="22" spans="1:201" x14ac:dyDescent="0.15">
      <c r="A22" s="3" t="s">
        <v>10</v>
      </c>
      <c r="B22" s="23"/>
      <c r="C22" s="23"/>
      <c r="D22" s="23"/>
      <c r="E22" s="23"/>
      <c r="F22" s="23">
        <v>9</v>
      </c>
      <c r="G22" s="37">
        <v>12</v>
      </c>
      <c r="H22" s="23">
        <v>0</v>
      </c>
      <c r="I22" s="23">
        <v>0</v>
      </c>
      <c r="J22" s="23">
        <v>0</v>
      </c>
      <c r="K22" s="23">
        <f t="shared" ref="K22:Q22" si="34">K21*0.1</f>
        <v>42.432733297639864</v>
      </c>
      <c r="L22" s="23">
        <f t="shared" si="34"/>
        <v>107.03700581374731</v>
      </c>
      <c r="M22" s="23">
        <f t="shared" si="34"/>
        <v>157.49729367511975</v>
      </c>
      <c r="N22" s="23">
        <f t="shared" si="34"/>
        <v>219.30548823145429</v>
      </c>
      <c r="O22" s="23">
        <f t="shared" si="34"/>
        <v>294.80303930460963</v>
      </c>
      <c r="P22" s="23">
        <f t="shared" si="34"/>
        <v>386.80319110662953</v>
      </c>
      <c r="Q22" s="23">
        <f t="shared" si="34"/>
        <v>498.68551978443656</v>
      </c>
      <c r="R22" s="23">
        <f t="shared" ref="R22:V22" si="35">R21*0.1</f>
        <v>574.04583221089229</v>
      </c>
      <c r="S22" s="23">
        <f t="shared" si="35"/>
        <v>657.24740267544178</v>
      </c>
      <c r="T22" s="23">
        <f t="shared" si="35"/>
        <v>749.09393057295893</v>
      </c>
      <c r="U22" s="23">
        <f t="shared" si="35"/>
        <v>850.47010632281365</v>
      </c>
      <c r="V22" s="23">
        <f t="shared" si="35"/>
        <v>962.3497437931718</v>
      </c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</row>
    <row r="23" spans="1:201" s="2" customFormat="1" x14ac:dyDescent="0.15">
      <c r="A23" s="2" t="s">
        <v>11</v>
      </c>
      <c r="B23" s="23"/>
      <c r="C23" s="23"/>
      <c r="D23" s="23"/>
      <c r="E23" s="23"/>
      <c r="F23" s="24">
        <f>F21-F22</f>
        <v>-579.99199999999996</v>
      </c>
      <c r="G23" s="24">
        <f t="shared" ref="G23:I23" si="36">G21-G22</f>
        <v>-579.81799999999998</v>
      </c>
      <c r="H23" s="24">
        <f>H21-H22</f>
        <v>-453.69520000000028</v>
      </c>
      <c r="I23" s="24">
        <f t="shared" si="36"/>
        <v>-282.67968400000069</v>
      </c>
      <c r="J23" s="24">
        <f t="shared" ref="J23:Q23" si="37">J21-J22</f>
        <v>-5.361714680000782</v>
      </c>
      <c r="K23" s="24">
        <f t="shared" si="37"/>
        <v>381.89459967875877</v>
      </c>
      <c r="L23" s="24">
        <f t="shared" si="37"/>
        <v>963.33305232372572</v>
      </c>
      <c r="M23" s="24">
        <f t="shared" si="37"/>
        <v>1417.4756430760776</v>
      </c>
      <c r="N23" s="24">
        <f t="shared" si="37"/>
        <v>1973.7493940830884</v>
      </c>
      <c r="O23" s="24">
        <f t="shared" si="37"/>
        <v>2653.2273537414867</v>
      </c>
      <c r="P23" s="24">
        <f t="shared" si="37"/>
        <v>3481.2287199596653</v>
      </c>
      <c r="Q23" s="24">
        <f t="shared" si="37"/>
        <v>4488.1696780599286</v>
      </c>
      <c r="R23" s="24">
        <f t="shared" ref="R23:V23" si="38">R21-R22</f>
        <v>5166.4124898980299</v>
      </c>
      <c r="S23" s="24">
        <f t="shared" si="38"/>
        <v>5915.2266240789759</v>
      </c>
      <c r="T23" s="24">
        <f t="shared" si="38"/>
        <v>6741.8453751566294</v>
      </c>
      <c r="U23" s="24">
        <f t="shared" si="38"/>
        <v>7654.2309569053223</v>
      </c>
      <c r="V23" s="24">
        <f t="shared" si="38"/>
        <v>8661.1476941385463</v>
      </c>
      <c r="W23" s="24">
        <f t="shared" ref="W23:BB23" si="39">V23*($J$2+1)</f>
        <v>8704.453432609238</v>
      </c>
      <c r="X23" s="24">
        <f t="shared" si="39"/>
        <v>8747.9756997722834</v>
      </c>
      <c r="Y23" s="24">
        <f t="shared" si="39"/>
        <v>8791.7155782711434</v>
      </c>
      <c r="Z23" s="24">
        <f t="shared" si="39"/>
        <v>8835.6741561624985</v>
      </c>
      <c r="AA23" s="24">
        <f t="shared" si="39"/>
        <v>8879.8525269433103</v>
      </c>
      <c r="AB23" s="24">
        <f t="shared" si="39"/>
        <v>8924.2517895780256</v>
      </c>
      <c r="AC23" s="24">
        <f t="shared" si="39"/>
        <v>8968.8730485259148</v>
      </c>
      <c r="AD23" s="24">
        <f t="shared" si="39"/>
        <v>9013.7174137685433</v>
      </c>
      <c r="AE23" s="24">
        <f t="shared" si="39"/>
        <v>9058.7860008373846</v>
      </c>
      <c r="AF23" s="24">
        <f t="shared" si="39"/>
        <v>9104.0799308415699</v>
      </c>
      <c r="AG23" s="24">
        <f t="shared" si="39"/>
        <v>9149.6003304957776</v>
      </c>
      <c r="AH23" s="24">
        <f t="shared" si="39"/>
        <v>9195.3483321482563</v>
      </c>
      <c r="AI23" s="24">
        <f t="shared" si="39"/>
        <v>9241.3250738089973</v>
      </c>
      <c r="AJ23" s="24">
        <f t="shared" si="39"/>
        <v>9287.5316991780419</v>
      </c>
      <c r="AK23" s="24">
        <f t="shared" si="39"/>
        <v>9333.9693576739319</v>
      </c>
      <c r="AL23" s="24">
        <f t="shared" si="39"/>
        <v>9380.6392044623008</v>
      </c>
      <c r="AM23" s="24">
        <f t="shared" si="39"/>
        <v>9427.5424004846118</v>
      </c>
      <c r="AN23" s="24">
        <f t="shared" si="39"/>
        <v>9474.6801124870344</v>
      </c>
      <c r="AO23" s="24">
        <f t="shared" si="39"/>
        <v>9522.0535130494682</v>
      </c>
      <c r="AP23" s="24">
        <f t="shared" si="39"/>
        <v>9569.6637806147137</v>
      </c>
      <c r="AQ23" s="24">
        <f t="shared" si="39"/>
        <v>9617.5120995177858</v>
      </c>
      <c r="AR23" s="24">
        <f t="shared" si="39"/>
        <v>9665.599660015374</v>
      </c>
      <c r="AS23" s="24">
        <f t="shared" si="39"/>
        <v>9713.9276583154497</v>
      </c>
      <c r="AT23" s="24">
        <f t="shared" si="39"/>
        <v>9762.4972966070254</v>
      </c>
      <c r="AU23" s="24">
        <f t="shared" si="39"/>
        <v>9811.3097830900588</v>
      </c>
      <c r="AV23" s="24">
        <f t="shared" si="39"/>
        <v>9860.3663320055075</v>
      </c>
      <c r="AW23" s="24">
        <f t="shared" si="39"/>
        <v>9909.6681636655339</v>
      </c>
      <c r="AX23" s="24">
        <f t="shared" si="39"/>
        <v>9959.2165044838603</v>
      </c>
      <c r="AY23" s="24">
        <f t="shared" si="39"/>
        <v>10009.012587006278</v>
      </c>
      <c r="AZ23" s="24">
        <f t="shared" si="39"/>
        <v>10059.057649941309</v>
      </c>
      <c r="BA23" s="24">
        <f t="shared" si="39"/>
        <v>10109.352938191014</v>
      </c>
      <c r="BB23" s="24">
        <f t="shared" si="39"/>
        <v>10159.899702881969</v>
      </c>
      <c r="BC23" s="24">
        <f t="shared" ref="BC23:CH23" si="40">BB23*($J$2+1)</f>
        <v>10210.699201396377</v>
      </c>
      <c r="BD23" s="24">
        <f t="shared" si="40"/>
        <v>10261.752697403357</v>
      </c>
      <c r="BE23" s="24">
        <f t="shared" si="40"/>
        <v>10313.061460890372</v>
      </c>
      <c r="BF23" s="24">
        <f t="shared" si="40"/>
        <v>10364.626768194823</v>
      </c>
      <c r="BG23" s="24">
        <f t="shared" si="40"/>
        <v>10416.449902035796</v>
      </c>
      <c r="BH23" s="24">
        <f t="shared" si="40"/>
        <v>10468.532151545975</v>
      </c>
      <c r="BI23" s="24">
        <f t="shared" si="40"/>
        <v>10520.874812303704</v>
      </c>
      <c r="BJ23" s="24">
        <f t="shared" si="40"/>
        <v>10573.479186365221</v>
      </c>
      <c r="BK23" s="24">
        <f t="shared" si="40"/>
        <v>10626.346582297047</v>
      </c>
      <c r="BL23" s="24">
        <f t="shared" si="40"/>
        <v>10679.478315208531</v>
      </c>
      <c r="BM23" s="24">
        <f t="shared" si="40"/>
        <v>10732.875706784573</v>
      </c>
      <c r="BN23" s="24">
        <f t="shared" si="40"/>
        <v>10786.540085318495</v>
      </c>
      <c r="BO23" s="24">
        <f t="shared" si="40"/>
        <v>10840.472785745085</v>
      </c>
      <c r="BP23" s="24">
        <f t="shared" si="40"/>
        <v>10894.675149673809</v>
      </c>
      <c r="BQ23" s="24">
        <f t="shared" si="40"/>
        <v>10949.148525422177</v>
      </c>
      <c r="BR23" s="24">
        <f t="shared" si="40"/>
        <v>11003.894268049287</v>
      </c>
      <c r="BS23" s="24">
        <f t="shared" si="40"/>
        <v>11058.913739389533</v>
      </c>
      <c r="BT23" s="24">
        <f t="shared" si="40"/>
        <v>11114.20830808648</v>
      </c>
      <c r="BU23" s="24">
        <f t="shared" si="40"/>
        <v>11169.779349626911</v>
      </c>
      <c r="BV23" s="24">
        <f t="shared" si="40"/>
        <v>11225.628246375045</v>
      </c>
      <c r="BW23" s="24">
        <f t="shared" si="40"/>
        <v>11281.75638760692</v>
      </c>
      <c r="BX23" s="24">
        <f t="shared" si="40"/>
        <v>11338.165169544953</v>
      </c>
      <c r="BY23" s="24">
        <f t="shared" si="40"/>
        <v>11394.855995392676</v>
      </c>
      <c r="BZ23" s="24">
        <f t="shared" si="40"/>
        <v>11451.830275369639</v>
      </c>
      <c r="CA23" s="24">
        <f t="shared" si="40"/>
        <v>11509.089426746486</v>
      </c>
      <c r="CB23" s="24">
        <f t="shared" si="40"/>
        <v>11566.634873880217</v>
      </c>
      <c r="CC23" s="24">
        <f t="shared" si="40"/>
        <v>11624.468048249617</v>
      </c>
      <c r="CD23" s="24">
        <f t="shared" si="40"/>
        <v>11682.590388490864</v>
      </c>
      <c r="CE23" s="24">
        <f t="shared" si="40"/>
        <v>11741.003340433317</v>
      </c>
      <c r="CF23" s="24">
        <f t="shared" si="40"/>
        <v>11799.708357135483</v>
      </c>
      <c r="CG23" s="24">
        <f t="shared" si="40"/>
        <v>11858.70689892116</v>
      </c>
      <c r="CH23" s="24">
        <f t="shared" si="40"/>
        <v>11918.000433415766</v>
      </c>
      <c r="CI23" s="24">
        <f t="shared" ref="CI23:DN23" si="41">CH23*($J$2+1)</f>
        <v>11977.590435582842</v>
      </c>
      <c r="CJ23" s="24">
        <f t="shared" si="41"/>
        <v>12037.478387760755</v>
      </c>
      <c r="CK23" s="24">
        <f t="shared" si="41"/>
        <v>12097.665779699557</v>
      </c>
      <c r="CL23" s="24">
        <f t="shared" si="41"/>
        <v>12158.154108598053</v>
      </c>
      <c r="CM23" s="24">
        <f t="shared" si="41"/>
        <v>12218.944879141043</v>
      </c>
      <c r="CN23" s="24">
        <f t="shared" si="41"/>
        <v>12280.039603536747</v>
      </c>
      <c r="CO23" s="24">
        <f t="shared" si="41"/>
        <v>12341.439801554428</v>
      </c>
      <c r="CP23" s="24">
        <f t="shared" si="41"/>
        <v>12403.1470005622</v>
      </c>
      <c r="CQ23" s="24">
        <f t="shared" si="41"/>
        <v>12465.162735565009</v>
      </c>
      <c r="CR23" s="24">
        <f t="shared" si="41"/>
        <v>12527.488549242833</v>
      </c>
      <c r="CS23" s="24">
        <f t="shared" si="41"/>
        <v>12590.125991989045</v>
      </c>
      <c r="CT23" s="24">
        <f t="shared" si="41"/>
        <v>12653.076621948989</v>
      </c>
      <c r="CU23" s="24">
        <f t="shared" si="41"/>
        <v>12716.342005058732</v>
      </c>
      <c r="CV23" s="24">
        <f t="shared" si="41"/>
        <v>12779.923715084024</v>
      </c>
      <c r="CW23" s="24">
        <f t="shared" si="41"/>
        <v>12843.823333659442</v>
      </c>
      <c r="CX23" s="24">
        <f t="shared" si="41"/>
        <v>12908.042450327737</v>
      </c>
      <c r="CY23" s="24">
        <f t="shared" si="41"/>
        <v>12972.582662579374</v>
      </c>
      <c r="CZ23" s="24">
        <f t="shared" si="41"/>
        <v>13037.44557589227</v>
      </c>
      <c r="DA23" s="24">
        <f t="shared" si="41"/>
        <v>13102.63280377173</v>
      </c>
      <c r="DB23" s="24">
        <f t="shared" si="41"/>
        <v>13168.145967790588</v>
      </c>
      <c r="DC23" s="24">
        <f t="shared" si="41"/>
        <v>13233.98669762954</v>
      </c>
      <c r="DD23" s="24">
        <f t="shared" si="41"/>
        <v>13300.156631117687</v>
      </c>
      <c r="DE23" s="24">
        <f t="shared" si="41"/>
        <v>13366.657414273273</v>
      </c>
      <c r="DF23" s="24">
        <f t="shared" si="41"/>
        <v>13433.490701344639</v>
      </c>
      <c r="DG23" s="24">
        <f t="shared" si="41"/>
        <v>13500.65815485136</v>
      </c>
      <c r="DH23" s="24">
        <f t="shared" si="41"/>
        <v>13568.161445625616</v>
      </c>
      <c r="DI23" s="24">
        <f t="shared" si="41"/>
        <v>13636.002252853743</v>
      </c>
      <c r="DJ23" s="24">
        <f t="shared" si="41"/>
        <v>13704.18226411801</v>
      </c>
      <c r="DK23" s="24">
        <f t="shared" si="41"/>
        <v>13772.703175438599</v>
      </c>
      <c r="DL23" s="24">
        <f t="shared" si="41"/>
        <v>13841.566691315791</v>
      </c>
      <c r="DM23" s="24">
        <f t="shared" si="41"/>
        <v>13910.774524772369</v>
      </c>
      <c r="DN23" s="24">
        <f t="shared" si="41"/>
        <v>13980.32839739623</v>
      </c>
      <c r="DO23" s="24">
        <f t="shared" ref="DO23:ET23" si="42">DN23*($J$2+1)</f>
        <v>14050.23003938321</v>
      </c>
      <c r="DP23" s="24">
        <f t="shared" si="42"/>
        <v>14120.481189580125</v>
      </c>
      <c r="DQ23" s="24">
        <f t="shared" si="42"/>
        <v>14191.083595528024</v>
      </c>
      <c r="DR23" s="24">
        <f t="shared" si="42"/>
        <v>14262.039013505662</v>
      </c>
      <c r="DS23" s="24">
        <f t="shared" si="42"/>
        <v>14333.349208573189</v>
      </c>
      <c r="DT23" s="24">
        <f t="shared" si="42"/>
        <v>14405.015954616054</v>
      </c>
      <c r="DU23" s="24">
        <f t="shared" si="42"/>
        <v>14477.041034389133</v>
      </c>
      <c r="DV23" s="24">
        <f t="shared" si="42"/>
        <v>14549.426239561077</v>
      </c>
      <c r="DW23" s="24">
        <f t="shared" si="42"/>
        <v>14622.173370758881</v>
      </c>
      <c r="DX23" s="24">
        <f t="shared" si="42"/>
        <v>14695.284237612674</v>
      </c>
      <c r="DY23" s="24">
        <f t="shared" si="42"/>
        <v>14768.760658800735</v>
      </c>
      <c r="DZ23" s="24">
        <f t="shared" si="42"/>
        <v>14842.604462094736</v>
      </c>
      <c r="EA23" s="24">
        <f t="shared" si="42"/>
        <v>14916.817484405208</v>
      </c>
      <c r="EB23" s="24">
        <f t="shared" si="42"/>
        <v>14991.401571827233</v>
      </c>
      <c r="EC23" s="24">
        <f t="shared" si="42"/>
        <v>15066.358579686368</v>
      </c>
      <c r="ED23" s="24">
        <f t="shared" si="42"/>
        <v>15141.690372584799</v>
      </c>
      <c r="EE23" s="24">
        <f t="shared" si="42"/>
        <v>15217.39882444772</v>
      </c>
      <c r="EF23" s="24">
        <f t="shared" si="42"/>
        <v>15293.485818569958</v>
      </c>
      <c r="EG23" s="24">
        <f t="shared" si="42"/>
        <v>15369.953247662806</v>
      </c>
      <c r="EH23" s="24">
        <f t="shared" si="42"/>
        <v>15446.803013901119</v>
      </c>
      <c r="EI23" s="24">
        <f t="shared" si="42"/>
        <v>15524.037028970622</v>
      </c>
      <c r="EJ23" s="24">
        <f t="shared" si="42"/>
        <v>15601.657214115474</v>
      </c>
      <c r="EK23" s="24">
        <f t="shared" si="42"/>
        <v>15679.665500186049</v>
      </c>
      <c r="EL23" s="24">
        <f t="shared" si="42"/>
        <v>15758.063827686978</v>
      </c>
      <c r="EM23" s="24">
        <f t="shared" si="42"/>
        <v>15836.854146825412</v>
      </c>
      <c r="EN23" s="24">
        <f t="shared" si="42"/>
        <v>15916.038417559537</v>
      </c>
      <c r="EO23" s="24">
        <f t="shared" si="42"/>
        <v>15995.618609647334</v>
      </c>
      <c r="EP23" s="24">
        <f t="shared" si="42"/>
        <v>16075.59670269557</v>
      </c>
      <c r="EQ23" s="24">
        <f t="shared" si="42"/>
        <v>16155.974686209045</v>
      </c>
      <c r="ER23" s="24">
        <f t="shared" si="42"/>
        <v>16236.754559640089</v>
      </c>
      <c r="ES23" s="24">
        <f t="shared" si="42"/>
        <v>16317.938332438287</v>
      </c>
      <c r="ET23" s="24">
        <f t="shared" si="42"/>
        <v>16399.528024100477</v>
      </c>
      <c r="EU23" s="24">
        <f t="shared" ref="EU23:FZ23" si="43">ET23*($J$2+1)</f>
        <v>16481.525664220979</v>
      </c>
      <c r="EV23" s="24">
        <f t="shared" si="43"/>
        <v>16563.933292542082</v>
      </c>
      <c r="EW23" s="24">
        <f t="shared" si="43"/>
        <v>16646.752959004793</v>
      </c>
      <c r="EX23" s="24">
        <f t="shared" si="43"/>
        <v>16729.986723799815</v>
      </c>
      <c r="EY23" s="24">
        <f t="shared" si="43"/>
        <v>16813.636657418814</v>
      </c>
      <c r="EZ23" s="24">
        <f t="shared" si="43"/>
        <v>16897.704840705905</v>
      </c>
      <c r="FA23" s="24">
        <f t="shared" si="43"/>
        <v>16982.193364909432</v>
      </c>
      <c r="FB23" s="24">
        <f t="shared" si="43"/>
        <v>17067.104331733975</v>
      </c>
      <c r="FC23" s="24">
        <f t="shared" si="43"/>
        <v>17152.439853392643</v>
      </c>
      <c r="FD23" s="24">
        <f t="shared" si="43"/>
        <v>17238.202052659606</v>
      </c>
      <c r="FE23" s="24">
        <f t="shared" si="43"/>
        <v>17324.393062922903</v>
      </c>
      <c r="FF23" s="24">
        <f t="shared" si="43"/>
        <v>17411.015028237514</v>
      </c>
      <c r="FG23" s="24">
        <f t="shared" si="43"/>
        <v>17498.070103378701</v>
      </c>
      <c r="FH23" s="24">
        <f t="shared" si="43"/>
        <v>17585.560453895592</v>
      </c>
      <c r="FI23" s="24">
        <f t="shared" si="43"/>
        <v>17673.488256165067</v>
      </c>
      <c r="FJ23" s="24">
        <f t="shared" si="43"/>
        <v>17761.855697445892</v>
      </c>
      <c r="FK23" s="24">
        <f t="shared" si="43"/>
        <v>17850.664975933119</v>
      </c>
      <c r="FL23" s="24">
        <f t="shared" si="43"/>
        <v>17939.918300812784</v>
      </c>
      <c r="FM23" s="24">
        <f t="shared" si="43"/>
        <v>18029.617892316845</v>
      </c>
      <c r="FN23" s="24">
        <f t="shared" si="43"/>
        <v>18119.765981778426</v>
      </c>
      <c r="FO23" s="24">
        <f t="shared" si="43"/>
        <v>18210.364811687316</v>
      </c>
      <c r="FP23" s="24">
        <f t="shared" si="43"/>
        <v>18301.416635745751</v>
      </c>
      <c r="FQ23" s="24">
        <f t="shared" si="43"/>
        <v>18392.923718924478</v>
      </c>
      <c r="FR23" s="24">
        <f t="shared" si="43"/>
        <v>18484.8883375191</v>
      </c>
      <c r="FS23" s="24">
        <f t="shared" si="43"/>
        <v>18577.312779206692</v>
      </c>
      <c r="FT23" s="24">
        <f t="shared" si="43"/>
        <v>18670.199343102722</v>
      </c>
      <c r="FU23" s="24">
        <f t="shared" si="43"/>
        <v>18763.550339818234</v>
      </c>
      <c r="FV23" s="24">
        <f t="shared" si="43"/>
        <v>18857.368091517325</v>
      </c>
      <c r="FW23" s="24">
        <f t="shared" si="43"/>
        <v>18951.65493197491</v>
      </c>
      <c r="FX23" s="24">
        <f t="shared" si="43"/>
        <v>19046.413206634781</v>
      </c>
      <c r="FY23" s="24">
        <f t="shared" si="43"/>
        <v>19141.645272667953</v>
      </c>
      <c r="FZ23" s="24">
        <f t="shared" si="43"/>
        <v>19237.353499031291</v>
      </c>
      <c r="GA23" s="24">
        <f t="shared" ref="GA23:GS23" si="44">FZ23*($J$2+1)</f>
        <v>19333.540266526445</v>
      </c>
      <c r="GB23" s="24">
        <f t="shared" si="44"/>
        <v>19430.207967859074</v>
      </c>
      <c r="GC23" s="24">
        <f t="shared" si="44"/>
        <v>19527.359007698367</v>
      </c>
      <c r="GD23" s="24">
        <f t="shared" si="44"/>
        <v>19624.995802736856</v>
      </c>
      <c r="GE23" s="24">
        <f t="shared" si="44"/>
        <v>19723.120781750538</v>
      </c>
      <c r="GF23" s="24">
        <f t="shared" si="44"/>
        <v>19821.736385659289</v>
      </c>
      <c r="GG23" s="24">
        <f t="shared" si="44"/>
        <v>19920.845067587583</v>
      </c>
      <c r="GH23" s="24">
        <f t="shared" si="44"/>
        <v>20020.449292925518</v>
      </c>
      <c r="GI23" s="24">
        <f t="shared" si="44"/>
        <v>20120.551539390144</v>
      </c>
      <c r="GJ23" s="24">
        <f t="shared" si="44"/>
        <v>20221.154297087094</v>
      </c>
      <c r="GK23" s="24">
        <f t="shared" si="44"/>
        <v>20322.260068572527</v>
      </c>
      <c r="GL23" s="24">
        <f t="shared" si="44"/>
        <v>20423.871368915388</v>
      </c>
      <c r="GM23" s="24">
        <f t="shared" si="44"/>
        <v>20525.990725759963</v>
      </c>
      <c r="GN23" s="24">
        <f t="shared" si="44"/>
        <v>20628.620679388761</v>
      </c>
      <c r="GO23" s="24">
        <f t="shared" si="44"/>
        <v>20731.763782785703</v>
      </c>
      <c r="GP23" s="24">
        <f t="shared" si="44"/>
        <v>20835.422601699629</v>
      </c>
      <c r="GQ23" s="24">
        <f t="shared" si="44"/>
        <v>20939.599714708125</v>
      </c>
      <c r="GR23" s="24">
        <f t="shared" si="44"/>
        <v>21044.297713281663</v>
      </c>
      <c r="GS23" s="24">
        <f t="shared" si="44"/>
        <v>21149.51920184807</v>
      </c>
    </row>
    <row r="24" spans="1:201" x14ac:dyDescent="0.15">
      <c r="A24" s="3" t="s">
        <v>12</v>
      </c>
      <c r="B24" s="47"/>
      <c r="C24" s="47"/>
      <c r="D24" s="47"/>
      <c r="E24" s="47"/>
      <c r="F24" s="28">
        <f t="shared" ref="F24:H24" si="45">F23/F25</f>
        <v>-1.0661335572421149</v>
      </c>
      <c r="G24" s="28">
        <f t="shared" si="45"/>
        <v>-1.0049560578492847</v>
      </c>
      <c r="H24" s="47">
        <f t="shared" si="45"/>
        <v>-0.78635664925397808</v>
      </c>
      <c r="I24" s="47">
        <f t="shared" ref="I24" si="46">I23/I25</f>
        <v>-0.48994798517245447</v>
      </c>
      <c r="J24" s="47">
        <f t="shared" ref="J24:Q24" si="47">J23/J25</f>
        <v>-9.2930672178618539E-3</v>
      </c>
      <c r="K24" s="47">
        <f t="shared" si="47"/>
        <v>0.66190992933488801</v>
      </c>
      <c r="L24" s="47">
        <f t="shared" si="47"/>
        <v>1.6696745990279191</v>
      </c>
      <c r="M24" s="47">
        <f t="shared" si="47"/>
        <v>2.4568066778939506</v>
      </c>
      <c r="N24" s="47">
        <f t="shared" si="47"/>
        <v>3.4209552139812058</v>
      </c>
      <c r="O24" s="47">
        <f t="shared" si="47"/>
        <v>4.5986445781157776</v>
      </c>
      <c r="P24" s="47">
        <f t="shared" si="47"/>
        <v>6.0337586809695054</v>
      </c>
      <c r="Q24" s="47">
        <f t="shared" si="47"/>
        <v>7.7790156680575606</v>
      </c>
      <c r="R24" s="47">
        <f t="shared" ref="R24:V24" si="48">R23/R25</f>
        <v>8.954564240970841</v>
      </c>
      <c r="S24" s="47">
        <f t="shared" si="48"/>
        <v>10.252428916348819</v>
      </c>
      <c r="T24" s="47">
        <f t="shared" si="48"/>
        <v>11.685146633679599</v>
      </c>
      <c r="U24" s="47">
        <f t="shared" si="48"/>
        <v>13.266517714730364</v>
      </c>
      <c r="V24" s="47">
        <f t="shared" si="48"/>
        <v>15.011732721564172</v>
      </c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</row>
    <row r="25" spans="1:201" s="16" customFormat="1" x14ac:dyDescent="0.15">
      <c r="A25" s="16" t="s">
        <v>13</v>
      </c>
      <c r="B25" s="23"/>
      <c r="C25" s="23"/>
      <c r="D25" s="23"/>
      <c r="E25" s="23"/>
      <c r="F25" s="23">
        <v>544.01439300000004</v>
      </c>
      <c r="G25" s="23">
        <v>576.95856000000003</v>
      </c>
      <c r="H25" s="23">
        <f t="shared" ref="H25" si="49">G25</f>
        <v>576.95856000000003</v>
      </c>
      <c r="I25" s="23">
        <f t="shared" ref="I25" si="50">H25</f>
        <v>576.95856000000003</v>
      </c>
      <c r="J25" s="23">
        <f t="shared" ref="J25" si="51">I25</f>
        <v>576.95856000000003</v>
      </c>
      <c r="K25" s="23">
        <f t="shared" ref="K25" si="52">J25</f>
        <v>576.95856000000003</v>
      </c>
      <c r="L25" s="23">
        <f t="shared" ref="L25" si="53">K25</f>
        <v>576.95856000000003</v>
      </c>
      <c r="M25" s="23">
        <f t="shared" ref="M25" si="54">L25</f>
        <v>576.95856000000003</v>
      </c>
      <c r="N25" s="23">
        <f t="shared" ref="N25" si="55">M25</f>
        <v>576.95856000000003</v>
      </c>
      <c r="O25" s="23">
        <f t="shared" ref="O25" si="56">N25</f>
        <v>576.95856000000003</v>
      </c>
      <c r="P25" s="23">
        <f t="shared" ref="P25" si="57">O25</f>
        <v>576.95856000000003</v>
      </c>
      <c r="Q25" s="23">
        <f t="shared" ref="Q25:V25" si="58">P25</f>
        <v>576.95856000000003</v>
      </c>
      <c r="R25" s="23">
        <f t="shared" si="58"/>
        <v>576.95856000000003</v>
      </c>
      <c r="S25" s="23">
        <f t="shared" si="58"/>
        <v>576.95856000000003</v>
      </c>
      <c r="T25" s="23">
        <f t="shared" si="58"/>
        <v>576.95856000000003</v>
      </c>
      <c r="U25" s="23">
        <f t="shared" si="58"/>
        <v>576.95856000000003</v>
      </c>
      <c r="V25" s="23">
        <f t="shared" si="58"/>
        <v>576.95856000000003</v>
      </c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</row>
    <row r="26" spans="1:201" x14ac:dyDescent="0.15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</row>
    <row r="27" spans="1:201" x14ac:dyDescent="0.15">
      <c r="A27" s="3" t="s">
        <v>15</v>
      </c>
      <c r="B27" s="33"/>
      <c r="C27" s="33"/>
      <c r="D27" s="33"/>
      <c r="E27" s="33"/>
      <c r="F27" s="33">
        <f>IFERROR(F14/F12,0)</f>
        <v>0.72220608019025578</v>
      </c>
      <c r="G27" s="33">
        <f t="shared" ref="G27:Q27" si="59">IFERROR(G14/G12,0)</f>
        <v>0.67359589525355024</v>
      </c>
      <c r="H27" s="33">
        <f t="shared" si="59"/>
        <v>0.67359589525355024</v>
      </c>
      <c r="I27" s="33">
        <f>IFERROR(I14/I12,0)</f>
        <v>0.67359589525355024</v>
      </c>
      <c r="J27" s="33">
        <f t="shared" si="59"/>
        <v>0.67359589525355024</v>
      </c>
      <c r="K27" s="33">
        <f t="shared" si="59"/>
        <v>0.67359589525355024</v>
      </c>
      <c r="L27" s="33">
        <f t="shared" si="59"/>
        <v>0.67359589525355024</v>
      </c>
      <c r="M27" s="33">
        <f t="shared" si="59"/>
        <v>0.67359589525355024</v>
      </c>
      <c r="N27" s="33">
        <f t="shared" si="59"/>
        <v>0.67359589525355024</v>
      </c>
      <c r="O27" s="33">
        <f t="shared" si="59"/>
        <v>0.67359589525355024</v>
      </c>
      <c r="P27" s="33">
        <f t="shared" si="59"/>
        <v>0.67359589525355024</v>
      </c>
      <c r="Q27" s="33">
        <f t="shared" si="59"/>
        <v>0.67359589525355024</v>
      </c>
      <c r="R27" s="33">
        <f t="shared" ref="R27:V27" si="60">IFERROR(R14/R12,0)</f>
        <v>0.67359589525355024</v>
      </c>
      <c r="S27" s="33">
        <f t="shared" si="60"/>
        <v>0.67359589525355024</v>
      </c>
      <c r="T27" s="33">
        <f t="shared" si="60"/>
        <v>0.67359589525355024</v>
      </c>
      <c r="U27" s="33">
        <f t="shared" si="60"/>
        <v>0.67359589525355024</v>
      </c>
      <c r="V27" s="33">
        <f t="shared" si="60"/>
        <v>0.67359589525355024</v>
      </c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</row>
    <row r="28" spans="1:201" x14ac:dyDescent="0.15">
      <c r="A28" s="3" t="s">
        <v>16</v>
      </c>
      <c r="B28" s="35"/>
      <c r="C28" s="35"/>
      <c r="D28" s="35"/>
      <c r="E28" s="35"/>
      <c r="F28" s="35">
        <f>IFERROR(F19/F12,0)</f>
        <v>-1.0463261388390166</v>
      </c>
      <c r="G28" s="35">
        <f t="shared" ref="G28:Q28" si="61">IFERROR(G19/G12,0)</f>
        <v>-0.77680171839123036</v>
      </c>
      <c r="H28" s="35">
        <f>IFERROR(H19/H12,0)</f>
        <v>-0.45056325794048963</v>
      </c>
      <c r="I28" s="35">
        <f t="shared" si="61"/>
        <v>-0.19809278196805102</v>
      </c>
      <c r="J28" s="35">
        <f t="shared" si="61"/>
        <v>-2.6179294902779456E-3</v>
      </c>
      <c r="K28" s="35">
        <f t="shared" si="61"/>
        <v>0.14879834918825754</v>
      </c>
      <c r="L28" s="35">
        <f t="shared" si="61"/>
        <v>0.26613995337732094</v>
      </c>
      <c r="M28" s="35">
        <f t="shared" si="61"/>
        <v>0.32305605540131305</v>
      </c>
      <c r="N28" s="35">
        <f t="shared" si="61"/>
        <v>0.37176055796923768</v>
      </c>
      <c r="O28" s="35">
        <f t="shared" si="61"/>
        <v>0.41348104357533277</v>
      </c>
      <c r="P28" s="35">
        <f t="shared" si="61"/>
        <v>0.44925477259898072</v>
      </c>
      <c r="Q28" s="35">
        <f t="shared" si="61"/>
        <v>0.47995923385796291</v>
      </c>
      <c r="R28" s="35">
        <f t="shared" ref="R28:V28" si="62">IFERROR(R19/R12,0)</f>
        <v>0.49705549106617758</v>
      </c>
      <c r="S28" s="35">
        <f t="shared" si="62"/>
        <v>0.51246978122516695</v>
      </c>
      <c r="T28" s="35">
        <f t="shared" si="62"/>
        <v>0.5263772698679523</v>
      </c>
      <c r="U28" s="35">
        <f t="shared" si="62"/>
        <v>0.5389343918231092</v>
      </c>
      <c r="V28" s="35">
        <f t="shared" si="62"/>
        <v>0.5502808773705794</v>
      </c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</row>
    <row r="29" spans="1:201" x14ac:dyDescent="0.15">
      <c r="A29" s="3" t="s">
        <v>17</v>
      </c>
      <c r="B29" s="35"/>
      <c r="C29" s="35"/>
      <c r="D29" s="35"/>
      <c r="E29" s="35"/>
      <c r="F29" s="35">
        <f>IFERROR(F22/F21,0)</f>
        <v>-1.5762042200240984E-2</v>
      </c>
      <c r="G29" s="35">
        <f t="shared" ref="G29:Q29" si="63">IFERROR(G22/G21,0)</f>
        <v>-2.113353222335326E-2</v>
      </c>
      <c r="H29" s="35">
        <f t="shared" si="63"/>
        <v>0</v>
      </c>
      <c r="I29" s="35">
        <f t="shared" si="63"/>
        <v>0</v>
      </c>
      <c r="J29" s="35">
        <f t="shared" si="63"/>
        <v>0</v>
      </c>
      <c r="K29" s="35">
        <f t="shared" si="63"/>
        <v>0.1</v>
      </c>
      <c r="L29" s="35">
        <f t="shared" si="63"/>
        <v>0.1</v>
      </c>
      <c r="M29" s="35">
        <f t="shared" si="63"/>
        <v>0.10000000000000002</v>
      </c>
      <c r="N29" s="35">
        <f t="shared" si="63"/>
        <v>0.1</v>
      </c>
      <c r="O29" s="35">
        <f t="shared" si="63"/>
        <v>9.9999999999999992E-2</v>
      </c>
      <c r="P29" s="35">
        <f t="shared" si="63"/>
        <v>0.1</v>
      </c>
      <c r="Q29" s="35">
        <f t="shared" si="63"/>
        <v>0.1</v>
      </c>
      <c r="R29" s="35">
        <f t="shared" ref="R29:V29" si="64">IFERROR(R22/R21,0)</f>
        <v>0.1</v>
      </c>
      <c r="S29" s="35">
        <f t="shared" si="64"/>
        <v>0.1</v>
      </c>
      <c r="T29" s="35">
        <f t="shared" si="64"/>
        <v>0.1</v>
      </c>
      <c r="U29" s="35">
        <f t="shared" si="64"/>
        <v>0.1</v>
      </c>
      <c r="V29" s="35">
        <f t="shared" si="64"/>
        <v>0.1</v>
      </c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</row>
    <row r="30" spans="1:201" x14ac:dyDescent="0.15">
      <c r="B30" s="35"/>
      <c r="C30" s="35"/>
      <c r="D30" s="35"/>
      <c r="E30" s="35"/>
      <c r="F30" s="35"/>
      <c r="G30" s="35"/>
      <c r="H30" s="35">
        <v>0.44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</row>
    <row r="31" spans="1:201" x14ac:dyDescent="0.15">
      <c r="A31" s="2" t="s">
        <v>14</v>
      </c>
      <c r="B31" s="35"/>
      <c r="C31" s="48">
        <f>C12/B12-1</f>
        <v>0.54893617021276597</v>
      </c>
      <c r="D31" s="48">
        <f>D12/C12-1</f>
        <v>0.28021978021978011</v>
      </c>
      <c r="E31" s="48">
        <f>E12/D12-1</f>
        <v>0.10515021459227469</v>
      </c>
      <c r="F31" s="48">
        <f>F12/E12-1</f>
        <v>0.15613398058252415</v>
      </c>
      <c r="G31" s="48">
        <f>G12/F12-1</f>
        <v>0.24713432279323944</v>
      </c>
      <c r="H31" s="48">
        <f t="shared" ref="H31:V31" si="65">H12/G12-1</f>
        <v>0.39999999999999969</v>
      </c>
      <c r="I31" s="48">
        <f t="shared" si="65"/>
        <v>0.39999999999999991</v>
      </c>
      <c r="J31" s="48">
        <f t="shared" si="65"/>
        <v>0.39999999999999991</v>
      </c>
      <c r="K31" s="48">
        <f t="shared" si="65"/>
        <v>0.39999999999999991</v>
      </c>
      <c r="L31" s="48">
        <f t="shared" si="65"/>
        <v>0.39999999999999991</v>
      </c>
      <c r="M31" s="48">
        <f t="shared" si="65"/>
        <v>0.19999999999999996</v>
      </c>
      <c r="N31" s="48">
        <f t="shared" si="65"/>
        <v>0.19999999999999996</v>
      </c>
      <c r="O31" s="48">
        <f t="shared" si="65"/>
        <v>0.19999999999999996</v>
      </c>
      <c r="P31" s="48">
        <f t="shared" si="65"/>
        <v>0.19999999999999996</v>
      </c>
      <c r="Q31" s="48">
        <f t="shared" si="65"/>
        <v>0.19999999999999996</v>
      </c>
      <c r="R31" s="48">
        <f t="shared" si="65"/>
        <v>0.10000000000000009</v>
      </c>
      <c r="S31" s="48">
        <f t="shared" si="65"/>
        <v>0.10000000000000009</v>
      </c>
      <c r="T31" s="48">
        <f t="shared" si="65"/>
        <v>0.10000000000000009</v>
      </c>
      <c r="U31" s="48">
        <f t="shared" si="65"/>
        <v>0.10000000000000009</v>
      </c>
      <c r="V31" s="48">
        <f t="shared" si="65"/>
        <v>0.10000000000000009</v>
      </c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</row>
    <row r="32" spans="1:201" x14ac:dyDescent="0.15">
      <c r="A32" s="3" t="s">
        <v>30</v>
      </c>
      <c r="B32" s="35"/>
      <c r="C32" s="35"/>
      <c r="D32" s="35"/>
      <c r="E32" s="35"/>
      <c r="F32" s="35"/>
      <c r="G32" s="35">
        <f t="shared" ref="G32:V32" si="66">G15/F15-1</f>
        <v>7.3684210526315796E-2</v>
      </c>
      <c r="H32" s="35">
        <f t="shared" si="66"/>
        <v>0.10000000000000009</v>
      </c>
      <c r="I32" s="35">
        <f t="shared" si="66"/>
        <v>0.10000000000000009</v>
      </c>
      <c r="J32" s="35">
        <f t="shared" si="66"/>
        <v>0.10000000000000009</v>
      </c>
      <c r="K32" s="35">
        <f t="shared" si="66"/>
        <v>0.10000000000000009</v>
      </c>
      <c r="L32" s="35">
        <f t="shared" si="66"/>
        <v>0.10000000000000009</v>
      </c>
      <c r="M32" s="35">
        <f t="shared" si="66"/>
        <v>5.0000000000000044E-2</v>
      </c>
      <c r="N32" s="35">
        <f t="shared" si="66"/>
        <v>5.0000000000000044E-2</v>
      </c>
      <c r="O32" s="35">
        <f t="shared" si="66"/>
        <v>5.0000000000000044E-2</v>
      </c>
      <c r="P32" s="35">
        <f t="shared" si="66"/>
        <v>5.0000000000000044E-2</v>
      </c>
      <c r="Q32" s="35">
        <f t="shared" si="66"/>
        <v>5.0000000000000044E-2</v>
      </c>
      <c r="R32" s="35">
        <f t="shared" si="66"/>
        <v>5.0000000000000044E-2</v>
      </c>
      <c r="S32" s="35">
        <f t="shared" si="66"/>
        <v>5.0000000000000044E-2</v>
      </c>
      <c r="T32" s="35">
        <f t="shared" si="66"/>
        <v>5.0000000000000044E-2</v>
      </c>
      <c r="U32" s="35">
        <f t="shared" si="66"/>
        <v>5.0000000000000044E-2</v>
      </c>
      <c r="V32" s="35">
        <f t="shared" si="66"/>
        <v>5.0000000000000044E-2</v>
      </c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</row>
    <row r="33" spans="1:118" x14ac:dyDescent="0.15">
      <c r="A33" s="3" t="s">
        <v>31</v>
      </c>
      <c r="B33" s="35"/>
      <c r="C33" s="35"/>
      <c r="D33" s="35"/>
      <c r="E33" s="35"/>
      <c r="F33" s="35"/>
      <c r="G33" s="35">
        <f t="shared" ref="G33:V33" si="67">G16/F16-1</f>
        <v>-2.5974025974025983E-2</v>
      </c>
      <c r="H33" s="35">
        <f t="shared" si="67"/>
        <v>0.10000000000000009</v>
      </c>
      <c r="I33" s="35">
        <f t="shared" si="67"/>
        <v>0.10000000000000009</v>
      </c>
      <c r="J33" s="35">
        <f t="shared" si="67"/>
        <v>0.10000000000000009</v>
      </c>
      <c r="K33" s="35">
        <f t="shared" si="67"/>
        <v>0.10000000000000009</v>
      </c>
      <c r="L33" s="35">
        <f t="shared" si="67"/>
        <v>0.10000000000000009</v>
      </c>
      <c r="M33" s="35">
        <f t="shared" si="67"/>
        <v>5.0000000000000044E-2</v>
      </c>
      <c r="N33" s="35">
        <f t="shared" si="67"/>
        <v>5.0000000000000044E-2</v>
      </c>
      <c r="O33" s="35">
        <f t="shared" si="67"/>
        <v>5.0000000000000044E-2</v>
      </c>
      <c r="P33" s="35">
        <f t="shared" si="67"/>
        <v>5.0000000000000044E-2</v>
      </c>
      <c r="Q33" s="35">
        <f t="shared" si="67"/>
        <v>5.0000000000000044E-2</v>
      </c>
      <c r="R33" s="35">
        <f t="shared" si="67"/>
        <v>-2.0000000000000018E-2</v>
      </c>
      <c r="S33" s="35">
        <f t="shared" si="67"/>
        <v>-2.0000000000000018E-2</v>
      </c>
      <c r="T33" s="35">
        <f t="shared" si="67"/>
        <v>-1.9999999999999907E-2</v>
      </c>
      <c r="U33" s="35">
        <f t="shared" si="67"/>
        <v>-2.0000000000000018E-2</v>
      </c>
      <c r="V33" s="35">
        <f t="shared" si="67"/>
        <v>-2.0000000000000018E-2</v>
      </c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</row>
    <row r="34" spans="1:118" x14ac:dyDescent="0.15">
      <c r="A34" s="3" t="s">
        <v>32</v>
      </c>
      <c r="B34" s="35"/>
      <c r="C34" s="35"/>
      <c r="D34" s="35"/>
      <c r="E34" s="35"/>
      <c r="F34" s="35"/>
      <c r="G34" s="35">
        <f t="shared" ref="G34:V34" si="68">G17/F17-1</f>
        <v>4.9019607843137303E-2</v>
      </c>
      <c r="H34" s="35">
        <f t="shared" si="68"/>
        <v>5.0000000000000044E-2</v>
      </c>
      <c r="I34" s="35">
        <f t="shared" si="68"/>
        <v>5.0000000000000044E-2</v>
      </c>
      <c r="J34" s="35">
        <f t="shared" si="68"/>
        <v>5.0000000000000044E-2</v>
      </c>
      <c r="K34" s="35">
        <f t="shared" si="68"/>
        <v>5.0000000000000044E-2</v>
      </c>
      <c r="L34" s="35">
        <f t="shared" si="68"/>
        <v>5.0000000000000044E-2</v>
      </c>
      <c r="M34" s="35">
        <f t="shared" si="68"/>
        <v>-2.0000000000000018E-2</v>
      </c>
      <c r="N34" s="35">
        <f t="shared" si="68"/>
        <v>-2.0000000000000018E-2</v>
      </c>
      <c r="O34" s="35">
        <f t="shared" si="68"/>
        <v>-2.0000000000000018E-2</v>
      </c>
      <c r="P34" s="35">
        <f t="shared" si="68"/>
        <v>-2.0000000000000018E-2</v>
      </c>
      <c r="Q34" s="35">
        <f t="shared" si="68"/>
        <v>-2.0000000000000018E-2</v>
      </c>
      <c r="R34" s="35">
        <f t="shared" si="68"/>
        <v>-2.0000000000000018E-2</v>
      </c>
      <c r="S34" s="35">
        <f t="shared" si="68"/>
        <v>-2.0000000000000018E-2</v>
      </c>
      <c r="T34" s="35">
        <f t="shared" si="68"/>
        <v>-2.0000000000000018E-2</v>
      </c>
      <c r="U34" s="35">
        <f t="shared" si="68"/>
        <v>-2.0000000000000129E-2</v>
      </c>
      <c r="V34" s="35">
        <f t="shared" si="68"/>
        <v>-2.0000000000000018E-2</v>
      </c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</row>
    <row r="35" spans="1:118" x14ac:dyDescent="0.15">
      <c r="A35" s="6" t="s">
        <v>59</v>
      </c>
      <c r="B35" s="44"/>
      <c r="C35" s="44"/>
      <c r="D35" s="44"/>
      <c r="E35" s="44"/>
      <c r="F35" s="44"/>
      <c r="G35" s="44">
        <f t="shared" ref="G35:V35" si="69">G18/F18-1</f>
        <v>2.2792022792022859E-2</v>
      </c>
      <c r="H35" s="44">
        <f t="shared" si="69"/>
        <v>8.5097493036211835E-2</v>
      </c>
      <c r="I35" s="44">
        <f t="shared" si="69"/>
        <v>8.5579514824797975E-2</v>
      </c>
      <c r="J35" s="44">
        <f t="shared" si="69"/>
        <v>8.6052141527001691E-2</v>
      </c>
      <c r="K35" s="44">
        <f t="shared" si="69"/>
        <v>8.6515148917199802E-2</v>
      </c>
      <c r="L35" s="44">
        <f t="shared" si="69"/>
        <v>8.6968342179995606E-2</v>
      </c>
      <c r="M35" s="44">
        <f>M18/L18-1</f>
        <v>3.2376177619867885E-2</v>
      </c>
      <c r="N35" s="44">
        <f t="shared" si="69"/>
        <v>3.3270297874997246E-2</v>
      </c>
      <c r="O35" s="44">
        <f t="shared" si="69"/>
        <v>3.4132798439846068E-2</v>
      </c>
      <c r="P35" s="44">
        <f t="shared" si="69"/>
        <v>3.4963384245804585E-2</v>
      </c>
      <c r="Q35" s="44">
        <f t="shared" si="69"/>
        <v>3.5761927751821077E-2</v>
      </c>
      <c r="R35" s="44">
        <f t="shared" si="69"/>
        <v>2.8805661412594219E-3</v>
      </c>
      <c r="S35" s="44">
        <f t="shared" si="69"/>
        <v>3.9555887903590659E-3</v>
      </c>
      <c r="T35" s="44">
        <f t="shared" si="69"/>
        <v>5.0542638645834082E-3</v>
      </c>
      <c r="U35" s="44">
        <f t="shared" si="69"/>
        <v>6.1746833018332392E-3</v>
      </c>
      <c r="V35" s="44">
        <f t="shared" si="69"/>
        <v>7.3147574899581347E-3</v>
      </c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</row>
    <row r="36" spans="1:118" x14ac:dyDescent="0.15"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</row>
    <row r="37" spans="1:118" x14ac:dyDescent="0.15">
      <c r="A37" s="2" t="s">
        <v>18</v>
      </c>
      <c r="B37" s="49"/>
      <c r="C37" s="49"/>
      <c r="D37" s="49"/>
      <c r="E37" s="49"/>
      <c r="F37" s="24">
        <f>F38-F39</f>
        <v>1126</v>
      </c>
      <c r="G37" s="24">
        <f>G38-G39</f>
        <v>735</v>
      </c>
      <c r="H37" s="49">
        <f>G37+H23</f>
        <v>281.30479999999972</v>
      </c>
      <c r="I37" s="49">
        <f>H37+I23</f>
        <v>-1.374884000000975</v>
      </c>
      <c r="J37" s="49">
        <f t="shared" ref="J37:V37" si="70">I37+J23</f>
        <v>-6.736598680001757</v>
      </c>
      <c r="K37" s="49">
        <f t="shared" si="70"/>
        <v>375.15800099875702</v>
      </c>
      <c r="L37" s="49">
        <f t="shared" si="70"/>
        <v>1338.4910533224827</v>
      </c>
      <c r="M37" s="49">
        <f t="shared" si="70"/>
        <v>2755.9666963985601</v>
      </c>
      <c r="N37" s="49">
        <f t="shared" si="70"/>
        <v>4729.7160904816483</v>
      </c>
      <c r="O37" s="49">
        <f t="shared" si="70"/>
        <v>7382.943444223135</v>
      </c>
      <c r="P37" s="49">
        <f t="shared" si="70"/>
        <v>10864.172164182801</v>
      </c>
      <c r="Q37" s="49">
        <f t="shared" si="70"/>
        <v>15352.341842242729</v>
      </c>
      <c r="R37" s="49">
        <f t="shared" si="70"/>
        <v>20518.754332140757</v>
      </c>
      <c r="S37" s="49">
        <f t="shared" si="70"/>
        <v>26433.980956219733</v>
      </c>
      <c r="T37" s="49">
        <f t="shared" si="70"/>
        <v>33175.82633137636</v>
      </c>
      <c r="U37" s="49">
        <f t="shared" si="70"/>
        <v>40830.057288281685</v>
      </c>
      <c r="V37" s="49">
        <f t="shared" si="70"/>
        <v>49491.204982420233</v>
      </c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</row>
    <row r="38" spans="1:118" x14ac:dyDescent="0.15">
      <c r="A38" s="3" t="s">
        <v>19</v>
      </c>
      <c r="B38" s="50"/>
      <c r="C38" s="50"/>
      <c r="D38" s="50"/>
      <c r="E38" s="50"/>
      <c r="F38" s="50">
        <f>Reports!E35</f>
        <v>1126</v>
      </c>
      <c r="G38" s="50">
        <f>Reports!I35</f>
        <v>1131</v>
      </c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23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</row>
    <row r="39" spans="1:118" x14ac:dyDescent="0.15">
      <c r="A39" s="3" t="s">
        <v>20</v>
      </c>
      <c r="B39" s="50"/>
      <c r="C39" s="50"/>
      <c r="D39" s="50"/>
      <c r="E39" s="50"/>
      <c r="F39" s="50">
        <f>Reports!E36</f>
        <v>0</v>
      </c>
      <c r="G39" s="50">
        <f>Reports!I36</f>
        <v>396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23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</row>
    <row r="40" spans="1:118" x14ac:dyDescent="0.15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2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</row>
    <row r="41" spans="1:118" x14ac:dyDescent="0.15">
      <c r="A41" s="3" t="s">
        <v>44</v>
      </c>
      <c r="B41" s="53"/>
      <c r="C41" s="53"/>
      <c r="D41" s="53"/>
      <c r="E41" s="53"/>
      <c r="F41" s="50">
        <f>Reports!E38</f>
        <v>23</v>
      </c>
      <c r="G41" s="50">
        <f>Reports!I38</f>
        <v>51</v>
      </c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</row>
    <row r="42" spans="1:118" x14ac:dyDescent="0.15">
      <c r="A42" s="3" t="s">
        <v>45</v>
      </c>
      <c r="B42" s="53"/>
      <c r="C42" s="53"/>
      <c r="D42" s="53"/>
      <c r="E42" s="53"/>
      <c r="F42" s="50">
        <f>Reports!E39</f>
        <v>1431</v>
      </c>
      <c r="G42" s="50">
        <f>Reports!I39</f>
        <v>1594</v>
      </c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</row>
    <row r="43" spans="1:118" x14ac:dyDescent="0.15">
      <c r="A43" s="3" t="s">
        <v>46</v>
      </c>
      <c r="B43" s="53"/>
      <c r="C43" s="53"/>
      <c r="D43" s="53"/>
      <c r="E43" s="53"/>
      <c r="F43" s="50">
        <f>Reports!E40</f>
        <v>923</v>
      </c>
      <c r="G43" s="50">
        <f>Reports!I40</f>
        <v>1447</v>
      </c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</row>
    <row r="44" spans="1:118" x14ac:dyDescent="0.15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</row>
    <row r="45" spans="1:118" x14ac:dyDescent="0.15">
      <c r="A45" s="3" t="s">
        <v>47</v>
      </c>
      <c r="B45" s="37"/>
      <c r="C45" s="37"/>
      <c r="D45" s="37"/>
      <c r="E45" s="37"/>
      <c r="F45" s="54">
        <f>F42-F41-F38</f>
        <v>282</v>
      </c>
      <c r="G45" s="54">
        <f>G42-G41-G38</f>
        <v>412</v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</row>
    <row r="46" spans="1:118" x14ac:dyDescent="0.15">
      <c r="A46" s="3" t="s">
        <v>48</v>
      </c>
      <c r="B46" s="37"/>
      <c r="C46" s="37"/>
      <c r="D46" s="37"/>
      <c r="E46" s="37"/>
      <c r="F46" s="54">
        <f>F42-F43</f>
        <v>508</v>
      </c>
      <c r="G46" s="54">
        <f>G42-G43</f>
        <v>147</v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</row>
    <row r="47" spans="1:118" x14ac:dyDescent="0.15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</row>
    <row r="48" spans="1:118" x14ac:dyDescent="0.15">
      <c r="A48" s="18" t="s">
        <v>50</v>
      </c>
      <c r="B48" s="38"/>
      <c r="C48" s="38"/>
      <c r="D48" s="38"/>
      <c r="E48" s="38"/>
      <c r="F48" s="55">
        <f>F23/F46</f>
        <v>-1.1417165354330707</v>
      </c>
      <c r="G48" s="55">
        <f>G23/G46</f>
        <v>-3.9443401360544215</v>
      </c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</row>
    <row r="49" spans="1:118" x14ac:dyDescent="0.15">
      <c r="A49" s="18" t="s">
        <v>51</v>
      </c>
      <c r="B49" s="38"/>
      <c r="C49" s="38"/>
      <c r="D49" s="38"/>
      <c r="E49" s="38"/>
      <c r="F49" s="55">
        <f>F23/F42</f>
        <v>-0.40530538085255063</v>
      </c>
      <c r="G49" s="55">
        <f>G23/G42</f>
        <v>-0.36375031367628607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</row>
    <row r="50" spans="1:118" x14ac:dyDescent="0.15">
      <c r="A50" s="18" t="s">
        <v>52</v>
      </c>
      <c r="B50" s="38"/>
      <c r="C50" s="38"/>
      <c r="D50" s="38"/>
      <c r="E50" s="38"/>
      <c r="F50" s="55">
        <f>F23/(F46-F41)</f>
        <v>-1.1958597938144329</v>
      </c>
      <c r="G50" s="55">
        <f>G23/(G46-G41)</f>
        <v>-6.0397708333333329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</row>
    <row r="51" spans="1:118" x14ac:dyDescent="0.15">
      <c r="A51" s="18" t="s">
        <v>53</v>
      </c>
      <c r="B51" s="38"/>
      <c r="C51" s="38"/>
      <c r="D51" s="38"/>
      <c r="E51" s="38"/>
      <c r="F51" s="55">
        <f>F23/F45</f>
        <v>-2.0567092198581558</v>
      </c>
      <c r="G51" s="55">
        <f>G23/G45</f>
        <v>-1.4073252427184466</v>
      </c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</row>
    <row r="52" spans="1:118" x14ac:dyDescent="0.15"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</row>
    <row r="53" spans="1:118" x14ac:dyDescent="0.15">
      <c r="A53" s="6" t="s">
        <v>58</v>
      </c>
      <c r="B53" s="38"/>
      <c r="C53" s="38"/>
      <c r="D53" s="38"/>
      <c r="E53" s="38"/>
      <c r="F53" s="55"/>
      <c r="G53" s="55">
        <f t="shared" ref="G53:L53" si="71">G10/F10-1</f>
        <v>0.24713432279323944</v>
      </c>
      <c r="H53" s="55">
        <f>H10/G10-1</f>
        <v>0.39999999999999969</v>
      </c>
      <c r="I53" s="55">
        <f t="shared" si="71"/>
        <v>0.39999999999999991</v>
      </c>
      <c r="J53" s="55">
        <f t="shared" si="71"/>
        <v>0.39999999999999991</v>
      </c>
      <c r="K53" s="55">
        <f t="shared" si="71"/>
        <v>0.39999999999999991</v>
      </c>
      <c r="L53" s="55">
        <f t="shared" si="71"/>
        <v>0.39999999999999991</v>
      </c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</row>
  </sheetData>
  <hyperlinks>
    <hyperlink ref="A1" r:id="rId1" xr:uid="{00000000-0004-0000-0000-000000000000}"/>
    <hyperlink ref="P4" r:id="rId2" xr:uid="{CBCA994A-BC74-CB48-8009-AD2DE8254A02}"/>
    <hyperlink ref="A4" r:id="rId3" xr:uid="{741A8B4D-19A2-5A48-9F00-2808126CAB69}"/>
    <hyperlink ref="A8" r:id="rId4" xr:uid="{5AAA0731-2696-3C4C-85B5-10147C1B3A1B}"/>
    <hyperlink ref="A7" r:id="rId5" xr:uid="{F2473224-43D8-9D42-9A8B-40E31A9FA9BD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zoomScale="120" zoomScaleNormal="12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54" sqref="I54"/>
    </sheetView>
  </sheetViews>
  <sheetFormatPr baseColWidth="10" defaultRowHeight="13" x14ac:dyDescent="0.15"/>
  <cols>
    <col min="1" max="1" width="20.33203125" style="6" bestFit="1" customWidth="1"/>
    <col min="2" max="2" width="10.83203125" style="21"/>
    <col min="3" max="5" width="10.83203125" style="20"/>
    <col min="6" max="6" width="10.83203125" style="21"/>
    <col min="7" max="9" width="10.83203125" style="20"/>
    <col min="10" max="10" width="10.83203125" style="21"/>
    <col min="11" max="13" width="10.83203125" style="20"/>
    <col min="14" max="16384" width="10.83203125" style="6"/>
  </cols>
  <sheetData>
    <row r="1" spans="1:13" x14ac:dyDescent="0.15">
      <c r="A1" s="67" t="s">
        <v>33</v>
      </c>
      <c r="B1" s="22" t="s">
        <v>26</v>
      </c>
      <c r="C1" s="23" t="s">
        <v>27</v>
      </c>
      <c r="D1" s="23" t="s">
        <v>28</v>
      </c>
      <c r="E1" s="23" t="s">
        <v>29</v>
      </c>
      <c r="F1" s="22" t="s">
        <v>40</v>
      </c>
      <c r="G1" s="23" t="s">
        <v>41</v>
      </c>
      <c r="H1" s="23" t="s">
        <v>42</v>
      </c>
      <c r="I1" s="23" t="s">
        <v>43</v>
      </c>
      <c r="J1" s="22" t="s">
        <v>60</v>
      </c>
      <c r="K1" s="23" t="s">
        <v>65</v>
      </c>
      <c r="L1" s="23" t="s">
        <v>66</v>
      </c>
      <c r="M1" s="23" t="s">
        <v>61</v>
      </c>
    </row>
    <row r="2" spans="1:13" s="20" customFormat="1" x14ac:dyDescent="0.15">
      <c r="A2" s="1"/>
      <c r="B2" s="21"/>
      <c r="E2" s="57">
        <v>43465</v>
      </c>
      <c r="F2" s="21"/>
      <c r="H2" s="57">
        <v>43738</v>
      </c>
      <c r="I2" s="57">
        <v>43830</v>
      </c>
      <c r="J2" s="58"/>
      <c r="K2" s="57">
        <v>44012</v>
      </c>
      <c r="L2" s="57">
        <v>44104</v>
      </c>
    </row>
    <row r="3" spans="1:13" s="23" customFormat="1" x14ac:dyDescent="0.15">
      <c r="A3" s="8" t="s">
        <v>79</v>
      </c>
      <c r="B3" s="22"/>
      <c r="F3" s="22"/>
      <c r="H3" s="23">
        <v>96.801000000000002</v>
      </c>
      <c r="J3" s="22"/>
      <c r="L3" s="23">
        <v>162.56100000000001</v>
      </c>
    </row>
    <row r="4" spans="1:13" s="23" customFormat="1" x14ac:dyDescent="0.15">
      <c r="A4" s="8" t="s">
        <v>80</v>
      </c>
      <c r="B4" s="22"/>
      <c r="F4" s="22"/>
      <c r="H4" s="23">
        <v>93.74</v>
      </c>
      <c r="J4" s="22"/>
      <c r="L4" s="23">
        <v>126.80500000000001</v>
      </c>
    </row>
    <row r="5" spans="1:13" s="23" customFormat="1" x14ac:dyDescent="0.15">
      <c r="A5" s="68"/>
      <c r="B5" s="22"/>
      <c r="F5" s="22"/>
      <c r="J5" s="22"/>
    </row>
    <row r="6" spans="1:13" s="8" customFormat="1" x14ac:dyDescent="0.15">
      <c r="A6" s="8" t="s">
        <v>57</v>
      </c>
      <c r="B6" s="22"/>
      <c r="C6" s="23"/>
      <c r="D6" s="23"/>
      <c r="E6" s="23"/>
      <c r="F6" s="22"/>
      <c r="G6" s="23"/>
      <c r="H6" s="23">
        <v>190.541</v>
      </c>
      <c r="I6" s="23">
        <v>229</v>
      </c>
      <c r="J6" s="22"/>
      <c r="K6" s="23"/>
      <c r="L6" s="23">
        <v>289.36599999999999</v>
      </c>
      <c r="M6" s="23"/>
    </row>
    <row r="7" spans="1:13" s="39" customFormat="1" x14ac:dyDescent="0.15">
      <c r="F7" s="40"/>
      <c r="J7" s="40"/>
      <c r="M7" s="39">
        <v>299</v>
      </c>
    </row>
    <row r="8" spans="1:13" s="17" customFormat="1" x14ac:dyDescent="0.15">
      <c r="A8" s="17" t="s">
        <v>0</v>
      </c>
      <c r="B8" s="39"/>
      <c r="C8" s="39"/>
      <c r="D8" s="39"/>
      <c r="E8" s="24">
        <f t="shared" ref="E8:K8" si="0">SUM(E6:E6)</f>
        <v>0</v>
      </c>
      <c r="F8" s="25">
        <f t="shared" si="0"/>
        <v>0</v>
      </c>
      <c r="G8" s="24">
        <f t="shared" si="0"/>
        <v>0</v>
      </c>
      <c r="H8" s="24">
        <f>SUM(H3:H4)</f>
        <v>190.541</v>
      </c>
      <c r="I8" s="24">
        <f t="shared" si="0"/>
        <v>229</v>
      </c>
      <c r="J8" s="25">
        <f t="shared" si="0"/>
        <v>0</v>
      </c>
      <c r="K8" s="24">
        <f t="shared" si="0"/>
        <v>0</v>
      </c>
      <c r="L8" s="24">
        <f>SUM(L3:L4)</f>
        <v>289.36599999999999</v>
      </c>
      <c r="M8" s="49">
        <v>299</v>
      </c>
    </row>
    <row r="9" spans="1:13" s="8" customFormat="1" x14ac:dyDescent="0.15">
      <c r="A9" s="8" t="s">
        <v>1</v>
      </c>
      <c r="B9" s="39"/>
      <c r="C9" s="39"/>
      <c r="D9" s="39"/>
      <c r="E9" s="23">
        <v>359.26100000000002</v>
      </c>
      <c r="F9" s="22">
        <v>397.286</v>
      </c>
      <c r="G9" s="23">
        <v>407.488</v>
      </c>
      <c r="H9" s="50">
        <v>65.072999999999993</v>
      </c>
      <c r="I9" s="50"/>
      <c r="J9" s="22">
        <v>452</v>
      </c>
      <c r="K9" s="50">
        <v>415</v>
      </c>
      <c r="L9" s="50">
        <v>149.34</v>
      </c>
      <c r="M9" s="50"/>
    </row>
    <row r="10" spans="1:13" s="8" customFormat="1" x14ac:dyDescent="0.15">
      <c r="A10" s="8" t="s">
        <v>2</v>
      </c>
      <c r="B10" s="39"/>
      <c r="C10" s="39"/>
      <c r="D10" s="39"/>
      <c r="E10" s="26">
        <f t="shared" ref="E10:F10" si="1">E8-E9</f>
        <v>-359.26100000000002</v>
      </c>
      <c r="F10" s="27">
        <f t="shared" si="1"/>
        <v>-397.286</v>
      </c>
      <c r="G10" s="26">
        <f t="shared" ref="G10:L10" si="2">G8-G9</f>
        <v>-407.488</v>
      </c>
      <c r="H10" s="26">
        <f t="shared" si="2"/>
        <v>125.468</v>
      </c>
      <c r="I10" s="26">
        <f t="shared" si="2"/>
        <v>229</v>
      </c>
      <c r="J10" s="27">
        <f t="shared" ref="J10" si="3">J8-J9</f>
        <v>-452</v>
      </c>
      <c r="K10" s="26">
        <f t="shared" si="2"/>
        <v>-415</v>
      </c>
      <c r="L10" s="26">
        <f t="shared" si="2"/>
        <v>140.02599999999998</v>
      </c>
      <c r="M10" s="50"/>
    </row>
    <row r="11" spans="1:13" s="8" customFormat="1" x14ac:dyDescent="0.15">
      <c r="A11" s="8" t="s">
        <v>3</v>
      </c>
      <c r="B11" s="39"/>
      <c r="C11" s="39"/>
      <c r="D11" s="39"/>
      <c r="E11" s="23">
        <v>415.95800000000003</v>
      </c>
      <c r="F11" s="22">
        <v>464.637</v>
      </c>
      <c r="G11" s="23">
        <v>475.95800000000003</v>
      </c>
      <c r="H11" s="50">
        <v>76</v>
      </c>
      <c r="I11" s="50"/>
      <c r="J11" s="22">
        <v>532</v>
      </c>
      <c r="K11" s="50">
        <v>532</v>
      </c>
      <c r="L11" s="50">
        <v>314</v>
      </c>
      <c r="M11" s="50"/>
    </row>
    <row r="12" spans="1:13" s="8" customFormat="1" x14ac:dyDescent="0.15">
      <c r="A12" s="8" t="s">
        <v>4</v>
      </c>
      <c r="B12" s="39"/>
      <c r="C12" s="39"/>
      <c r="D12" s="39"/>
      <c r="E12" s="23">
        <v>723.57299999999998</v>
      </c>
      <c r="F12" s="22">
        <v>781.51800000000003</v>
      </c>
      <c r="G12" s="23">
        <v>848.92700000000002</v>
      </c>
      <c r="H12" s="50">
        <v>120</v>
      </c>
      <c r="I12" s="50"/>
      <c r="J12" s="22">
        <v>857</v>
      </c>
      <c r="K12" s="50">
        <v>901</v>
      </c>
      <c r="L12" s="50">
        <v>335</v>
      </c>
      <c r="M12" s="50"/>
    </row>
    <row r="13" spans="1:13" s="8" customFormat="1" x14ac:dyDescent="0.15">
      <c r="A13" s="8" t="s">
        <v>5</v>
      </c>
      <c r="B13" s="39"/>
      <c r="C13" s="39"/>
      <c r="D13" s="39"/>
      <c r="E13" s="23">
        <f>212.355+32.932</f>
        <v>245.28699999999998</v>
      </c>
      <c r="F13" s="22">
        <f>216.109+46.566</f>
        <v>262.67500000000001</v>
      </c>
      <c r="G13" s="23">
        <f>219.334+43.026</f>
        <v>262.36</v>
      </c>
      <c r="H13" s="50">
        <v>74</v>
      </c>
      <c r="I13" s="50"/>
      <c r="J13" s="22">
        <f>271+42</f>
        <v>313</v>
      </c>
      <c r="K13" s="50">
        <f>224+40</f>
        <v>264</v>
      </c>
      <c r="L13" s="50">
        <v>339</v>
      </c>
      <c r="M13" s="50"/>
    </row>
    <row r="14" spans="1:13" s="8" customFormat="1" x14ac:dyDescent="0.15">
      <c r="A14" s="8" t="s">
        <v>6</v>
      </c>
      <c r="B14" s="39"/>
      <c r="C14" s="39"/>
      <c r="D14" s="39"/>
      <c r="E14" s="26">
        <f t="shared" ref="E14:G14" si="4">SUM(E11:E13)</f>
        <v>1384.818</v>
      </c>
      <c r="F14" s="27">
        <f t="shared" si="4"/>
        <v>1508.83</v>
      </c>
      <c r="G14" s="26">
        <f t="shared" si="4"/>
        <v>1587.2449999999999</v>
      </c>
      <c r="H14" s="26">
        <f t="shared" ref="H14:I14" si="5">SUM(H11:H13)</f>
        <v>270</v>
      </c>
      <c r="I14" s="26">
        <f t="shared" si="5"/>
        <v>0</v>
      </c>
      <c r="J14" s="27">
        <f t="shared" ref="J14:L14" si="6">SUM(J11:J13)</f>
        <v>1702</v>
      </c>
      <c r="K14" s="26">
        <f t="shared" si="6"/>
        <v>1697</v>
      </c>
      <c r="L14" s="26">
        <f t="shared" si="6"/>
        <v>988</v>
      </c>
      <c r="M14" s="50"/>
    </row>
    <row r="15" spans="1:13" s="8" customFormat="1" x14ac:dyDescent="0.15">
      <c r="A15" s="8" t="s">
        <v>7</v>
      </c>
      <c r="B15" s="39"/>
      <c r="C15" s="39"/>
      <c r="D15" s="39"/>
      <c r="E15" s="26">
        <f t="shared" ref="E15:G15" si="7">E10-E14</f>
        <v>-1744.079</v>
      </c>
      <c r="F15" s="27">
        <f t="shared" si="7"/>
        <v>-1906.116</v>
      </c>
      <c r="G15" s="26">
        <f t="shared" si="7"/>
        <v>-1994.7329999999999</v>
      </c>
      <c r="H15" s="26">
        <f t="shared" ref="H15:I15" si="8">H10-H14</f>
        <v>-144.53199999999998</v>
      </c>
      <c r="I15" s="26">
        <f t="shared" si="8"/>
        <v>229</v>
      </c>
      <c r="J15" s="27">
        <f t="shared" ref="J15:L15" si="9">J10-J14</f>
        <v>-2154</v>
      </c>
      <c r="K15" s="26">
        <f t="shared" si="9"/>
        <v>-2112</v>
      </c>
      <c r="L15" s="26">
        <f t="shared" si="9"/>
        <v>-847.97400000000005</v>
      </c>
      <c r="M15" s="50"/>
    </row>
    <row r="16" spans="1:13" s="8" customFormat="1" x14ac:dyDescent="0.15">
      <c r="A16" s="8" t="s">
        <v>8</v>
      </c>
      <c r="B16" s="39"/>
      <c r="C16" s="39"/>
      <c r="D16" s="39"/>
      <c r="E16" s="23">
        <v>-21.329000000000001</v>
      </c>
      <c r="F16" s="22">
        <v>7.5039999999999996</v>
      </c>
      <c r="G16" s="23">
        <v>-38.774999999999999</v>
      </c>
      <c r="H16" s="50">
        <f>3+1+2</f>
        <v>6</v>
      </c>
      <c r="I16" s="50"/>
      <c r="J16" s="22">
        <v>-18</v>
      </c>
      <c r="K16" s="50">
        <f>-28+12</f>
        <v>-16</v>
      </c>
      <c r="L16" s="50">
        <f>-2-9-3</f>
        <v>-14</v>
      </c>
      <c r="M16" s="50"/>
    </row>
    <row r="17" spans="1:13" s="8" customFormat="1" x14ac:dyDescent="0.15">
      <c r="A17" s="8" t="s">
        <v>9</v>
      </c>
      <c r="B17" s="39"/>
      <c r="C17" s="39"/>
      <c r="D17" s="39"/>
      <c r="E17" s="26">
        <f t="shared" ref="E17:H17" si="10">E15+E16</f>
        <v>-1765.4079999999999</v>
      </c>
      <c r="F17" s="27">
        <f t="shared" si="10"/>
        <v>-1898.6120000000001</v>
      </c>
      <c r="G17" s="26">
        <f t="shared" si="10"/>
        <v>-2033.508</v>
      </c>
      <c r="H17" s="26">
        <f t="shared" si="10"/>
        <v>-138.53199999999998</v>
      </c>
      <c r="I17" s="26">
        <f t="shared" ref="I17" si="11">I15+I16</f>
        <v>229</v>
      </c>
      <c r="J17" s="27">
        <f t="shared" ref="J17:L17" si="12">J15+J16</f>
        <v>-2172</v>
      </c>
      <c r="K17" s="26">
        <f t="shared" si="12"/>
        <v>-2128</v>
      </c>
      <c r="L17" s="26">
        <f t="shared" si="12"/>
        <v>-861.97400000000005</v>
      </c>
      <c r="M17" s="50"/>
    </row>
    <row r="18" spans="1:13" s="8" customFormat="1" x14ac:dyDescent="0.15">
      <c r="A18" s="8" t="s">
        <v>10</v>
      </c>
      <c r="B18" s="39"/>
      <c r="C18" s="39"/>
      <c r="D18" s="39"/>
      <c r="E18" s="23">
        <v>20.977</v>
      </c>
      <c r="F18" s="22">
        <v>28.093</v>
      </c>
      <c r="G18" s="23">
        <v>78.179000000000002</v>
      </c>
      <c r="H18" s="23">
        <v>2</v>
      </c>
      <c r="I18" s="23"/>
      <c r="J18" s="22">
        <v>-36</v>
      </c>
      <c r="K18" s="23">
        <v>-100</v>
      </c>
      <c r="L18" s="23">
        <v>-9</v>
      </c>
      <c r="M18" s="23"/>
    </row>
    <row r="19" spans="1:13" s="46" customFormat="1" x14ac:dyDescent="0.15">
      <c r="A19" s="46" t="s">
        <v>56</v>
      </c>
      <c r="B19" s="39"/>
      <c r="C19" s="39"/>
      <c r="D19" s="39"/>
      <c r="E19" s="39"/>
      <c r="F19" s="40"/>
      <c r="G19" s="39"/>
      <c r="H19" s="39"/>
      <c r="I19" s="39"/>
      <c r="J19" s="40"/>
      <c r="K19" s="39"/>
      <c r="L19" s="39"/>
      <c r="M19" s="39"/>
    </row>
    <row r="20" spans="1:13" s="17" customFormat="1" x14ac:dyDescent="0.15">
      <c r="A20" s="17" t="s">
        <v>11</v>
      </c>
      <c r="B20" s="39"/>
      <c r="C20" s="39"/>
      <c r="D20" s="39"/>
      <c r="E20" s="24">
        <f t="shared" ref="E20:G20" si="13">E17-E18</f>
        <v>-1786.385</v>
      </c>
      <c r="F20" s="25">
        <f t="shared" si="13"/>
        <v>-1926.7050000000002</v>
      </c>
      <c r="G20" s="24">
        <f t="shared" si="13"/>
        <v>-2111.6869999999999</v>
      </c>
      <c r="H20" s="24">
        <f t="shared" ref="H20:I20" si="14">H17-H18</f>
        <v>-140.53199999999998</v>
      </c>
      <c r="I20" s="24">
        <f t="shared" si="14"/>
        <v>229</v>
      </c>
      <c r="J20" s="25">
        <f t="shared" ref="J20:L20" si="15">J17-J18</f>
        <v>-2136</v>
      </c>
      <c r="K20" s="24">
        <f t="shared" si="15"/>
        <v>-2028</v>
      </c>
      <c r="L20" s="24">
        <f t="shared" si="15"/>
        <v>-852.97400000000005</v>
      </c>
      <c r="M20" s="49"/>
    </row>
    <row r="21" spans="1:13" s="4" customFormat="1" x14ac:dyDescent="0.15">
      <c r="A21" s="4" t="s">
        <v>12</v>
      </c>
      <c r="B21" s="39"/>
      <c r="C21" s="39"/>
      <c r="D21" s="39"/>
      <c r="E21" s="59">
        <f t="shared" ref="E21:G21" si="16">IFERROR(E20/E22,0)</f>
        <v>-3.6074884690259053</v>
      </c>
      <c r="F21" s="60">
        <f t="shared" si="16"/>
        <v>-3.8987288238484146</v>
      </c>
      <c r="G21" s="59">
        <f t="shared" si="16"/>
        <v>-4.2901981260107434</v>
      </c>
      <c r="H21" s="59">
        <f t="shared" ref="H21:I21" si="17">IFERROR(H20/H22,0)</f>
        <v>-0.24225275994332926</v>
      </c>
      <c r="I21" s="59">
        <f t="shared" si="17"/>
        <v>0</v>
      </c>
      <c r="J21" s="60">
        <f t="shared" ref="J21:L21" si="18">IFERROR(J20/J22,0)</f>
        <v>-4.3770491803278686</v>
      </c>
      <c r="K21" s="59">
        <f t="shared" si="18"/>
        <v>-4.1814432989690724</v>
      </c>
      <c r="L21" s="59">
        <f t="shared" si="18"/>
        <v>-0.94203179214553689</v>
      </c>
      <c r="M21" s="61"/>
    </row>
    <row r="22" spans="1:13" s="8" customFormat="1" x14ac:dyDescent="0.15">
      <c r="A22" s="8" t="s">
        <v>13</v>
      </c>
      <c r="B22" s="39"/>
      <c r="C22" s="39"/>
      <c r="D22" s="39"/>
      <c r="E22" s="23">
        <v>495.18799999999999</v>
      </c>
      <c r="F22" s="22">
        <v>494.18799999999999</v>
      </c>
      <c r="G22" s="23">
        <v>492.21199999999999</v>
      </c>
      <c r="H22" s="50">
        <v>580.10484599999995</v>
      </c>
      <c r="I22" s="50"/>
      <c r="J22" s="22">
        <v>488</v>
      </c>
      <c r="K22" s="50">
        <v>485</v>
      </c>
      <c r="L22" s="50">
        <v>905.46200999999996</v>
      </c>
      <c r="M22" s="50"/>
    </row>
    <row r="23" spans="1:13" s="41" customFormat="1" x14ac:dyDescent="0.15">
      <c r="B23" s="39"/>
      <c r="C23" s="39"/>
      <c r="D23" s="39"/>
      <c r="E23" s="39"/>
      <c r="F23" s="56"/>
      <c r="J23" s="56"/>
    </row>
    <row r="24" spans="1:13" x14ac:dyDescent="0.15">
      <c r="A24" s="6" t="s">
        <v>15</v>
      </c>
      <c r="B24" s="39"/>
      <c r="C24" s="39"/>
      <c r="D24" s="39"/>
      <c r="E24" s="33">
        <f t="shared" ref="E24" si="19">IFERROR(E10/E8,0)</f>
        <v>0</v>
      </c>
      <c r="F24" s="34">
        <f t="shared" ref="F24:G24" si="20">IFERROR(F10/F8,0)</f>
        <v>0</v>
      </c>
      <c r="G24" s="33">
        <f t="shared" si="20"/>
        <v>0</v>
      </c>
      <c r="H24" s="33">
        <f t="shared" ref="H24:J24" si="21">IFERROR(H10/H8,0)</f>
        <v>0.65848295117586242</v>
      </c>
      <c r="I24" s="33">
        <f t="shared" ref="I24" si="22">IFERROR(I10/I8,0)</f>
        <v>1</v>
      </c>
      <c r="J24" s="34">
        <f t="shared" si="21"/>
        <v>0</v>
      </c>
      <c r="K24" s="33">
        <f t="shared" ref="K24:L24" si="23">IFERROR(K10/K8,0)</f>
        <v>0</v>
      </c>
      <c r="L24" s="33">
        <f t="shared" si="23"/>
        <v>0.48390619492269304</v>
      </c>
      <c r="M24" s="33"/>
    </row>
    <row r="25" spans="1:13" x14ac:dyDescent="0.15">
      <c r="A25" s="6" t="s">
        <v>16</v>
      </c>
      <c r="B25" s="39"/>
      <c r="C25" s="39"/>
      <c r="D25" s="39"/>
      <c r="E25" s="35">
        <f t="shared" ref="E25" si="24">IFERROR(E15/E8,0)</f>
        <v>0</v>
      </c>
      <c r="F25" s="36">
        <f t="shared" ref="F25:G25" si="25">IFERROR(F15/F8,0)</f>
        <v>0</v>
      </c>
      <c r="G25" s="35">
        <f t="shared" si="25"/>
        <v>0</v>
      </c>
      <c r="H25" s="35">
        <f t="shared" ref="H25:J25" si="26">IFERROR(H15/H8,0)</f>
        <v>-0.7585349084973837</v>
      </c>
      <c r="I25" s="35">
        <f t="shared" ref="I25" si="27">IFERROR(I15/I8,0)</f>
        <v>1</v>
      </c>
      <c r="J25" s="36">
        <f t="shared" si="26"/>
        <v>0</v>
      </c>
      <c r="K25" s="35">
        <f t="shared" ref="K25:L25" si="28">IFERROR(K15/K8,0)</f>
        <v>0</v>
      </c>
      <c r="L25" s="35">
        <f t="shared" si="28"/>
        <v>-2.9304548564793378</v>
      </c>
      <c r="M25" s="35"/>
    </row>
    <row r="26" spans="1:13" x14ac:dyDescent="0.15">
      <c r="A26" s="6" t="s">
        <v>17</v>
      </c>
      <c r="B26" s="39"/>
      <c r="C26" s="39"/>
      <c r="D26" s="39"/>
      <c r="E26" s="35">
        <f t="shared" ref="E26" si="29">IFERROR(E18/E17,0)</f>
        <v>-1.1882239119795537E-2</v>
      </c>
      <c r="F26" s="36">
        <f t="shared" ref="F26:G26" si="30">IFERROR(F18/F17,0)</f>
        <v>-1.4796598778476064E-2</v>
      </c>
      <c r="G26" s="35">
        <f t="shared" si="30"/>
        <v>-3.8445386002907291E-2</v>
      </c>
      <c r="H26" s="35">
        <f t="shared" ref="H26:J26" si="31">IFERROR(H18/H17,0)</f>
        <v>-1.4437097565905352E-2</v>
      </c>
      <c r="I26" s="35">
        <f t="shared" ref="I26" si="32">IFERROR(I18/I17,0)</f>
        <v>0</v>
      </c>
      <c r="J26" s="36">
        <f t="shared" si="31"/>
        <v>1.6574585635359115E-2</v>
      </c>
      <c r="K26" s="35">
        <f t="shared" ref="K26:L26" si="33">IFERROR(K18/K17,0)</f>
        <v>4.6992481203007516E-2</v>
      </c>
      <c r="L26" s="35">
        <f t="shared" si="33"/>
        <v>1.0441150197105713E-2</v>
      </c>
      <c r="M26" s="35"/>
    </row>
    <row r="27" spans="1:13" s="41" customFormat="1" x14ac:dyDescent="0.15">
      <c r="B27" s="39"/>
      <c r="C27" s="39"/>
      <c r="D27" s="39"/>
      <c r="E27" s="39"/>
      <c r="F27" s="56"/>
      <c r="J27" s="56"/>
    </row>
    <row r="28" spans="1:13" s="12" customFormat="1" x14ac:dyDescent="0.15">
      <c r="A28" s="12" t="s">
        <v>14</v>
      </c>
      <c r="B28" s="39"/>
      <c r="C28" s="39"/>
      <c r="D28" s="39"/>
      <c r="E28" s="29">
        <f>IFERROR((E8/#REF!)-1,0)</f>
        <v>0</v>
      </c>
      <c r="F28" s="30">
        <f t="shared" ref="F28:L28" si="34">IFERROR((F8/B8)-1,0)</f>
        <v>0</v>
      </c>
      <c r="G28" s="29">
        <f t="shared" si="34"/>
        <v>0</v>
      </c>
      <c r="H28" s="29">
        <f t="shared" si="34"/>
        <v>0</v>
      </c>
      <c r="I28" s="29">
        <f t="shared" si="34"/>
        <v>0</v>
      </c>
      <c r="J28" s="30">
        <f t="shared" ref="J28" si="35">IFERROR((J8/F8)-1,0)</f>
        <v>0</v>
      </c>
      <c r="K28" s="29">
        <f t="shared" si="34"/>
        <v>0</v>
      </c>
      <c r="L28" s="29">
        <f t="shared" si="34"/>
        <v>0.51865477771188351</v>
      </c>
      <c r="M28" s="29">
        <f>IFERROR((M8/I8)-1,0)</f>
        <v>0.30567685589519655</v>
      </c>
    </row>
    <row r="29" spans="1:13" s="12" customFormat="1" x14ac:dyDescent="0.15">
      <c r="A29" s="6" t="s">
        <v>30</v>
      </c>
      <c r="B29" s="39"/>
      <c r="C29" s="39"/>
      <c r="D29" s="39"/>
      <c r="E29" s="31" t="e">
        <f>E11/#REF!-1</f>
        <v>#REF!</v>
      </c>
      <c r="F29" s="32" t="e">
        <f t="shared" ref="F29:L32" si="36">F11/B11-1</f>
        <v>#DIV/0!</v>
      </c>
      <c r="G29" s="31" t="e">
        <f t="shared" si="36"/>
        <v>#DIV/0!</v>
      </c>
      <c r="H29" s="31" t="e">
        <f t="shared" si="36"/>
        <v>#DIV/0!</v>
      </c>
      <c r="I29" s="31">
        <f t="shared" si="36"/>
        <v>-1</v>
      </c>
      <c r="J29" s="32">
        <f t="shared" ref="J29:J31" si="37">J11/F11-1</f>
        <v>0.14497984448074508</v>
      </c>
      <c r="K29" s="31">
        <f t="shared" si="36"/>
        <v>0.11774568344265668</v>
      </c>
      <c r="L29" s="31">
        <f t="shared" si="36"/>
        <v>3.1315789473684212</v>
      </c>
      <c r="M29" s="31"/>
    </row>
    <row r="30" spans="1:13" s="12" customFormat="1" x14ac:dyDescent="0.15">
      <c r="A30" s="6" t="s">
        <v>31</v>
      </c>
      <c r="B30" s="39"/>
      <c r="C30" s="39"/>
      <c r="D30" s="39"/>
      <c r="E30" s="31" t="e">
        <f>E12/#REF!-1</f>
        <v>#REF!</v>
      </c>
      <c r="F30" s="32" t="e">
        <f t="shared" si="36"/>
        <v>#DIV/0!</v>
      </c>
      <c r="G30" s="31" t="e">
        <f t="shared" si="36"/>
        <v>#DIV/0!</v>
      </c>
      <c r="H30" s="31" t="e">
        <f t="shared" si="36"/>
        <v>#DIV/0!</v>
      </c>
      <c r="I30" s="31">
        <f t="shared" si="36"/>
        <v>-1</v>
      </c>
      <c r="J30" s="32">
        <f t="shared" si="37"/>
        <v>9.6583827883682805E-2</v>
      </c>
      <c r="K30" s="31">
        <f t="shared" si="36"/>
        <v>6.1339785399686875E-2</v>
      </c>
      <c r="L30" s="31">
        <f t="shared" si="36"/>
        <v>1.7916666666666665</v>
      </c>
      <c r="M30" s="31"/>
    </row>
    <row r="31" spans="1:13" s="12" customFormat="1" x14ac:dyDescent="0.15">
      <c r="A31" s="6" t="s">
        <v>32</v>
      </c>
      <c r="B31" s="39"/>
      <c r="C31" s="39"/>
      <c r="D31" s="39"/>
      <c r="E31" s="31" t="e">
        <f>E13/#REF!-1</f>
        <v>#REF!</v>
      </c>
      <c r="F31" s="32" t="e">
        <f t="shared" si="36"/>
        <v>#DIV/0!</v>
      </c>
      <c r="G31" s="31" t="e">
        <f t="shared" si="36"/>
        <v>#DIV/0!</v>
      </c>
      <c r="H31" s="31" t="e">
        <f t="shared" si="36"/>
        <v>#DIV/0!</v>
      </c>
      <c r="I31" s="31">
        <f t="shared" si="36"/>
        <v>-1</v>
      </c>
      <c r="J31" s="32">
        <f t="shared" si="37"/>
        <v>0.19158656134005891</v>
      </c>
      <c r="K31" s="31">
        <f t="shared" si="36"/>
        <v>6.2509528891598887E-3</v>
      </c>
      <c r="L31" s="31">
        <f t="shared" si="36"/>
        <v>3.5810810810810807</v>
      </c>
      <c r="M31" s="31"/>
    </row>
    <row r="32" spans="1:13" x14ac:dyDescent="0.15">
      <c r="A32" s="6" t="s">
        <v>59</v>
      </c>
      <c r="B32" s="39"/>
      <c r="C32" s="39"/>
      <c r="D32" s="39"/>
      <c r="E32" s="33" t="e">
        <f>E14/#REF!-1</f>
        <v>#REF!</v>
      </c>
      <c r="F32" s="34" t="e">
        <f>F14/B14-1</f>
        <v>#DIV/0!</v>
      </c>
      <c r="G32" s="33" t="e">
        <f t="shared" si="36"/>
        <v>#DIV/0!</v>
      </c>
      <c r="H32" s="33" t="e">
        <f t="shared" si="36"/>
        <v>#DIV/0!</v>
      </c>
      <c r="I32" s="33">
        <f t="shared" si="36"/>
        <v>-1</v>
      </c>
      <c r="J32" s="34">
        <f>J14/F14-1</f>
        <v>0.12802635154391151</v>
      </c>
      <c r="K32" s="33">
        <f t="shared" si="36"/>
        <v>6.9148115130304388E-2</v>
      </c>
      <c r="L32" s="33">
        <f t="shared" si="36"/>
        <v>2.6592592592592594</v>
      </c>
      <c r="M32" s="33"/>
    </row>
    <row r="33" spans="1:13" x14ac:dyDescent="0.15">
      <c r="B33" s="39"/>
      <c r="C33" s="39"/>
      <c r="D33" s="39"/>
      <c r="E33" s="44"/>
      <c r="G33" s="44"/>
    </row>
    <row r="34" spans="1:13" s="17" customFormat="1" x14ac:dyDescent="0.15">
      <c r="A34" s="17" t="s">
        <v>18</v>
      </c>
      <c r="B34" s="39"/>
      <c r="C34" s="39"/>
      <c r="D34" s="39"/>
      <c r="E34" s="24">
        <f t="shared" ref="E34:G34" si="38">E35-E36</f>
        <v>1126</v>
      </c>
      <c r="F34" s="25">
        <f t="shared" si="38"/>
        <v>0</v>
      </c>
      <c r="G34" s="24">
        <f t="shared" si="38"/>
        <v>0</v>
      </c>
      <c r="H34" s="24">
        <f t="shared" ref="H34" si="39">H35-H36</f>
        <v>735</v>
      </c>
      <c r="I34" s="24">
        <f t="shared" ref="I34" si="40">I35-I36</f>
        <v>735</v>
      </c>
      <c r="J34" s="25">
        <f t="shared" ref="J34:L34" si="41">J35-J36</f>
        <v>0</v>
      </c>
      <c r="K34" s="24">
        <f t="shared" si="41"/>
        <v>1237</v>
      </c>
      <c r="L34" s="24">
        <f t="shared" si="41"/>
        <v>1646</v>
      </c>
      <c r="M34" s="45"/>
    </row>
    <row r="35" spans="1:13" s="8" customFormat="1" x14ac:dyDescent="0.15">
      <c r="A35" s="8" t="s">
        <v>19</v>
      </c>
      <c r="B35" s="39"/>
      <c r="C35" s="39"/>
      <c r="D35" s="39"/>
      <c r="E35" s="23">
        <f>1116+10</f>
        <v>1126</v>
      </c>
      <c r="F35" s="22"/>
      <c r="G35" s="23"/>
      <c r="H35" s="23">
        <f>1079+52</f>
        <v>1131</v>
      </c>
      <c r="I35" s="23">
        <f>1079+52</f>
        <v>1131</v>
      </c>
      <c r="J35" s="22"/>
      <c r="K35" s="23">
        <f>1498+37</f>
        <v>1535</v>
      </c>
      <c r="L35" s="23">
        <f>1800+44</f>
        <v>1844</v>
      </c>
      <c r="M35" s="23"/>
    </row>
    <row r="36" spans="1:13" s="8" customFormat="1" x14ac:dyDescent="0.15">
      <c r="A36" s="8" t="s">
        <v>20</v>
      </c>
      <c r="B36" s="39"/>
      <c r="C36" s="39"/>
      <c r="D36" s="39"/>
      <c r="E36" s="23">
        <v>0</v>
      </c>
      <c r="F36" s="22"/>
      <c r="G36" s="23"/>
      <c r="H36" s="23">
        <v>396</v>
      </c>
      <c r="I36" s="23">
        <v>396</v>
      </c>
      <c r="J36" s="22"/>
      <c r="K36" s="23">
        <v>298</v>
      </c>
      <c r="L36" s="23">
        <v>198</v>
      </c>
      <c r="M36" s="23"/>
    </row>
    <row r="37" spans="1:13" s="8" customFormat="1" x14ac:dyDescent="0.15">
      <c r="B37" s="39"/>
      <c r="C37" s="39"/>
      <c r="D37" s="39"/>
      <c r="E37" s="23"/>
      <c r="F37" s="22"/>
      <c r="G37" s="23"/>
      <c r="H37" s="23"/>
      <c r="I37" s="23"/>
      <c r="J37" s="22"/>
      <c r="K37" s="23"/>
      <c r="L37" s="23"/>
      <c r="M37" s="23"/>
    </row>
    <row r="38" spans="1:13" s="8" customFormat="1" x14ac:dyDescent="0.15">
      <c r="A38" s="62" t="s">
        <v>44</v>
      </c>
      <c r="B38" s="39"/>
      <c r="C38" s="39"/>
      <c r="D38" s="39"/>
      <c r="E38" s="23">
        <v>23</v>
      </c>
      <c r="F38" s="22"/>
      <c r="G38" s="23"/>
      <c r="H38" s="23">
        <v>78</v>
      </c>
      <c r="I38" s="23">
        <v>51</v>
      </c>
      <c r="J38" s="22"/>
      <c r="K38" s="23">
        <v>55</v>
      </c>
      <c r="L38" s="23">
        <v>94</v>
      </c>
      <c r="M38" s="23"/>
    </row>
    <row r="39" spans="1:13" s="8" customFormat="1" x14ac:dyDescent="0.15">
      <c r="A39" s="62" t="s">
        <v>45</v>
      </c>
      <c r="B39" s="39"/>
      <c r="C39" s="39"/>
      <c r="D39" s="39"/>
      <c r="E39" s="23">
        <v>1431</v>
      </c>
      <c r="F39" s="22"/>
      <c r="G39" s="23"/>
      <c r="H39" s="23">
        <v>1594</v>
      </c>
      <c r="I39" s="23">
        <v>1594</v>
      </c>
      <c r="J39" s="22"/>
      <c r="K39" s="23">
        <v>1892</v>
      </c>
      <c r="L39" s="23">
        <v>2604</v>
      </c>
      <c r="M39" s="23"/>
    </row>
    <row r="40" spans="1:13" s="8" customFormat="1" x14ac:dyDescent="0.15">
      <c r="A40" s="62" t="s">
        <v>46</v>
      </c>
      <c r="B40" s="39"/>
      <c r="C40" s="39"/>
      <c r="D40" s="39"/>
      <c r="E40" s="23">
        <v>923</v>
      </c>
      <c r="F40" s="22"/>
      <c r="G40" s="23"/>
      <c r="H40" s="23">
        <v>1447</v>
      </c>
      <c r="I40" s="23">
        <v>1447</v>
      </c>
      <c r="J40" s="22"/>
      <c r="K40" s="23">
        <v>1163</v>
      </c>
      <c r="L40" s="23">
        <v>1352</v>
      </c>
      <c r="M40" s="23"/>
    </row>
    <row r="41" spans="1:13" s="8" customFormat="1" x14ac:dyDescent="0.15">
      <c r="B41" s="39"/>
      <c r="C41" s="39"/>
      <c r="D41" s="39"/>
      <c r="E41" s="23"/>
      <c r="F41" s="22"/>
      <c r="G41" s="23"/>
      <c r="H41" s="23"/>
      <c r="I41" s="23"/>
      <c r="J41" s="22"/>
      <c r="K41" s="23"/>
      <c r="L41" s="23"/>
      <c r="M41" s="23"/>
    </row>
    <row r="42" spans="1:13" s="8" customFormat="1" x14ac:dyDescent="0.15">
      <c r="A42" s="62" t="s">
        <v>47</v>
      </c>
      <c r="B42" s="39"/>
      <c r="C42" s="39"/>
      <c r="D42" s="39"/>
      <c r="E42" s="26">
        <f t="shared" ref="E42:J42" si="42">E39-E35-E38</f>
        <v>282</v>
      </c>
      <c r="F42" s="27">
        <f t="shared" si="42"/>
        <v>0</v>
      </c>
      <c r="G42" s="26">
        <f t="shared" si="42"/>
        <v>0</v>
      </c>
      <c r="H42" s="26">
        <f t="shared" si="42"/>
        <v>385</v>
      </c>
      <c r="I42" s="26">
        <f t="shared" si="42"/>
        <v>412</v>
      </c>
      <c r="J42" s="27">
        <f t="shared" si="42"/>
        <v>0</v>
      </c>
      <c r="K42" s="26">
        <f t="shared" ref="K42:L42" si="43">K39-K35-K38</f>
        <v>302</v>
      </c>
      <c r="L42" s="26">
        <f t="shared" si="43"/>
        <v>666</v>
      </c>
      <c r="M42" s="23"/>
    </row>
    <row r="43" spans="1:13" s="8" customFormat="1" x14ac:dyDescent="0.15">
      <c r="A43" s="62" t="s">
        <v>48</v>
      </c>
      <c r="B43" s="39"/>
      <c r="C43" s="39"/>
      <c r="D43" s="39"/>
      <c r="E43" s="26">
        <f t="shared" ref="E43:G43" si="44">E39-E40</f>
        <v>508</v>
      </c>
      <c r="F43" s="27">
        <f t="shared" si="44"/>
        <v>0</v>
      </c>
      <c r="G43" s="26">
        <f t="shared" si="44"/>
        <v>0</v>
      </c>
      <c r="H43" s="26">
        <f>H39-H40</f>
        <v>147</v>
      </c>
      <c r="I43" s="26">
        <f>I39-I40</f>
        <v>147</v>
      </c>
      <c r="J43" s="27">
        <f t="shared" ref="J43" si="45">J39-J40</f>
        <v>0</v>
      </c>
      <c r="K43" s="26">
        <f>K39-K40</f>
        <v>729</v>
      </c>
      <c r="L43" s="26">
        <f>L39-L40</f>
        <v>1252</v>
      </c>
      <c r="M43" s="23"/>
    </row>
    <row r="44" spans="1:13" s="8" customFormat="1" x14ac:dyDescent="0.15">
      <c r="B44" s="39"/>
      <c r="C44" s="39"/>
      <c r="D44" s="39"/>
      <c r="E44" s="23"/>
      <c r="F44" s="22"/>
      <c r="G44" s="23"/>
      <c r="H44" s="23"/>
      <c r="I44" s="23"/>
      <c r="J44" s="22"/>
      <c r="K44" s="23"/>
      <c r="L44" s="23"/>
      <c r="M44" s="23"/>
    </row>
    <row r="45" spans="1:13" s="17" customFormat="1" x14ac:dyDescent="0.15">
      <c r="A45" s="63" t="s">
        <v>49</v>
      </c>
      <c r="B45" s="39"/>
      <c r="C45" s="39"/>
      <c r="D45" s="39"/>
      <c r="E45" s="24">
        <f t="shared" ref="E45:I45" si="46">SUM(B20:E20)</f>
        <v>-1786.385</v>
      </c>
      <c r="F45" s="25">
        <f t="shared" si="46"/>
        <v>-3713.09</v>
      </c>
      <c r="G45" s="24">
        <f t="shared" si="46"/>
        <v>-5824.777</v>
      </c>
      <c r="H45" s="24">
        <f t="shared" si="46"/>
        <v>-5965.3090000000002</v>
      </c>
      <c r="I45" s="24">
        <f t="shared" si="46"/>
        <v>-3949.924</v>
      </c>
      <c r="J45" s="25">
        <f t="shared" ref="J45" si="47">SUM(G20:J20)</f>
        <v>-4159.2190000000001</v>
      </c>
      <c r="K45" s="24">
        <f>SUM(H20:K20)</f>
        <v>-4075.5320000000002</v>
      </c>
      <c r="L45" s="24">
        <f>SUM(I20:L20)</f>
        <v>-4787.9740000000002</v>
      </c>
      <c r="M45" s="45"/>
    </row>
    <row r="46" spans="1:13" x14ac:dyDescent="0.15">
      <c r="A46" s="18" t="s">
        <v>50</v>
      </c>
      <c r="B46" s="39"/>
      <c r="C46" s="39"/>
      <c r="D46" s="39"/>
      <c r="E46" s="33">
        <f t="shared" ref="E46:J46" si="48">E45/E43</f>
        <v>-3.5165059055118109</v>
      </c>
      <c r="F46" s="34" t="e">
        <f t="shared" si="48"/>
        <v>#DIV/0!</v>
      </c>
      <c r="G46" s="33" t="e">
        <f t="shared" si="48"/>
        <v>#DIV/0!</v>
      </c>
      <c r="H46" s="33">
        <f t="shared" si="48"/>
        <v>-40.580333333333336</v>
      </c>
      <c r="I46" s="33">
        <f t="shared" si="48"/>
        <v>-26.870231292517008</v>
      </c>
      <c r="J46" s="34" t="e">
        <f t="shared" si="48"/>
        <v>#DIV/0!</v>
      </c>
      <c r="K46" s="33">
        <f t="shared" ref="K46:L46" si="49">K45/K43</f>
        <v>-5.5905788751714676</v>
      </c>
      <c r="L46" s="33">
        <f t="shared" si="49"/>
        <v>-3.8242603833865818</v>
      </c>
    </row>
    <row r="47" spans="1:13" x14ac:dyDescent="0.15">
      <c r="A47" s="18" t="s">
        <v>51</v>
      </c>
      <c r="B47" s="39"/>
      <c r="C47" s="39"/>
      <c r="D47" s="39"/>
      <c r="E47" s="33">
        <f t="shared" ref="E47:J47" si="50">E45/E39</f>
        <v>-1.2483473095737248</v>
      </c>
      <c r="F47" s="34" t="e">
        <f t="shared" si="50"/>
        <v>#DIV/0!</v>
      </c>
      <c r="G47" s="33" t="e">
        <f t="shared" si="50"/>
        <v>#DIV/0!</v>
      </c>
      <c r="H47" s="33">
        <f t="shared" si="50"/>
        <v>-3.7423519447929738</v>
      </c>
      <c r="I47" s="33">
        <f t="shared" si="50"/>
        <v>-2.4779949811794229</v>
      </c>
      <c r="J47" s="34" t="e">
        <f t="shared" si="50"/>
        <v>#DIV/0!</v>
      </c>
      <c r="K47" s="33">
        <f t="shared" ref="K47:L47" si="51">K45/K39</f>
        <v>-2.1540866807610994</v>
      </c>
      <c r="L47" s="33">
        <f t="shared" si="51"/>
        <v>-1.8386996927803381</v>
      </c>
    </row>
    <row r="48" spans="1:13" x14ac:dyDescent="0.15">
      <c r="A48" s="18" t="s">
        <v>52</v>
      </c>
      <c r="B48" s="39"/>
      <c r="C48" s="39"/>
      <c r="D48" s="39"/>
      <c r="E48" s="33">
        <f t="shared" ref="E48:J48" si="52">E45/(E43-E38)</f>
        <v>-3.6832680412371133</v>
      </c>
      <c r="F48" s="34" t="e">
        <f t="shared" si="52"/>
        <v>#DIV/0!</v>
      </c>
      <c r="G48" s="33" t="e">
        <f t="shared" si="52"/>
        <v>#DIV/0!</v>
      </c>
      <c r="H48" s="33">
        <f t="shared" si="52"/>
        <v>-86.453753623188405</v>
      </c>
      <c r="I48" s="33">
        <f t="shared" si="52"/>
        <v>-41.145041666666664</v>
      </c>
      <c r="J48" s="34" t="e">
        <f t="shared" si="52"/>
        <v>#DIV/0!</v>
      </c>
      <c r="K48" s="33">
        <f t="shared" ref="K48:L48" si="53">K45/(K43-K38)</f>
        <v>-6.046783382789318</v>
      </c>
      <c r="L48" s="33">
        <f t="shared" si="53"/>
        <v>-4.1346925734024182</v>
      </c>
    </row>
    <row r="49" spans="1:13" x14ac:dyDescent="0.15">
      <c r="A49" s="18" t="s">
        <v>53</v>
      </c>
      <c r="B49" s="39"/>
      <c r="C49" s="39"/>
      <c r="D49" s="39"/>
      <c r="E49" s="33">
        <f t="shared" ref="E49:J49" si="54">E45/E42</f>
        <v>-6.3346985815602839</v>
      </c>
      <c r="F49" s="34" t="e">
        <f t="shared" si="54"/>
        <v>#DIV/0!</v>
      </c>
      <c r="G49" s="33" t="e">
        <f t="shared" si="54"/>
        <v>#DIV/0!</v>
      </c>
      <c r="H49" s="33">
        <f t="shared" si="54"/>
        <v>-15.494309090909091</v>
      </c>
      <c r="I49" s="33">
        <f t="shared" si="54"/>
        <v>-9.5871941747572809</v>
      </c>
      <c r="J49" s="34" t="e">
        <f t="shared" si="54"/>
        <v>#DIV/0!</v>
      </c>
      <c r="K49" s="33">
        <f t="shared" ref="K49:L49" si="55">K45/K42</f>
        <v>-13.495139072847683</v>
      </c>
      <c r="L49" s="33">
        <f t="shared" si="55"/>
        <v>-7.1891501501501507</v>
      </c>
    </row>
    <row r="50" spans="1:13" x14ac:dyDescent="0.15">
      <c r="B50" s="39"/>
      <c r="C50" s="39"/>
      <c r="D50" s="39"/>
    </row>
    <row r="51" spans="1:13" x14ac:dyDescent="0.15">
      <c r="A51" s="6" t="s">
        <v>58</v>
      </c>
      <c r="B51" s="39"/>
      <c r="C51" s="39"/>
      <c r="D51" s="39"/>
      <c r="E51" s="33" t="e">
        <f>E6/#REF!-1</f>
        <v>#REF!</v>
      </c>
      <c r="F51" s="34" t="e">
        <f t="shared" ref="F51:L51" si="56">F6/B6-1</f>
        <v>#DIV/0!</v>
      </c>
      <c r="G51" s="33" t="e">
        <f t="shared" si="56"/>
        <v>#DIV/0!</v>
      </c>
      <c r="H51" s="33" t="e">
        <f t="shared" si="56"/>
        <v>#DIV/0!</v>
      </c>
      <c r="I51" s="33" t="e">
        <f t="shared" si="56"/>
        <v>#DIV/0!</v>
      </c>
      <c r="J51" s="34" t="e">
        <f t="shared" si="56"/>
        <v>#DIV/0!</v>
      </c>
      <c r="K51" s="33" t="e">
        <f t="shared" si="56"/>
        <v>#DIV/0!</v>
      </c>
      <c r="L51" s="33">
        <f t="shared" si="56"/>
        <v>0.51865477771188351</v>
      </c>
      <c r="M51" s="33"/>
    </row>
    <row r="52" spans="1:13" x14ac:dyDescent="0.15">
      <c r="B52" s="39"/>
      <c r="C52" s="39"/>
      <c r="D52" s="39"/>
    </row>
    <row r="53" spans="1:13" s="69" customFormat="1" x14ac:dyDescent="0.15">
      <c r="A53" s="69" t="s">
        <v>81</v>
      </c>
      <c r="B53" s="34"/>
      <c r="C53" s="33"/>
      <c r="D53" s="33"/>
      <c r="E53" s="33"/>
      <c r="F53" s="34"/>
      <c r="G53" s="33"/>
      <c r="H53" s="33"/>
      <c r="I53" s="33"/>
      <c r="J53" s="34"/>
      <c r="K53" s="33"/>
      <c r="L53" s="33">
        <f>L3/H3-1</f>
        <v>0.67933182508445156</v>
      </c>
      <c r="M53" s="33"/>
    </row>
    <row r="54" spans="1:13" s="69" customFormat="1" x14ac:dyDescent="0.15">
      <c r="A54" s="69" t="s">
        <v>82</v>
      </c>
      <c r="B54" s="34"/>
      <c r="C54" s="33"/>
      <c r="D54" s="33"/>
      <c r="E54" s="33"/>
      <c r="F54" s="34"/>
      <c r="G54" s="33"/>
      <c r="H54" s="33"/>
      <c r="I54" s="33"/>
      <c r="J54" s="34"/>
      <c r="K54" s="33"/>
      <c r="L54" s="33">
        <f>L4/H4-1</f>
        <v>0.35273095796885023</v>
      </c>
      <c r="M54" s="33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25"/>
  <sheetViews>
    <sheetView zoomScale="120" zoomScaleNormal="120" workbookViewId="0">
      <selection activeCell="B11" sqref="B11"/>
    </sheetView>
  </sheetViews>
  <sheetFormatPr baseColWidth="10" defaultRowHeight="13" x14ac:dyDescent="0.15"/>
  <cols>
    <col min="1" max="1" width="10.83203125" style="3"/>
    <col min="2" max="2" width="19.33203125" style="3" bestFit="1" customWidth="1"/>
    <col min="3" max="3" width="29.6640625" style="3" bestFit="1" customWidth="1"/>
    <col min="4" max="4" width="35.33203125" style="3" bestFit="1" customWidth="1"/>
    <col min="5" max="16384" width="10.83203125" style="3"/>
  </cols>
  <sheetData>
    <row r="3" spans="2:4" x14ac:dyDescent="0.15">
      <c r="B3" s="70" t="s">
        <v>75</v>
      </c>
    </row>
    <row r="5" spans="2:4" x14ac:dyDescent="0.15">
      <c r="B5" s="3" t="s">
        <v>70</v>
      </c>
      <c r="C5" s="3" t="s">
        <v>76</v>
      </c>
      <c r="D5" s="2" t="s">
        <v>77</v>
      </c>
    </row>
    <row r="6" spans="2:4" x14ac:dyDescent="0.15">
      <c r="B6" s="3" t="s">
        <v>71</v>
      </c>
      <c r="C6" s="3" t="s">
        <v>72</v>
      </c>
      <c r="D6" s="2" t="s">
        <v>78</v>
      </c>
    </row>
    <row r="7" spans="2:4" x14ac:dyDescent="0.15">
      <c r="B7" s="3" t="s">
        <v>73</v>
      </c>
      <c r="C7" s="3" t="s">
        <v>74</v>
      </c>
    </row>
    <row r="10" spans="2:4" x14ac:dyDescent="0.15">
      <c r="B10" s="3" t="s">
        <v>91</v>
      </c>
      <c r="C10" s="16">
        <v>158000</v>
      </c>
    </row>
    <row r="11" spans="2:4" x14ac:dyDescent="0.15">
      <c r="B11" s="3" t="s">
        <v>92</v>
      </c>
      <c r="C11" s="16">
        <v>63000</v>
      </c>
    </row>
    <row r="17" spans="2:4" x14ac:dyDescent="0.15">
      <c r="B17" s="70" t="s">
        <v>90</v>
      </c>
    </row>
    <row r="19" spans="2:4" x14ac:dyDescent="0.15">
      <c r="B19" s="3" t="s">
        <v>83</v>
      </c>
      <c r="C19" s="3">
        <v>91</v>
      </c>
      <c r="D19" s="71">
        <v>43840</v>
      </c>
    </row>
    <row r="20" spans="2:4" x14ac:dyDescent="0.15">
      <c r="B20" s="3" t="s">
        <v>84</v>
      </c>
      <c r="C20" s="3">
        <v>36</v>
      </c>
      <c r="D20" s="71">
        <v>43871</v>
      </c>
    </row>
    <row r="21" spans="2:4" x14ac:dyDescent="0.15">
      <c r="B21" s="3" t="s">
        <v>85</v>
      </c>
      <c r="C21" s="3">
        <v>44</v>
      </c>
      <c r="D21" s="71">
        <v>44055</v>
      </c>
    </row>
    <row r="22" spans="2:4" x14ac:dyDescent="0.15">
      <c r="B22" s="3" t="s">
        <v>86</v>
      </c>
      <c r="C22" s="3">
        <v>114</v>
      </c>
      <c r="D22" s="71">
        <v>44186</v>
      </c>
    </row>
    <row r="23" spans="2:4" x14ac:dyDescent="0.15">
      <c r="B23" s="3" t="s">
        <v>87</v>
      </c>
      <c r="C23" s="3">
        <v>32</v>
      </c>
      <c r="D23" s="71">
        <v>44188</v>
      </c>
    </row>
    <row r="24" spans="2:4" x14ac:dyDescent="0.15">
      <c r="B24" s="3" t="s">
        <v>88</v>
      </c>
      <c r="C24" s="3">
        <v>23</v>
      </c>
      <c r="D24" s="71">
        <v>44200</v>
      </c>
    </row>
    <row r="25" spans="2:4" x14ac:dyDescent="0.15">
      <c r="B25" s="3" t="s">
        <v>89</v>
      </c>
      <c r="C25" s="3">
        <v>8</v>
      </c>
      <c r="D25" s="71">
        <v>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2021-02-13T11:54:03Z</dcterms:modified>
</cp:coreProperties>
</file>