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FFC3B14-2D83-424C-8B37-E67CE91720F8}" xr6:coauthVersionLast="46" xr6:coauthVersionMax="46" xr10:uidLastSave="{00000000-0000-0000-0000-000000000000}"/>
  <bookViews>
    <workbookView xWindow="-68240" yWindow="-5940" windowWidth="28660" windowHeight="26980" tabRatio="500" xr2:uid="{00000000-000D-0000-FFFF-FFFF00000000}"/>
  </bookViews>
  <sheets>
    <sheet name="Main" sheetId="1" r:id="rId1"/>
    <sheet name="Reports JPY" sheetId="2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1" l="1"/>
  <c r="C5" i="1"/>
  <c r="C4" i="1"/>
  <c r="J57" i="1"/>
  <c r="P16" i="1"/>
  <c r="Q16" i="1" s="1"/>
  <c r="R16" i="1" s="1"/>
  <c r="S16" i="1" s="1"/>
  <c r="T16" i="1" s="1"/>
  <c r="U16" i="1" s="1"/>
  <c r="V16" i="1" s="1"/>
  <c r="W16" i="1" s="1"/>
  <c r="X16" i="1" s="1"/>
  <c r="O16" i="1"/>
  <c r="J16" i="1"/>
  <c r="K29" i="1"/>
  <c r="J29" i="1"/>
  <c r="M13" i="1"/>
  <c r="N13" i="1" s="1"/>
  <c r="L13" i="1"/>
  <c r="K13" i="1"/>
  <c r="M12" i="1"/>
  <c r="N12" i="1" s="1"/>
  <c r="L12" i="1"/>
  <c r="K12" i="1"/>
  <c r="L14" i="1"/>
  <c r="M14" i="1" s="1"/>
  <c r="N14" i="1" s="1"/>
  <c r="K14" i="1"/>
  <c r="J14" i="1"/>
  <c r="K19" i="1"/>
  <c r="L19" i="1" s="1"/>
  <c r="M19" i="1" s="1"/>
  <c r="N19" i="1" s="1"/>
  <c r="J19" i="1"/>
  <c r="J13" i="1"/>
  <c r="J53" i="1" s="1"/>
  <c r="J12" i="1"/>
  <c r="J52" i="1" s="1"/>
  <c r="Q5" i="2"/>
  <c r="Q4" i="2"/>
  <c r="Q45" i="2" s="1"/>
  <c r="Q7" i="2"/>
  <c r="Q20" i="2" s="1"/>
  <c r="Q3" i="2"/>
  <c r="Q44" i="2" s="1"/>
  <c r="Q46" i="2"/>
  <c r="H27" i="1"/>
  <c r="I27" i="1"/>
  <c r="C3" i="1"/>
  <c r="C60" i="1"/>
  <c r="D60" i="1"/>
  <c r="D57" i="1"/>
  <c r="C57" i="1"/>
  <c r="B57" i="1"/>
  <c r="C32" i="1"/>
  <c r="C30" i="1"/>
  <c r="C29" i="1"/>
  <c r="B22" i="1"/>
  <c r="B20" i="1"/>
  <c r="B18" i="1"/>
  <c r="D32" i="1"/>
  <c r="D30" i="1"/>
  <c r="D29" i="1"/>
  <c r="C22" i="1"/>
  <c r="D22" i="1"/>
  <c r="C20" i="1"/>
  <c r="D20" i="1"/>
  <c r="C18" i="1"/>
  <c r="D18" i="1"/>
  <c r="H42" i="1"/>
  <c r="H41" i="1"/>
  <c r="H40" i="1"/>
  <c r="H38" i="1"/>
  <c r="H37" i="1"/>
  <c r="I42" i="1"/>
  <c r="I41" i="1"/>
  <c r="I40" i="1"/>
  <c r="I38" i="1"/>
  <c r="I37" i="1"/>
  <c r="E30" i="1"/>
  <c r="F30" i="1"/>
  <c r="F54" i="1"/>
  <c r="F53" i="1"/>
  <c r="F52" i="1"/>
  <c r="G53" i="1"/>
  <c r="G52" i="1"/>
  <c r="G45" i="1"/>
  <c r="G44" i="1"/>
  <c r="G36" i="1"/>
  <c r="G62" i="1" s="1"/>
  <c r="G42" i="1"/>
  <c r="G41" i="1"/>
  <c r="G40" i="1"/>
  <c r="G38" i="1"/>
  <c r="G37" i="1"/>
  <c r="E22" i="1"/>
  <c r="E20" i="1"/>
  <c r="E16" i="1"/>
  <c r="E29" i="1" s="1"/>
  <c r="G24" i="1"/>
  <c r="G22" i="1"/>
  <c r="G19" i="1"/>
  <c r="G20" i="1" s="1"/>
  <c r="G17" i="1"/>
  <c r="G14" i="1"/>
  <c r="G54" i="1" s="1"/>
  <c r="G13" i="1"/>
  <c r="G12" i="1"/>
  <c r="I24" i="1"/>
  <c r="I22" i="1"/>
  <c r="I19" i="1"/>
  <c r="I17" i="1"/>
  <c r="I14" i="1"/>
  <c r="I13" i="1"/>
  <c r="I12" i="1"/>
  <c r="I52" i="1" s="1"/>
  <c r="H24" i="1"/>
  <c r="H22" i="1"/>
  <c r="H19" i="1"/>
  <c r="H30" i="1" s="1"/>
  <c r="H17" i="1"/>
  <c r="H14" i="1"/>
  <c r="H16" i="1" s="1"/>
  <c r="H13" i="1"/>
  <c r="H53" i="1" s="1"/>
  <c r="H12" i="1"/>
  <c r="H52" i="1" s="1"/>
  <c r="L11" i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E28" i="2"/>
  <c r="E36" i="2"/>
  <c r="E35" i="2"/>
  <c r="E8" i="2"/>
  <c r="I3" i="2"/>
  <c r="E5" i="2"/>
  <c r="E4" i="2"/>
  <c r="E3" i="2"/>
  <c r="D13" i="2"/>
  <c r="E13" i="2" s="1"/>
  <c r="D8" i="2"/>
  <c r="H13" i="2"/>
  <c r="I13" i="2" s="1"/>
  <c r="H10" i="2"/>
  <c r="H11" i="2" s="1"/>
  <c r="H8" i="2"/>
  <c r="I8" i="2" s="1"/>
  <c r="D5" i="2"/>
  <c r="D4" i="2"/>
  <c r="D3" i="2"/>
  <c r="D7" i="2" s="1"/>
  <c r="H3" i="2"/>
  <c r="H44" i="2" s="1"/>
  <c r="B13" i="2"/>
  <c r="F13" i="2"/>
  <c r="B7" i="2"/>
  <c r="C15" i="2"/>
  <c r="D15" i="2" s="1"/>
  <c r="C13" i="2"/>
  <c r="C10" i="2"/>
  <c r="C8" i="2"/>
  <c r="C7" i="2"/>
  <c r="G44" i="2"/>
  <c r="G15" i="2"/>
  <c r="H15" i="2" s="1"/>
  <c r="G13" i="2"/>
  <c r="G10" i="2"/>
  <c r="K21" i="2" s="1"/>
  <c r="G8" i="2"/>
  <c r="G5" i="2"/>
  <c r="G46" i="2" s="1"/>
  <c r="G4" i="2"/>
  <c r="G45" i="2" s="1"/>
  <c r="G3" i="2"/>
  <c r="I28" i="2"/>
  <c r="I36" i="2"/>
  <c r="I35" i="2"/>
  <c r="I27" i="2"/>
  <c r="M28" i="2"/>
  <c r="M36" i="2"/>
  <c r="M27" i="2"/>
  <c r="M13" i="2"/>
  <c r="P8" i="2"/>
  <c r="P4" i="2"/>
  <c r="P3" i="2"/>
  <c r="K15" i="2"/>
  <c r="L15" i="2" s="1"/>
  <c r="M15" i="2" s="1"/>
  <c r="K10" i="2"/>
  <c r="K11" i="2" s="1"/>
  <c r="K8" i="2"/>
  <c r="L8" i="2" s="1"/>
  <c r="M8" i="2" s="1"/>
  <c r="O15" i="2"/>
  <c r="O13" i="2"/>
  <c r="P13" i="2" s="1"/>
  <c r="O10" i="2"/>
  <c r="O11" i="2" s="1"/>
  <c r="O8" i="2"/>
  <c r="K5" i="2"/>
  <c r="L5" i="2" s="1"/>
  <c r="K4" i="2"/>
  <c r="K3" i="2"/>
  <c r="O5" i="2"/>
  <c r="O46" i="2" s="1"/>
  <c r="O4" i="2"/>
  <c r="O3" i="2"/>
  <c r="N21" i="2"/>
  <c r="N46" i="2"/>
  <c r="N45" i="2"/>
  <c r="N44" i="2"/>
  <c r="N13" i="2"/>
  <c r="N11" i="2"/>
  <c r="N7" i="2"/>
  <c r="N9" i="2" s="1"/>
  <c r="N23" i="2" s="1"/>
  <c r="F7" i="2"/>
  <c r="F22" i="1"/>
  <c r="F20" i="1"/>
  <c r="F16" i="1"/>
  <c r="F57" i="1" s="1"/>
  <c r="J13" i="2"/>
  <c r="K13" i="2" s="1"/>
  <c r="L13" i="2" s="1"/>
  <c r="F46" i="2"/>
  <c r="F45" i="2"/>
  <c r="F44" i="2"/>
  <c r="J46" i="2"/>
  <c r="J45" i="2"/>
  <c r="J44" i="2"/>
  <c r="J7" i="2"/>
  <c r="F60" i="1" l="1"/>
  <c r="F18" i="1"/>
  <c r="F32" i="1" s="1"/>
  <c r="G30" i="1"/>
  <c r="F29" i="1"/>
  <c r="B21" i="1"/>
  <c r="B23" i="1" s="1"/>
  <c r="B25" i="1" s="1"/>
  <c r="E57" i="1"/>
  <c r="E60" i="1" s="1"/>
  <c r="F21" i="1"/>
  <c r="E18" i="1"/>
  <c r="E32" i="1" s="1"/>
  <c r="D21" i="1"/>
  <c r="H54" i="1"/>
  <c r="C21" i="1"/>
  <c r="G16" i="1"/>
  <c r="G29" i="1" s="1"/>
  <c r="G18" i="1"/>
  <c r="G32" i="1" s="1"/>
  <c r="G57" i="1"/>
  <c r="G60" i="1" s="1"/>
  <c r="G21" i="1"/>
  <c r="J54" i="1"/>
  <c r="I54" i="1"/>
  <c r="I16" i="1"/>
  <c r="I53" i="1"/>
  <c r="K16" i="1"/>
  <c r="I15" i="2"/>
  <c r="E15" i="2"/>
  <c r="D9" i="2"/>
  <c r="D23" i="2" s="1"/>
  <c r="I44" i="2"/>
  <c r="G7" i="2"/>
  <c r="G20" i="2" s="1"/>
  <c r="G9" i="2"/>
  <c r="G23" i="2" s="1"/>
  <c r="E7" i="2"/>
  <c r="O21" i="2"/>
  <c r="I10" i="2"/>
  <c r="H21" i="2"/>
  <c r="L10" i="2"/>
  <c r="H4" i="2"/>
  <c r="P10" i="2"/>
  <c r="H5" i="2"/>
  <c r="O44" i="2"/>
  <c r="L46" i="2"/>
  <c r="M5" i="2"/>
  <c r="C9" i="2"/>
  <c r="C23" i="2" s="1"/>
  <c r="D10" i="2"/>
  <c r="E27" i="2"/>
  <c r="C11" i="2"/>
  <c r="G11" i="2"/>
  <c r="G21" i="2"/>
  <c r="K45" i="2"/>
  <c r="M35" i="2"/>
  <c r="O7" i="2"/>
  <c r="P11" i="2"/>
  <c r="K44" i="2"/>
  <c r="O45" i="2"/>
  <c r="P15" i="2"/>
  <c r="P5" i="2"/>
  <c r="P46" i="2" s="1"/>
  <c r="L3" i="2"/>
  <c r="M3" i="2" s="1"/>
  <c r="L4" i="2"/>
  <c r="P44" i="2"/>
  <c r="K46" i="2"/>
  <c r="N20" i="2"/>
  <c r="K7" i="2"/>
  <c r="N12" i="2"/>
  <c r="I36" i="1"/>
  <c r="D23" i="1" l="1"/>
  <c r="D33" i="1"/>
  <c r="B26" i="1"/>
  <c r="B58" i="1"/>
  <c r="E21" i="1"/>
  <c r="G23" i="1"/>
  <c r="G33" i="1"/>
  <c r="C23" i="1"/>
  <c r="C33" i="1"/>
  <c r="F33" i="1"/>
  <c r="F23" i="1"/>
  <c r="H29" i="1"/>
  <c r="J22" i="1"/>
  <c r="K54" i="1"/>
  <c r="L54" i="1"/>
  <c r="K53" i="1"/>
  <c r="L16" i="1"/>
  <c r="K52" i="1"/>
  <c r="I11" i="2"/>
  <c r="E9" i="2"/>
  <c r="E23" i="2" s="1"/>
  <c r="L21" i="2"/>
  <c r="M10" i="2"/>
  <c r="E10" i="2"/>
  <c r="D11" i="2"/>
  <c r="D12" i="2" s="1"/>
  <c r="G12" i="2"/>
  <c r="L11" i="2"/>
  <c r="H46" i="2"/>
  <c r="I5" i="2"/>
  <c r="I46" i="2" s="1"/>
  <c r="L45" i="2"/>
  <c r="M4" i="2"/>
  <c r="P21" i="2"/>
  <c r="M44" i="2"/>
  <c r="M7" i="2"/>
  <c r="C12" i="2"/>
  <c r="I4" i="2"/>
  <c r="H45" i="2"/>
  <c r="H7" i="2"/>
  <c r="C24" i="2"/>
  <c r="C14" i="2"/>
  <c r="G24" i="2"/>
  <c r="G14" i="2"/>
  <c r="P45" i="2"/>
  <c r="L7" i="2"/>
  <c r="L44" i="2"/>
  <c r="O9" i="2"/>
  <c r="O20" i="2"/>
  <c r="N14" i="2"/>
  <c r="N24" i="2"/>
  <c r="K20" i="2"/>
  <c r="K9" i="2"/>
  <c r="P7" i="2"/>
  <c r="N54" i="1"/>
  <c r="M54" i="1"/>
  <c r="I62" i="1"/>
  <c r="I45" i="1"/>
  <c r="I44" i="1"/>
  <c r="D25" i="1" l="1"/>
  <c r="D34" i="1"/>
  <c r="F25" i="1"/>
  <c r="F34" i="1"/>
  <c r="C25" i="1"/>
  <c r="C34" i="1"/>
  <c r="G25" i="1"/>
  <c r="G34" i="1"/>
  <c r="E33" i="1"/>
  <c r="E23" i="1"/>
  <c r="L53" i="1"/>
  <c r="L52" i="1"/>
  <c r="M16" i="1"/>
  <c r="H9" i="2"/>
  <c r="H20" i="2"/>
  <c r="M46" i="2"/>
  <c r="D24" i="2"/>
  <c r="D14" i="2"/>
  <c r="E11" i="2"/>
  <c r="E12" i="2" s="1"/>
  <c r="M21" i="2"/>
  <c r="M11" i="2"/>
  <c r="M9" i="2"/>
  <c r="M23" i="2" s="1"/>
  <c r="I7" i="2"/>
  <c r="M20" i="2" s="1"/>
  <c r="I45" i="2"/>
  <c r="M45" i="2"/>
  <c r="I21" i="2"/>
  <c r="C25" i="2"/>
  <c r="C16" i="2"/>
  <c r="C17" i="2" s="1"/>
  <c r="G25" i="2"/>
  <c r="G16" i="2"/>
  <c r="G17" i="2" s="1"/>
  <c r="P9" i="2"/>
  <c r="P20" i="2"/>
  <c r="L9" i="2"/>
  <c r="L20" i="2"/>
  <c r="K12" i="2"/>
  <c r="K23" i="2"/>
  <c r="N16" i="2"/>
  <c r="N17" i="2" s="1"/>
  <c r="N25" i="2"/>
  <c r="O23" i="2"/>
  <c r="O12" i="2"/>
  <c r="E34" i="1" l="1"/>
  <c r="E25" i="1"/>
  <c r="F26" i="1"/>
  <c r="F58" i="1"/>
  <c r="G50" i="1"/>
  <c r="G49" i="1"/>
  <c r="G48" i="1"/>
  <c r="G47" i="1"/>
  <c r="G58" i="1"/>
  <c r="G26" i="1"/>
  <c r="C58" i="1"/>
  <c r="C26" i="1"/>
  <c r="D26" i="1"/>
  <c r="D58" i="1"/>
  <c r="N53" i="1"/>
  <c r="M53" i="1"/>
  <c r="M52" i="1"/>
  <c r="E14" i="2"/>
  <c r="E24" i="2"/>
  <c r="D16" i="2"/>
  <c r="D17" i="2" s="1"/>
  <c r="D25" i="2"/>
  <c r="I9" i="2"/>
  <c r="I20" i="2"/>
  <c r="M12" i="2"/>
  <c r="H23" i="2"/>
  <c r="H12" i="2"/>
  <c r="K14" i="2"/>
  <c r="K24" i="2"/>
  <c r="O24" i="2"/>
  <c r="O14" i="2"/>
  <c r="L23" i="2"/>
  <c r="L12" i="2"/>
  <c r="P23" i="2"/>
  <c r="P12" i="2"/>
  <c r="I20" i="1"/>
  <c r="J21" i="2"/>
  <c r="J11" i="2"/>
  <c r="J9" i="2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J20" i="2"/>
  <c r="B11" i="2"/>
  <c r="F9" i="2"/>
  <c r="F11" i="2"/>
  <c r="F21" i="2"/>
  <c r="X11" i="1"/>
  <c r="E26" i="1" l="1"/>
  <c r="E58" i="1"/>
  <c r="N16" i="1"/>
  <c r="N52" i="1"/>
  <c r="M24" i="2"/>
  <c r="M14" i="2"/>
  <c r="H24" i="2"/>
  <c r="H14" i="2"/>
  <c r="I23" i="2"/>
  <c r="I12" i="2"/>
  <c r="E16" i="2"/>
  <c r="E17" i="2" s="1"/>
  <c r="E25" i="2"/>
  <c r="L24" i="2"/>
  <c r="L14" i="2"/>
  <c r="P24" i="2"/>
  <c r="P14" i="2"/>
  <c r="O16" i="2"/>
  <c r="O17" i="2" s="1"/>
  <c r="O25" i="2"/>
  <c r="K16" i="2"/>
  <c r="K17" i="2" s="1"/>
  <c r="K25" i="2"/>
  <c r="J12" i="2"/>
  <c r="J24" i="2" s="1"/>
  <c r="I18" i="1"/>
  <c r="I21" i="1" s="1"/>
  <c r="I23" i="1" s="1"/>
  <c r="I34" i="1" s="1"/>
  <c r="F20" i="2"/>
  <c r="J23" i="2"/>
  <c r="H20" i="1"/>
  <c r="I57" i="1"/>
  <c r="I30" i="1"/>
  <c r="H44" i="1"/>
  <c r="H36" i="1"/>
  <c r="H62" i="1" s="1"/>
  <c r="F23" i="2"/>
  <c r="F12" i="2"/>
  <c r="I29" i="1"/>
  <c r="H45" i="1"/>
  <c r="B9" i="2"/>
  <c r="I14" i="2" l="1"/>
  <c r="I24" i="2"/>
  <c r="M16" i="2"/>
  <c r="M17" i="2" s="1"/>
  <c r="M25" i="2"/>
  <c r="H16" i="2"/>
  <c r="H17" i="2" s="1"/>
  <c r="H25" i="2"/>
  <c r="P16" i="2"/>
  <c r="P17" i="2" s="1"/>
  <c r="P25" i="2"/>
  <c r="L16" i="2"/>
  <c r="L17" i="2" s="1"/>
  <c r="L25" i="2"/>
  <c r="J14" i="2"/>
  <c r="J25" i="2" s="1"/>
  <c r="H57" i="1"/>
  <c r="H60" i="1" s="1"/>
  <c r="J16" i="2"/>
  <c r="F24" i="2"/>
  <c r="F14" i="2"/>
  <c r="B12" i="2"/>
  <c r="B23" i="2"/>
  <c r="J30" i="1"/>
  <c r="H18" i="1"/>
  <c r="J20" i="1"/>
  <c r="J17" i="2" l="1"/>
  <c r="M38" i="2"/>
  <c r="I16" i="2"/>
  <c r="I17" i="2" s="1"/>
  <c r="I25" i="2"/>
  <c r="I60" i="1"/>
  <c r="T29" i="1"/>
  <c r="T57" i="1"/>
  <c r="U57" i="1"/>
  <c r="U29" i="1"/>
  <c r="K20" i="1"/>
  <c r="B14" i="2"/>
  <c r="B24" i="2"/>
  <c r="F25" i="2"/>
  <c r="F16" i="2"/>
  <c r="I38" i="2" s="1"/>
  <c r="H21" i="1"/>
  <c r="H32" i="1"/>
  <c r="K30" i="1"/>
  <c r="M41" i="2" l="1"/>
  <c r="M39" i="2"/>
  <c r="M40" i="2"/>
  <c r="M42" i="2"/>
  <c r="I42" i="2"/>
  <c r="I40" i="2"/>
  <c r="I39" i="2"/>
  <c r="I41" i="2"/>
  <c r="V29" i="1"/>
  <c r="V57" i="1"/>
  <c r="B25" i="2"/>
  <c r="B16" i="2"/>
  <c r="E38" i="2" s="1"/>
  <c r="L20" i="1"/>
  <c r="F17" i="2"/>
  <c r="K57" i="1"/>
  <c r="H33" i="1"/>
  <c r="H23" i="1"/>
  <c r="L30" i="1"/>
  <c r="E39" i="2" l="1"/>
  <c r="E41" i="2"/>
  <c r="E42" i="2"/>
  <c r="E40" i="2"/>
  <c r="W57" i="1"/>
  <c r="W29" i="1"/>
  <c r="M30" i="1"/>
  <c r="B17" i="2"/>
  <c r="M20" i="1"/>
  <c r="I32" i="1"/>
  <c r="H25" i="1"/>
  <c r="H34" i="1"/>
  <c r="J18" i="1" l="1"/>
  <c r="J21" i="1" s="1"/>
  <c r="J33" i="1" s="1"/>
  <c r="X57" i="1"/>
  <c r="X29" i="1"/>
  <c r="N20" i="1"/>
  <c r="I33" i="1"/>
  <c r="H49" i="1"/>
  <c r="H26" i="1"/>
  <c r="H47" i="1"/>
  <c r="H50" i="1"/>
  <c r="H48" i="1"/>
  <c r="O19" i="1"/>
  <c r="P19" i="1" s="1"/>
  <c r="Q19" i="1" s="1"/>
  <c r="R19" i="1" s="1"/>
  <c r="S19" i="1" s="1"/>
  <c r="T19" i="1" s="1"/>
  <c r="N30" i="1"/>
  <c r="L57" i="1"/>
  <c r="L29" i="1"/>
  <c r="J32" i="1" l="1"/>
  <c r="K18" i="1" s="1"/>
  <c r="K32" i="1" s="1"/>
  <c r="L18" i="1" s="1"/>
  <c r="J17" i="1"/>
  <c r="U19" i="1"/>
  <c r="T30" i="1"/>
  <c r="T20" i="1"/>
  <c r="O30" i="1"/>
  <c r="O20" i="1"/>
  <c r="M57" i="1"/>
  <c r="M29" i="1"/>
  <c r="K21" i="1" l="1"/>
  <c r="K33" i="1" s="1"/>
  <c r="K17" i="1"/>
  <c r="U20" i="1"/>
  <c r="V19" i="1"/>
  <c r="U30" i="1"/>
  <c r="N57" i="1"/>
  <c r="N29" i="1"/>
  <c r="L21" i="1"/>
  <c r="L32" i="1"/>
  <c r="M18" i="1" s="1"/>
  <c r="L17" i="1"/>
  <c r="P30" i="1"/>
  <c r="P20" i="1"/>
  <c r="I25" i="1"/>
  <c r="W19" i="1" l="1"/>
  <c r="V30" i="1"/>
  <c r="V20" i="1"/>
  <c r="I58" i="1"/>
  <c r="I48" i="1"/>
  <c r="I50" i="1"/>
  <c r="I49" i="1"/>
  <c r="I47" i="1"/>
  <c r="I26" i="1"/>
  <c r="Q20" i="1"/>
  <c r="C6" i="1"/>
  <c r="C7" i="1" s="1"/>
  <c r="M32" i="1"/>
  <c r="N18" i="1" s="1"/>
  <c r="M21" i="1"/>
  <c r="M17" i="1"/>
  <c r="Q30" i="1"/>
  <c r="L33" i="1"/>
  <c r="O57" i="1"/>
  <c r="O29" i="1"/>
  <c r="W20" i="1" l="1"/>
  <c r="X19" i="1"/>
  <c r="X30" i="1" s="1"/>
  <c r="W30" i="1"/>
  <c r="R30" i="1"/>
  <c r="J23" i="1"/>
  <c r="M33" i="1"/>
  <c r="N21" i="1"/>
  <c r="N32" i="1"/>
  <c r="O18" i="1" s="1"/>
  <c r="N17" i="1"/>
  <c r="R20" i="1"/>
  <c r="P29" i="1"/>
  <c r="P57" i="1"/>
  <c r="J24" i="1" l="1"/>
  <c r="J25" i="1" s="1"/>
  <c r="X20" i="1"/>
  <c r="Q29" i="1"/>
  <c r="Q57" i="1"/>
  <c r="O21" i="1"/>
  <c r="O32" i="1"/>
  <c r="P18" i="1" s="1"/>
  <c r="O17" i="1"/>
  <c r="S20" i="1"/>
  <c r="N33" i="1"/>
  <c r="S30" i="1"/>
  <c r="J34" i="1" l="1"/>
  <c r="J58" i="1"/>
  <c r="J36" i="1"/>
  <c r="O33" i="1"/>
  <c r="P32" i="1"/>
  <c r="Q18" i="1" s="1"/>
  <c r="P21" i="1"/>
  <c r="P17" i="1"/>
  <c r="R29" i="1"/>
  <c r="R57" i="1"/>
  <c r="P33" i="1" l="1"/>
  <c r="Q32" i="1"/>
  <c r="R18" i="1" s="1"/>
  <c r="Q21" i="1"/>
  <c r="Q17" i="1"/>
  <c r="S29" i="1"/>
  <c r="S57" i="1"/>
  <c r="J26" i="1"/>
  <c r="K22" i="1" l="1"/>
  <c r="K23" i="1" s="1"/>
  <c r="K24" i="1" s="1"/>
  <c r="Q33" i="1"/>
  <c r="R21" i="1"/>
  <c r="R32" i="1"/>
  <c r="S18" i="1" s="1"/>
  <c r="R17" i="1"/>
  <c r="S21" i="1" l="1"/>
  <c r="S32" i="1"/>
  <c r="T18" i="1" s="1"/>
  <c r="S17" i="1"/>
  <c r="K34" i="1"/>
  <c r="R33" i="1"/>
  <c r="T32" i="1" l="1"/>
  <c r="U18" i="1" s="1"/>
  <c r="T21" i="1"/>
  <c r="T17" i="1"/>
  <c r="K25" i="1"/>
  <c r="S33" i="1"/>
  <c r="T33" i="1" l="1"/>
  <c r="U32" i="1"/>
  <c r="V18" i="1" s="1"/>
  <c r="U21" i="1"/>
  <c r="U33" i="1" s="1"/>
  <c r="U17" i="1"/>
  <c r="K26" i="1"/>
  <c r="K58" i="1"/>
  <c r="K36" i="1"/>
  <c r="V21" i="1" l="1"/>
  <c r="V33" i="1" s="1"/>
  <c r="V32" i="1"/>
  <c r="W18" i="1" s="1"/>
  <c r="V17" i="1"/>
  <c r="L22" i="1"/>
  <c r="L23" i="1" s="1"/>
  <c r="L24" i="1" s="1"/>
  <c r="W32" i="1" l="1"/>
  <c r="X18" i="1" s="1"/>
  <c r="W21" i="1"/>
  <c r="W33" i="1" s="1"/>
  <c r="W17" i="1"/>
  <c r="L34" i="1"/>
  <c r="X21" i="1" l="1"/>
  <c r="X33" i="1" s="1"/>
  <c r="X32" i="1"/>
  <c r="X17" i="1"/>
  <c r="L25" i="1"/>
  <c r="L58" i="1" l="1"/>
  <c r="L36" i="1"/>
  <c r="M22" i="1" s="1"/>
  <c r="M23" i="1" s="1"/>
  <c r="M24" i="1" s="1"/>
  <c r="L26" i="1"/>
  <c r="M34" i="1" l="1"/>
  <c r="M25" i="1" l="1"/>
  <c r="M26" i="1" l="1"/>
  <c r="M58" i="1"/>
  <c r="M36" i="1"/>
  <c r="N22" i="1" l="1"/>
  <c r="N23" i="1" s="1"/>
  <c r="N24" i="1" s="1"/>
  <c r="N34" i="1" l="1"/>
  <c r="N25" i="1" l="1"/>
  <c r="N26" i="1" l="1"/>
  <c r="N58" i="1"/>
  <c r="N36" i="1"/>
  <c r="O22" i="1" l="1"/>
  <c r="O23" i="1" s="1"/>
  <c r="O24" i="1" s="1"/>
  <c r="O34" i="1" l="1"/>
  <c r="O25" i="1" l="1"/>
  <c r="O26" i="1"/>
  <c r="O58" i="1"/>
  <c r="O36" i="1"/>
  <c r="P22" i="1" l="1"/>
  <c r="P23" i="1" s="1"/>
  <c r="P24" i="1" s="1"/>
  <c r="P34" i="1" l="1"/>
  <c r="P25" i="1"/>
  <c r="P58" i="1" l="1"/>
  <c r="P26" i="1"/>
  <c r="P36" i="1"/>
  <c r="Q22" i="1" l="1"/>
  <c r="Q23" i="1" s="1"/>
  <c r="Q24" i="1" s="1"/>
  <c r="Q34" i="1" l="1"/>
  <c r="Q25" i="1"/>
  <c r="Q58" i="1" l="1"/>
  <c r="Q26" i="1"/>
  <c r="Q36" i="1"/>
  <c r="R22" i="1" l="1"/>
  <c r="R23" i="1" s="1"/>
  <c r="R24" i="1" s="1"/>
  <c r="R34" i="1" l="1"/>
  <c r="R25" i="1" l="1"/>
  <c r="R58" i="1" l="1"/>
  <c r="R26" i="1"/>
  <c r="R36" i="1"/>
  <c r="S22" i="1" l="1"/>
  <c r="S23" i="1" s="1"/>
  <c r="S24" i="1" s="1"/>
  <c r="S34" i="1" l="1"/>
  <c r="S25" i="1"/>
  <c r="S26" i="1" l="1"/>
  <c r="S58" i="1"/>
  <c r="S36" i="1"/>
  <c r="T22" i="1" l="1"/>
  <c r="T23" i="1" s="1"/>
  <c r="T24" i="1" s="1"/>
  <c r="T34" i="1" l="1"/>
  <c r="T25" i="1"/>
  <c r="T26" i="1" l="1"/>
  <c r="T58" i="1"/>
  <c r="T36" i="1"/>
  <c r="U22" i="1" l="1"/>
  <c r="U23" i="1" s="1"/>
  <c r="U24" i="1" s="1"/>
  <c r="U34" i="1" l="1"/>
  <c r="U25" i="1"/>
  <c r="U58" i="1" l="1"/>
  <c r="U26" i="1"/>
  <c r="U36" i="1"/>
  <c r="V22" i="1" l="1"/>
  <c r="V23" i="1" s="1"/>
  <c r="V24" i="1" s="1"/>
  <c r="V34" i="1" l="1"/>
  <c r="V25" i="1"/>
  <c r="V26" i="1" l="1"/>
  <c r="V58" i="1"/>
  <c r="V36" i="1"/>
  <c r="W22" i="1" l="1"/>
  <c r="W23" i="1" s="1"/>
  <c r="W24" i="1" s="1"/>
  <c r="W34" i="1" l="1"/>
  <c r="W25" i="1" l="1"/>
  <c r="W26" i="1" s="1"/>
  <c r="W36" i="1"/>
  <c r="W58" i="1" l="1"/>
  <c r="X22" i="1"/>
  <c r="X23" i="1" s="1"/>
  <c r="X24" i="1" s="1"/>
  <c r="X34" i="1" l="1"/>
  <c r="X25" i="1" l="1"/>
  <c r="Y25" i="1" s="1"/>
  <c r="X58" i="1"/>
  <c r="X26" i="1"/>
  <c r="Z25" i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HP25" i="1" s="1"/>
  <c r="HQ25" i="1" s="1"/>
  <c r="HR25" i="1" s="1"/>
  <c r="HS25" i="1" s="1"/>
  <c r="HT25" i="1" s="1"/>
  <c r="HU25" i="1" s="1"/>
  <c r="HV25" i="1" s="1"/>
  <c r="HW25" i="1" s="1"/>
  <c r="HX25" i="1" s="1"/>
  <c r="HY25" i="1" s="1"/>
  <c r="HZ25" i="1" s="1"/>
  <c r="IA25" i="1" s="1"/>
  <c r="IB25" i="1" s="1"/>
  <c r="IC25" i="1" s="1"/>
  <c r="ID25" i="1" s="1"/>
  <c r="IE25" i="1" s="1"/>
  <c r="IF25" i="1" s="1"/>
  <c r="IG25" i="1" s="1"/>
  <c r="IH25" i="1" s="1"/>
  <c r="II25" i="1" s="1"/>
  <c r="IJ25" i="1" s="1"/>
  <c r="IK25" i="1" s="1"/>
  <c r="IL25" i="1" s="1"/>
  <c r="IM25" i="1" s="1"/>
  <c r="IN25" i="1" s="1"/>
  <c r="IO25" i="1" s="1"/>
  <c r="IP25" i="1" s="1"/>
  <c r="IQ25" i="1" s="1"/>
  <c r="IR25" i="1" s="1"/>
  <c r="X36" i="1"/>
  <c r="F5" i="1" l="1"/>
  <c r="F6" i="1" s="1"/>
  <c r="F7" i="1" s="1"/>
  <c r="G7" i="1" s="1"/>
</calcChain>
</file>

<file path=xl/sharedStrings.xml><?xml version="1.0" encoding="utf-8"?>
<sst xmlns="http://schemas.openxmlformats.org/spreadsheetml/2006/main" count="126" uniqueCount="89">
  <si>
    <t>Price</t>
  </si>
  <si>
    <t>Shares</t>
  </si>
  <si>
    <t>Market Cap</t>
  </si>
  <si>
    <t>Net Cash</t>
  </si>
  <si>
    <t>EV</t>
  </si>
  <si>
    <t>per share</t>
  </si>
  <si>
    <t>CEO</t>
  </si>
  <si>
    <t>Founder</t>
  </si>
  <si>
    <t>Revenue</t>
  </si>
  <si>
    <t>Net income</t>
  </si>
  <si>
    <t>Revenue y/y</t>
  </si>
  <si>
    <t>Other</t>
  </si>
  <si>
    <t>COGS</t>
  </si>
  <si>
    <t>Gross Profit</t>
  </si>
  <si>
    <t>Operating Expenses</t>
  </si>
  <si>
    <t>Operating Income</t>
  </si>
  <si>
    <t>Interest Income</t>
  </si>
  <si>
    <t>Pretax Income</t>
  </si>
  <si>
    <t>Taxes</t>
  </si>
  <si>
    <t>EPS</t>
  </si>
  <si>
    <t>Gross Margin</t>
  </si>
  <si>
    <t>Operating Margin</t>
  </si>
  <si>
    <t>Tax Rate</t>
  </si>
  <si>
    <t>ROIC</t>
  </si>
  <si>
    <t>Intangibles</t>
  </si>
  <si>
    <t>Total assets</t>
  </si>
  <si>
    <t>ROE</t>
  </si>
  <si>
    <t>ROA</t>
  </si>
  <si>
    <t>ROTB</t>
  </si>
  <si>
    <t>ROTWC</t>
  </si>
  <si>
    <t>Cash</t>
  </si>
  <si>
    <t>Debt</t>
  </si>
  <si>
    <t>TWC</t>
  </si>
  <si>
    <t>Equity</t>
  </si>
  <si>
    <t>S&amp;G&amp;A</t>
  </si>
  <si>
    <t>S&amp;G&amp;A y/y</t>
  </si>
  <si>
    <t>Maturity</t>
  </si>
  <si>
    <t>Discount</t>
  </si>
  <si>
    <t>NPV</t>
  </si>
  <si>
    <t>Value</t>
  </si>
  <si>
    <t>Investor Relations</t>
  </si>
  <si>
    <t>Q418</t>
  </si>
  <si>
    <t>Other y/y</t>
  </si>
  <si>
    <t>Q318</t>
  </si>
  <si>
    <t>Q218</t>
  </si>
  <si>
    <t>Q118</t>
  </si>
  <si>
    <t>Total liabilities</t>
  </si>
  <si>
    <t>Net Income</t>
  </si>
  <si>
    <t>Revenue USD</t>
  </si>
  <si>
    <t>Net Income USD</t>
  </si>
  <si>
    <t>Q119</t>
  </si>
  <si>
    <t>Q219</t>
  </si>
  <si>
    <t>Q319</t>
  </si>
  <si>
    <t>Q419</t>
  </si>
  <si>
    <t>Expected return on invested capital (innovation grade)</t>
  </si>
  <si>
    <t>Risk-free rate + market premium (opportunity cost)</t>
  </si>
  <si>
    <t>http://www.worldgovernmentbonds.com/country/united-states/</t>
  </si>
  <si>
    <t>Net present value on future net income (terminal value)</t>
  </si>
  <si>
    <t>Net Cash USD</t>
  </si>
  <si>
    <t>Revenue y/y USD</t>
  </si>
  <si>
    <t>Nintendo Company LTD (NTDOY)</t>
  </si>
  <si>
    <t>USD/JPY</t>
  </si>
  <si>
    <t>FILINGS</t>
  </si>
  <si>
    <t>Video game platform</t>
  </si>
  <si>
    <t>Mobile and IP</t>
  </si>
  <si>
    <t>Video game platform y/y</t>
  </si>
  <si>
    <t>Mobile and IP y/y</t>
  </si>
  <si>
    <t>Shuntaro Furukawa</t>
  </si>
  <si>
    <t>Fusajiro Yamauchi</t>
  </si>
  <si>
    <t>Q120</t>
  </si>
  <si>
    <t>Q220</t>
  </si>
  <si>
    <t>Q320</t>
  </si>
  <si>
    <t>Q420</t>
  </si>
  <si>
    <t>NI 12M</t>
  </si>
  <si>
    <t>GAMES</t>
  </si>
  <si>
    <t>Animal Crossing</t>
  </si>
  <si>
    <t>Mario Kart</t>
  </si>
  <si>
    <t>Xenoblade</t>
  </si>
  <si>
    <t>Clubhouse Games</t>
  </si>
  <si>
    <t>Super Smash Bros</t>
  </si>
  <si>
    <t>Legend of Zelda</t>
  </si>
  <si>
    <t>SG&amp;A</t>
  </si>
  <si>
    <t>SG&amp;A y/y</t>
  </si>
  <si>
    <t>Q121</t>
  </si>
  <si>
    <t>Q221</t>
  </si>
  <si>
    <t>Q321</t>
  </si>
  <si>
    <t>Q421</t>
  </si>
  <si>
    <t>https://www.poundsterlinglive.com/best-exchange-rates/us-dollar-to-japanese-yen-exchange-rate-on-2020-03-31</t>
  </si>
  <si>
    <t>Shares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</si>
</sst>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1" applyFont="1"/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 applyBorder="1"/>
    <xf numFmtId="10" fontId="3" fillId="0" borderId="0" xfId="0" applyNumberFormat="1" applyFont="1"/>
    <xf numFmtId="0" fontId="2" fillId="0" borderId="0" xfId="0" applyFont="1" applyBorder="1"/>
    <xf numFmtId="0" fontId="4" fillId="0" borderId="0" xfId="0" applyFont="1" applyBorder="1"/>
    <xf numFmtId="3" fontId="3" fillId="2" borderId="0" xfId="0" applyNumberFormat="1" applyFont="1" applyFill="1"/>
    <xf numFmtId="4" fontId="3" fillId="2" borderId="0" xfId="0" applyNumberFormat="1" applyFont="1" applyFill="1"/>
    <xf numFmtId="0" fontId="3" fillId="0" borderId="0" xfId="0" applyFont="1" applyFill="1" applyBorder="1"/>
    <xf numFmtId="9" fontId="3" fillId="0" borderId="0" xfId="0" applyNumberFormat="1" applyFont="1"/>
    <xf numFmtId="3" fontId="2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2" fontId="3" fillId="2" borderId="0" xfId="0" applyNumberFormat="1" applyFont="1" applyFill="1"/>
    <xf numFmtId="0" fontId="3" fillId="0" borderId="0" xfId="0" applyFont="1" applyFill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2" fillId="0" borderId="0" xfId="0" applyNumberFormat="1" applyFont="1"/>
    <xf numFmtId="3" fontId="2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1" xfId="0" applyNumberFormat="1" applyFont="1" applyBorder="1" applyAlignment="1">
      <alignment horizontal="right"/>
    </xf>
    <xf numFmtId="4" fontId="3" fillId="2" borderId="0" xfId="0" applyNumberFormat="1" applyFont="1" applyFill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/>
    </xf>
    <xf numFmtId="9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0" xfId="0" applyNumberFormat="1" applyFont="1"/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9" fontId="2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9" fontId="4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right"/>
    </xf>
    <xf numFmtId="0" fontId="1" fillId="0" borderId="0" xfId="1" applyAlignment="1">
      <alignment horizontal="left"/>
    </xf>
    <xf numFmtId="14" fontId="3" fillId="0" borderId="1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1"/>
    <xf numFmtId="3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14" fontId="3" fillId="0" borderId="0" xfId="0" applyNumberFormat="1" applyFont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9" fontId="3" fillId="0" borderId="0" xfId="0" applyNumberFormat="1" applyFont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4" fontId="3" fillId="2" borderId="0" xfId="0" applyNumberFormat="1" applyFont="1" applyFill="1" applyBorder="1" applyAlignment="1">
      <alignment horizontal="right"/>
    </xf>
    <xf numFmtId="9" fontId="2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14" fontId="3" fillId="0" borderId="0" xfId="0" applyNumberFormat="1" applyFont="1"/>
  </cellXfs>
  <cellStyles count="2"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221762</xdr:colOff>
      <xdr:row>10</xdr:row>
      <xdr:rowOff>12700</xdr:rowOff>
    </xdr:from>
    <xdr:to>
      <xdr:col>9</xdr:col>
      <xdr:colOff>221762</xdr:colOff>
      <xdr:row>63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408377" y="1673469"/>
          <a:ext cx="0" cy="89554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0</xdr:rowOff>
    </xdr:from>
    <xdr:to>
      <xdr:col>16</xdr:col>
      <xdr:colOff>228600</xdr:colOff>
      <xdr:row>47</xdr:row>
      <xdr:rowOff>9770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5DC75-4F2A-C04B-B2FE-F6A7256CBCA9}"/>
            </a:ext>
          </a:extLst>
        </xdr:cNvPr>
        <xdr:cNvCxnSpPr/>
      </xdr:nvCxnSpPr>
      <xdr:spPr>
        <a:xfrm>
          <a:off x="20646292" y="166077"/>
          <a:ext cx="0" cy="7649308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Shuntaro_Furukawa" TargetMode="External"/><Relationship Id="rId2" Type="http://schemas.openxmlformats.org/officeDocument/2006/relationships/hyperlink" Target="https://www.nintendo.co.jp/ir/en/" TargetMode="External"/><Relationship Id="rId1" Type="http://schemas.openxmlformats.org/officeDocument/2006/relationships/hyperlink" Target="http://www.worldgovernmentbonds.com/country/united-states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poundsterlinglive.com/best-exchange-rates/us-dollar-to-japanese-yen-exchange-rate-on-2020-03-31" TargetMode="External"/><Relationship Id="rId4" Type="http://schemas.openxmlformats.org/officeDocument/2006/relationships/hyperlink" Target="https://en.wikipedia.org/wiki/Fusajiro_Yamauch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intendo.co.jp/ir/en/library/earning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63"/>
  <sheetViews>
    <sheetView tabSelected="1" zoomScale="130" zoomScaleNormal="130" workbookViewId="0">
      <pane xSplit="1" ySplit="11" topLeftCell="B19" activePane="bottomRight" state="frozen"/>
      <selection pane="topRight" activeCell="B1" sqref="B1"/>
      <selection pane="bottomLeft" activeCell="A10" sqref="A10"/>
      <selection pane="bottomRight" activeCell="K41" sqref="K41"/>
    </sheetView>
  </sheetViews>
  <sheetFormatPr baseColWidth="10" defaultRowHeight="13" x14ac:dyDescent="0.15"/>
  <cols>
    <col min="1" max="1" width="20" style="3" bestFit="1" customWidth="1"/>
    <col min="2" max="8" width="10.83203125" style="3"/>
    <col min="9" max="9" width="11.1640625" style="3" bestFit="1" customWidth="1"/>
    <col min="10" max="16384" width="10.83203125" style="3"/>
  </cols>
  <sheetData>
    <row r="1" spans="1:24" x14ac:dyDescent="0.15">
      <c r="A1" s="50" t="s">
        <v>40</v>
      </c>
      <c r="B1" s="2" t="s">
        <v>60</v>
      </c>
    </row>
    <row r="2" spans="1:24" x14ac:dyDescent="0.15">
      <c r="B2" s="3" t="s">
        <v>0</v>
      </c>
      <c r="C2" s="4">
        <v>76.900000000000006</v>
      </c>
      <c r="D2" s="52">
        <v>44237</v>
      </c>
      <c r="E2" s="7" t="s">
        <v>36</v>
      </c>
      <c r="F2" s="8">
        <v>-0.02</v>
      </c>
      <c r="I2" s="5"/>
    </row>
    <row r="3" spans="1:24" x14ac:dyDescent="0.15">
      <c r="A3" s="2" t="s">
        <v>6</v>
      </c>
      <c r="B3" s="3" t="s">
        <v>88</v>
      </c>
      <c r="C3" s="5">
        <f>'Reports JPY'!P18*8</f>
        <v>1053.3520000000001</v>
      </c>
      <c r="D3" s="53" t="s">
        <v>85</v>
      </c>
      <c r="E3" s="7" t="s">
        <v>23</v>
      </c>
      <c r="F3" s="8">
        <v>0.02</v>
      </c>
      <c r="G3" s="6" t="s">
        <v>54</v>
      </c>
      <c r="I3" s="5"/>
    </row>
    <row r="4" spans="1:24" x14ac:dyDescent="0.15">
      <c r="A4" s="54" t="s">
        <v>67</v>
      </c>
      <c r="B4" s="3" t="s">
        <v>2</v>
      </c>
      <c r="C4" s="11">
        <f>C3*C2</f>
        <v>81002.76880000002</v>
      </c>
      <c r="D4" s="53"/>
      <c r="E4" s="7" t="s">
        <v>37</v>
      </c>
      <c r="F4" s="8">
        <v>0.08</v>
      </c>
      <c r="G4" s="6" t="s">
        <v>55</v>
      </c>
      <c r="I4" s="14"/>
      <c r="L4" s="1" t="s">
        <v>56</v>
      </c>
    </row>
    <row r="5" spans="1:24" x14ac:dyDescent="0.15">
      <c r="B5" s="3" t="s">
        <v>3</v>
      </c>
      <c r="C5" s="5">
        <f>I36/C9</f>
        <v>12951.589802348897</v>
      </c>
      <c r="D5" s="53" t="s">
        <v>72</v>
      </c>
      <c r="E5" s="7" t="s">
        <v>38</v>
      </c>
      <c r="F5" s="16">
        <f>NPV(F4,J25:IR25)</f>
        <v>9572145.5310370736</v>
      </c>
      <c r="G5" s="6" t="s">
        <v>57</v>
      </c>
      <c r="I5" s="14"/>
    </row>
    <row r="6" spans="1:24" x14ac:dyDescent="0.15">
      <c r="A6" s="2" t="s">
        <v>7</v>
      </c>
      <c r="B6" s="3" t="s">
        <v>4</v>
      </c>
      <c r="C6" s="11">
        <f>C4-C5</f>
        <v>68051.178997651121</v>
      </c>
      <c r="D6" s="53"/>
      <c r="E6" s="9" t="s">
        <v>39</v>
      </c>
      <c r="F6" s="17">
        <f>F5/C9+C5</f>
        <v>104349.90481272867</v>
      </c>
      <c r="I6" s="14"/>
    </row>
    <row r="7" spans="1:24" x14ac:dyDescent="0.15">
      <c r="A7" s="54" t="s">
        <v>68</v>
      </c>
      <c r="B7" s="6" t="s">
        <v>5</v>
      </c>
      <c r="C7" s="12">
        <f>C6/C3</f>
        <v>64.60440479312814</v>
      </c>
      <c r="D7" s="53"/>
      <c r="E7" s="10" t="s">
        <v>5</v>
      </c>
      <c r="F7" s="18">
        <f>F6/C3</f>
        <v>99.064609753177152</v>
      </c>
      <c r="G7" s="14">
        <f>F7/C2-1</f>
        <v>0.28822639470971589</v>
      </c>
    </row>
    <row r="8" spans="1:24" x14ac:dyDescent="0.15">
      <c r="A8" s="1"/>
    </row>
    <row r="9" spans="1:24" x14ac:dyDescent="0.15">
      <c r="A9" s="1"/>
      <c r="B9" s="2" t="s">
        <v>61</v>
      </c>
      <c r="C9" s="4">
        <v>104.73</v>
      </c>
      <c r="D9" s="69">
        <v>44238</v>
      </c>
      <c r="L9" s="54" t="s">
        <v>87</v>
      </c>
    </row>
    <row r="10" spans="1:24" x14ac:dyDescent="0.15">
      <c r="A10" s="1"/>
    </row>
    <row r="11" spans="1:24" x14ac:dyDescent="0.15">
      <c r="B11" s="20">
        <v>2013</v>
      </c>
      <c r="C11" s="20">
        <v>2014</v>
      </c>
      <c r="D11" s="20">
        <v>2015</v>
      </c>
      <c r="E11" s="20">
        <v>2016</v>
      </c>
      <c r="F11" s="20">
        <v>2017</v>
      </c>
      <c r="G11" s="20">
        <v>2018</v>
      </c>
      <c r="H11" s="20">
        <v>2019</v>
      </c>
      <c r="I11" s="20">
        <v>2020</v>
      </c>
      <c r="J11" s="20">
        <v>2021</v>
      </c>
      <c r="K11" s="20">
        <v>2022</v>
      </c>
      <c r="L11" s="20">
        <f>K11+1</f>
        <v>2023</v>
      </c>
      <c r="M11" s="20">
        <f t="shared" ref="M11" si="0">L11+1</f>
        <v>2024</v>
      </c>
      <c r="N11" s="20">
        <f t="shared" ref="N11" si="1">M11+1</f>
        <v>2025</v>
      </c>
      <c r="O11" s="20">
        <f t="shared" ref="O11" si="2">N11+1</f>
        <v>2026</v>
      </c>
      <c r="P11" s="20">
        <f t="shared" ref="P11" si="3">O11+1</f>
        <v>2027</v>
      </c>
      <c r="Q11" s="20">
        <f t="shared" ref="Q11" si="4">P11+1</f>
        <v>2028</v>
      </c>
      <c r="R11" s="20">
        <f t="shared" ref="R11" si="5">Q11+1</f>
        <v>2029</v>
      </c>
      <c r="S11" s="20">
        <f t="shared" ref="S11" si="6">R11+1</f>
        <v>2030</v>
      </c>
      <c r="T11" s="20">
        <f t="shared" ref="T11" si="7">S11+1</f>
        <v>2031</v>
      </c>
      <c r="U11" s="20">
        <f t="shared" ref="U11" si="8">T11+1</f>
        <v>2032</v>
      </c>
      <c r="V11" s="20">
        <f t="shared" ref="V11" si="9">U11+1</f>
        <v>2033</v>
      </c>
      <c r="W11" s="20">
        <f t="shared" ref="W11" si="10">V11+1</f>
        <v>2034</v>
      </c>
      <c r="X11" s="20">
        <f t="shared" ref="X11" si="11">W11+1</f>
        <v>2035</v>
      </c>
    </row>
    <row r="12" spans="1:24" s="5" customFormat="1" x14ac:dyDescent="0.15">
      <c r="A12" s="5" t="s">
        <v>63</v>
      </c>
      <c r="B12" s="22"/>
      <c r="C12" s="22"/>
      <c r="D12" s="22"/>
      <c r="E12" s="22">
        <v>497147</v>
      </c>
      <c r="F12" s="22">
        <v>463131</v>
      </c>
      <c r="G12" s="22">
        <f>SUM('Reports JPY'!B3:E3)</f>
        <v>1014631</v>
      </c>
      <c r="H12" s="22">
        <f>SUM('Reports JPY'!F3:I3)</f>
        <v>1152602</v>
      </c>
      <c r="I12" s="22">
        <f>SUM('Reports JPY'!J3:M3)</f>
        <v>1254162</v>
      </c>
      <c r="J12" s="22">
        <f>SUM('Reports JPY'!N3:Q3)</f>
        <v>1685830.2</v>
      </c>
      <c r="K12" s="22">
        <f>J12*1.1</f>
        <v>1854413.2200000002</v>
      </c>
      <c r="L12" s="22">
        <f t="shared" ref="L12:N12" si="12">K12*1.1</f>
        <v>2039854.5420000004</v>
      </c>
      <c r="M12" s="22">
        <f t="shared" si="12"/>
        <v>2243839.9962000004</v>
      </c>
      <c r="N12" s="22">
        <f t="shared" si="12"/>
        <v>2468223.9958200008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s="5" customFormat="1" x14ac:dyDescent="0.15">
      <c r="A13" s="5" t="s">
        <v>64</v>
      </c>
      <c r="B13" s="22"/>
      <c r="C13" s="22"/>
      <c r="D13" s="22"/>
      <c r="E13" s="22">
        <v>5734</v>
      </c>
      <c r="F13" s="22">
        <v>24250</v>
      </c>
      <c r="G13" s="22">
        <f>SUM('Reports JPY'!B4:E4)</f>
        <v>39320</v>
      </c>
      <c r="H13" s="22">
        <f>SUM('Reports JPY'!F4:I4)</f>
        <v>46008</v>
      </c>
      <c r="I13" s="22">
        <f>SUM('Reports JPY'!J4:M4)</f>
        <v>51295</v>
      </c>
      <c r="J13" s="22">
        <f>SUM('Reports JPY'!N4:Q4)</f>
        <v>58553.75</v>
      </c>
      <c r="K13" s="22">
        <f>J13*1.15</f>
        <v>67336.8125</v>
      </c>
      <c r="L13" s="22">
        <f t="shared" ref="L13:N13" si="13">K13*1.15</f>
        <v>77437.334374999991</v>
      </c>
      <c r="M13" s="22">
        <f t="shared" si="13"/>
        <v>89052.934531249979</v>
      </c>
      <c r="N13" s="22">
        <f t="shared" si="13"/>
        <v>102410.87471093747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s="5" customFormat="1" x14ac:dyDescent="0.15">
      <c r="A14" s="5" t="s">
        <v>11</v>
      </c>
      <c r="B14" s="22"/>
      <c r="C14" s="22"/>
      <c r="D14" s="22"/>
      <c r="E14" s="22">
        <v>1577</v>
      </c>
      <c r="F14" s="22">
        <v>1714</v>
      </c>
      <c r="G14" s="22">
        <f>SUM('Reports JPY'!B5:E5)</f>
        <v>1729</v>
      </c>
      <c r="H14" s="22">
        <f>SUM('Reports JPY'!F5:I5)</f>
        <v>1949</v>
      </c>
      <c r="I14" s="22">
        <f>SUM('Reports JPY'!J5:M5)</f>
        <v>3062</v>
      </c>
      <c r="J14" s="22">
        <f>SUM('Reports JPY'!N5:Q5)</f>
        <v>1795.5</v>
      </c>
      <c r="K14" s="22">
        <f>J14*0.8</f>
        <v>1436.4</v>
      </c>
      <c r="L14" s="22">
        <f t="shared" ref="L14:N14" si="14">K14*0.8</f>
        <v>1149.1200000000001</v>
      </c>
      <c r="M14" s="22">
        <f t="shared" si="14"/>
        <v>919.29600000000016</v>
      </c>
      <c r="N14" s="22">
        <f t="shared" si="14"/>
        <v>735.43680000000018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B15" s="22"/>
      <c r="C15" s="22"/>
      <c r="D15" s="22"/>
      <c r="E15" s="22"/>
      <c r="F15" s="22"/>
      <c r="G15" s="22"/>
      <c r="H15" s="4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s="2" customFormat="1" x14ac:dyDescent="0.15">
      <c r="A16" s="2" t="s">
        <v>8</v>
      </c>
      <c r="B16" s="37">
        <v>635422</v>
      </c>
      <c r="C16" s="37">
        <v>571726</v>
      </c>
      <c r="D16" s="37">
        <v>549780</v>
      </c>
      <c r="E16" s="25">
        <f t="shared" ref="E16:N16" si="15">SUM(E12:E14)</f>
        <v>504458</v>
      </c>
      <c r="F16" s="25">
        <f t="shared" si="15"/>
        <v>489095</v>
      </c>
      <c r="G16" s="25">
        <f t="shared" si="15"/>
        <v>1055680</v>
      </c>
      <c r="H16" s="25">
        <f t="shared" si="15"/>
        <v>1200559</v>
      </c>
      <c r="I16" s="25">
        <f t="shared" si="15"/>
        <v>1308519</v>
      </c>
      <c r="J16" s="43">
        <f t="shared" si="15"/>
        <v>1746179.45</v>
      </c>
      <c r="K16" s="43">
        <f t="shared" si="15"/>
        <v>1923186.4325000001</v>
      </c>
      <c r="L16" s="43">
        <f t="shared" si="15"/>
        <v>2118440.9963750006</v>
      </c>
      <c r="M16" s="43">
        <f t="shared" si="15"/>
        <v>2333812.2267312505</v>
      </c>
      <c r="N16" s="43">
        <f t="shared" si="15"/>
        <v>2571370.3073309381</v>
      </c>
      <c r="O16" s="43">
        <f>N16*1.05</f>
        <v>2699938.8226974849</v>
      </c>
      <c r="P16" s="43">
        <f t="shared" ref="P16:X16" si="16">O16*1.05</f>
        <v>2834935.7638323591</v>
      </c>
      <c r="Q16" s="43">
        <f t="shared" si="16"/>
        <v>2976682.552023977</v>
      </c>
      <c r="R16" s="43">
        <f t="shared" si="16"/>
        <v>3125516.6796251759</v>
      </c>
      <c r="S16" s="43">
        <f t="shared" si="16"/>
        <v>3281792.5136064347</v>
      </c>
      <c r="T16" s="43">
        <f t="shared" si="16"/>
        <v>3445882.1392867565</v>
      </c>
      <c r="U16" s="43">
        <f t="shared" si="16"/>
        <v>3618176.2462510946</v>
      </c>
      <c r="V16" s="43">
        <f t="shared" si="16"/>
        <v>3799085.0585636497</v>
      </c>
      <c r="W16" s="43">
        <f t="shared" si="16"/>
        <v>3989039.3114918321</v>
      </c>
      <c r="X16" s="43">
        <f t="shared" si="16"/>
        <v>4188491.277066424</v>
      </c>
    </row>
    <row r="17" spans="1:252" s="2" customFormat="1" x14ac:dyDescent="0.15">
      <c r="A17" s="3" t="s">
        <v>12</v>
      </c>
      <c r="B17" s="22">
        <v>495068</v>
      </c>
      <c r="C17" s="22">
        <v>408506</v>
      </c>
      <c r="D17" s="22">
        <v>335196</v>
      </c>
      <c r="E17" s="22">
        <v>283494</v>
      </c>
      <c r="F17" s="22">
        <v>290197</v>
      </c>
      <c r="G17" s="22">
        <f>SUM('Reports JPY'!B8:E8)</f>
        <v>652414</v>
      </c>
      <c r="H17" s="22">
        <f>SUM('Reports JPY'!F8:I8)</f>
        <v>699370</v>
      </c>
      <c r="I17" s="22">
        <f>SUM('Reports JPY'!J8:M8)</f>
        <v>666817</v>
      </c>
      <c r="J17" s="41">
        <f>J16-J18</f>
        <v>889847.33298534458</v>
      </c>
      <c r="K17" s="41">
        <f t="shared" ref="K17:S17" si="17">K16-K18</f>
        <v>980049.51197525812</v>
      </c>
      <c r="L17" s="41">
        <f t="shared" si="17"/>
        <v>1079550.5987148746</v>
      </c>
      <c r="M17" s="41">
        <f t="shared" si="17"/>
        <v>1189303.0728573697</v>
      </c>
      <c r="N17" s="41">
        <f t="shared" si="17"/>
        <v>1310361.8932728486</v>
      </c>
      <c r="O17" s="41">
        <f t="shared" si="17"/>
        <v>1375879.9879364909</v>
      </c>
      <c r="P17" s="41">
        <f t="shared" si="17"/>
        <v>1444673.9873333154</v>
      </c>
      <c r="Q17" s="41">
        <f t="shared" si="17"/>
        <v>1516907.6866999811</v>
      </c>
      <c r="R17" s="41">
        <f t="shared" si="17"/>
        <v>1592753.0710349802</v>
      </c>
      <c r="S17" s="41">
        <f t="shared" si="17"/>
        <v>1672390.7245867292</v>
      </c>
      <c r="T17" s="41">
        <f t="shared" ref="T17:X17" si="18">T16-T18</f>
        <v>1756010.2608160656</v>
      </c>
      <c r="U17" s="41">
        <f t="shared" si="18"/>
        <v>1843810.773856869</v>
      </c>
      <c r="V17" s="41">
        <f t="shared" si="18"/>
        <v>1936001.3125497126</v>
      </c>
      <c r="W17" s="41">
        <f t="shared" si="18"/>
        <v>2032801.3781771981</v>
      </c>
      <c r="X17" s="41">
        <f t="shared" si="18"/>
        <v>2134441.4470860586</v>
      </c>
    </row>
    <row r="18" spans="1:252" s="2" customFormat="1" x14ac:dyDescent="0.15">
      <c r="A18" s="3" t="s">
        <v>13</v>
      </c>
      <c r="B18" s="26">
        <f t="shared" ref="B18:I18" si="19">B16-B17</f>
        <v>140354</v>
      </c>
      <c r="C18" s="26">
        <f t="shared" si="19"/>
        <v>163220</v>
      </c>
      <c r="D18" s="26">
        <f t="shared" si="19"/>
        <v>214584</v>
      </c>
      <c r="E18" s="26">
        <f t="shared" si="19"/>
        <v>220964</v>
      </c>
      <c r="F18" s="26">
        <f t="shared" si="19"/>
        <v>198898</v>
      </c>
      <c r="G18" s="26">
        <f t="shared" si="19"/>
        <v>403266</v>
      </c>
      <c r="H18" s="26">
        <f t="shared" si="19"/>
        <v>501189</v>
      </c>
      <c r="I18" s="26">
        <f t="shared" si="19"/>
        <v>641702</v>
      </c>
      <c r="J18" s="41">
        <f t="shared" ref="J18:X18" si="20">J16*I32</f>
        <v>856332.11701465538</v>
      </c>
      <c r="K18" s="41">
        <f t="shared" si="20"/>
        <v>943136.92052474199</v>
      </c>
      <c r="L18" s="41">
        <f t="shared" si="20"/>
        <v>1038890.397660126</v>
      </c>
      <c r="M18" s="41">
        <f t="shared" si="20"/>
        <v>1144509.1538738809</v>
      </c>
      <c r="N18" s="41">
        <f t="shared" si="20"/>
        <v>1261008.4140580895</v>
      </c>
      <c r="O18" s="41">
        <f t="shared" si="20"/>
        <v>1324058.834760994</v>
      </c>
      <c r="P18" s="41">
        <f t="shared" si="20"/>
        <v>1390261.7764990437</v>
      </c>
      <c r="Q18" s="41">
        <f t="shared" si="20"/>
        <v>1459774.8653239959</v>
      </c>
      <c r="R18" s="41">
        <f t="shared" si="20"/>
        <v>1532763.6085901957</v>
      </c>
      <c r="S18" s="41">
        <f t="shared" si="20"/>
        <v>1609401.7890197055</v>
      </c>
      <c r="T18" s="41">
        <f t="shared" si="20"/>
        <v>1689871.8784706909</v>
      </c>
      <c r="U18" s="41">
        <f t="shared" si="20"/>
        <v>1774365.4723942257</v>
      </c>
      <c r="V18" s="41">
        <f t="shared" si="20"/>
        <v>1863083.7460139371</v>
      </c>
      <c r="W18" s="41">
        <f t="shared" si="20"/>
        <v>1956237.933314634</v>
      </c>
      <c r="X18" s="41">
        <f t="shared" si="20"/>
        <v>2054049.8299803657</v>
      </c>
    </row>
    <row r="19" spans="1:252" s="2" customFormat="1" x14ac:dyDescent="0.15">
      <c r="A19" s="3" t="s">
        <v>34</v>
      </c>
      <c r="B19" s="22">
        <v>176764</v>
      </c>
      <c r="C19" s="22">
        <v>209645</v>
      </c>
      <c r="D19" s="22">
        <v>189814</v>
      </c>
      <c r="E19" s="22">
        <v>188083</v>
      </c>
      <c r="F19" s="22">
        <v>169535</v>
      </c>
      <c r="G19" s="22">
        <f>SUM('Reports JPY'!B10:E10)</f>
        <v>225983</v>
      </c>
      <c r="H19" s="22">
        <f>SUM('Reports JPY'!F10:I10)</f>
        <v>251488</v>
      </c>
      <c r="I19" s="22">
        <f>SUM('Reports JPY'!J10:M10)</f>
        <v>289331</v>
      </c>
      <c r="J19" s="41">
        <f>I19*1.15</f>
        <v>332730.64999999997</v>
      </c>
      <c r="K19" s="41">
        <f t="shared" ref="K19:N19" si="21">J19*1.15</f>
        <v>382640.24749999994</v>
      </c>
      <c r="L19" s="41">
        <f t="shared" si="21"/>
        <v>440036.28462499991</v>
      </c>
      <c r="M19" s="41">
        <f t="shared" si="21"/>
        <v>506041.72731874988</v>
      </c>
      <c r="N19" s="41">
        <f t="shared" si="21"/>
        <v>581947.98641656234</v>
      </c>
      <c r="O19" s="41">
        <f t="shared" ref="O19" si="22">N19*0.98</f>
        <v>570309.02668823104</v>
      </c>
      <c r="P19" s="41">
        <f t="shared" ref="P19" si="23">O19*0.98</f>
        <v>558902.84615446639</v>
      </c>
      <c r="Q19" s="41">
        <f t="shared" ref="Q19" si="24">P19*0.98</f>
        <v>547724.78923137707</v>
      </c>
      <c r="R19" s="41">
        <f t="shared" ref="R19" si="25">Q19*0.98</f>
        <v>536770.29344674957</v>
      </c>
      <c r="S19" s="41">
        <f t="shared" ref="S19" si="26">R19*0.98</f>
        <v>526034.88757781452</v>
      </c>
      <c r="T19" s="41">
        <f t="shared" ref="T19" si="27">S19*0.98</f>
        <v>515514.18982625823</v>
      </c>
      <c r="U19" s="41">
        <f t="shared" ref="U19" si="28">T19*0.98</f>
        <v>505203.90602973307</v>
      </c>
      <c r="V19" s="41">
        <f t="shared" ref="V19" si="29">U19*0.98</f>
        <v>495099.8279091384</v>
      </c>
      <c r="W19" s="41">
        <f t="shared" ref="W19" si="30">V19*0.98</f>
        <v>485197.83135095565</v>
      </c>
      <c r="X19" s="41">
        <f t="shared" ref="X19" si="31">W19*0.98</f>
        <v>475493.87472393655</v>
      </c>
    </row>
    <row r="20" spans="1:252" s="2" customFormat="1" x14ac:dyDescent="0.15">
      <c r="A20" s="3" t="s">
        <v>14</v>
      </c>
      <c r="B20" s="26">
        <f t="shared" ref="B20:X20" si="32">SUM(B19:B19)</f>
        <v>176764</v>
      </c>
      <c r="C20" s="26">
        <f t="shared" si="32"/>
        <v>209645</v>
      </c>
      <c r="D20" s="26">
        <f t="shared" si="32"/>
        <v>189814</v>
      </c>
      <c r="E20" s="26">
        <f t="shared" si="32"/>
        <v>188083</v>
      </c>
      <c r="F20" s="26">
        <f t="shared" si="32"/>
        <v>169535</v>
      </c>
      <c r="G20" s="26">
        <f t="shared" si="32"/>
        <v>225983</v>
      </c>
      <c r="H20" s="26">
        <f t="shared" si="32"/>
        <v>251488</v>
      </c>
      <c r="I20" s="26">
        <f t="shared" si="32"/>
        <v>289331</v>
      </c>
      <c r="J20" s="41">
        <f t="shared" si="32"/>
        <v>332730.64999999997</v>
      </c>
      <c r="K20" s="41">
        <f t="shared" si="32"/>
        <v>382640.24749999994</v>
      </c>
      <c r="L20" s="41">
        <f t="shared" si="32"/>
        <v>440036.28462499991</v>
      </c>
      <c r="M20" s="41">
        <f t="shared" si="32"/>
        <v>506041.72731874988</v>
      </c>
      <c r="N20" s="41">
        <f t="shared" si="32"/>
        <v>581947.98641656234</v>
      </c>
      <c r="O20" s="41">
        <f t="shared" si="32"/>
        <v>570309.02668823104</v>
      </c>
      <c r="P20" s="41">
        <f t="shared" si="32"/>
        <v>558902.84615446639</v>
      </c>
      <c r="Q20" s="41">
        <f t="shared" si="32"/>
        <v>547724.78923137707</v>
      </c>
      <c r="R20" s="41">
        <f t="shared" si="32"/>
        <v>536770.29344674957</v>
      </c>
      <c r="S20" s="41">
        <f t="shared" si="32"/>
        <v>526034.88757781452</v>
      </c>
      <c r="T20" s="41">
        <f t="shared" si="32"/>
        <v>515514.18982625823</v>
      </c>
      <c r="U20" s="41">
        <f t="shared" si="32"/>
        <v>505203.90602973307</v>
      </c>
      <c r="V20" s="41">
        <f t="shared" si="32"/>
        <v>495099.8279091384</v>
      </c>
      <c r="W20" s="41">
        <f t="shared" si="32"/>
        <v>485197.83135095565</v>
      </c>
      <c r="X20" s="41">
        <f t="shared" si="32"/>
        <v>475493.87472393655</v>
      </c>
    </row>
    <row r="21" spans="1:252" s="2" customFormat="1" x14ac:dyDescent="0.15">
      <c r="A21" s="3" t="s">
        <v>15</v>
      </c>
      <c r="B21" s="26">
        <f t="shared" ref="B21:X21" si="33">B18-B20</f>
        <v>-36410</v>
      </c>
      <c r="C21" s="26">
        <f t="shared" si="33"/>
        <v>-46425</v>
      </c>
      <c r="D21" s="26">
        <f t="shared" si="33"/>
        <v>24770</v>
      </c>
      <c r="E21" s="26">
        <f t="shared" si="33"/>
        <v>32881</v>
      </c>
      <c r="F21" s="26">
        <f t="shared" si="33"/>
        <v>29363</v>
      </c>
      <c r="G21" s="26">
        <f t="shared" si="33"/>
        <v>177283</v>
      </c>
      <c r="H21" s="26">
        <f t="shared" si="33"/>
        <v>249701</v>
      </c>
      <c r="I21" s="26">
        <f t="shared" si="33"/>
        <v>352371</v>
      </c>
      <c r="J21" s="41">
        <f t="shared" si="33"/>
        <v>523601.46701465541</v>
      </c>
      <c r="K21" s="41">
        <f t="shared" si="33"/>
        <v>560496.67302474205</v>
      </c>
      <c r="L21" s="41">
        <f t="shared" si="33"/>
        <v>598854.11303512612</v>
      </c>
      <c r="M21" s="41">
        <f t="shared" si="33"/>
        <v>638467.42655513098</v>
      </c>
      <c r="N21" s="41">
        <f t="shared" si="33"/>
        <v>679060.42764152715</v>
      </c>
      <c r="O21" s="41">
        <f t="shared" si="33"/>
        <v>753749.80807276291</v>
      </c>
      <c r="P21" s="41">
        <f t="shared" si="33"/>
        <v>831358.9303445773</v>
      </c>
      <c r="Q21" s="41">
        <f t="shared" si="33"/>
        <v>912050.07609261887</v>
      </c>
      <c r="R21" s="41">
        <f t="shared" si="33"/>
        <v>995993.31514344609</v>
      </c>
      <c r="S21" s="41">
        <f t="shared" si="33"/>
        <v>1083366.901441891</v>
      </c>
      <c r="T21" s="41">
        <f t="shared" si="33"/>
        <v>1174357.6886444327</v>
      </c>
      <c r="U21" s="41">
        <f t="shared" si="33"/>
        <v>1269161.5663644925</v>
      </c>
      <c r="V21" s="41">
        <f t="shared" si="33"/>
        <v>1367983.9181047985</v>
      </c>
      <c r="W21" s="41">
        <f t="shared" si="33"/>
        <v>1471040.1019636784</v>
      </c>
      <c r="X21" s="41">
        <f t="shared" si="33"/>
        <v>1578555.955256429</v>
      </c>
    </row>
    <row r="22" spans="1:252" s="2" customFormat="1" x14ac:dyDescent="0.15">
      <c r="A22" s="3" t="s">
        <v>16</v>
      </c>
      <c r="B22" s="22">
        <f>48485-1592+2957-3243</f>
        <v>46607</v>
      </c>
      <c r="C22" s="22">
        <f>53136-624+4922-79</f>
        <v>57355</v>
      </c>
      <c r="D22" s="22">
        <f>46043-283+3737-2176</f>
        <v>47321</v>
      </c>
      <c r="E22" s="22">
        <f>14550-18641+407-1482</f>
        <v>-5166</v>
      </c>
      <c r="F22" s="22">
        <f>28593-7591+64775-409</f>
        <v>85368</v>
      </c>
      <c r="G22" s="22">
        <f>SUM('Reports JPY'!B13:E13)</f>
        <v>23532</v>
      </c>
      <c r="H22" s="22">
        <f>SUM('Reports JPY'!F13:I13)</f>
        <v>22070</v>
      </c>
      <c r="I22" s="22">
        <f>SUM('Reports JPY'!J13:M13)</f>
        <v>8904</v>
      </c>
      <c r="J22" s="41">
        <f t="shared" ref="J22:X22" si="34">I36*$F$3</f>
        <v>27128.400000000001</v>
      </c>
      <c r="K22" s="41">
        <f t="shared" si="34"/>
        <v>34838.61813820518</v>
      </c>
      <c r="L22" s="41">
        <f t="shared" si="34"/>
        <v>43173.312214486439</v>
      </c>
      <c r="M22" s="41">
        <f t="shared" si="34"/>
        <v>52161.696167981019</v>
      </c>
      <c r="N22" s="41">
        <f t="shared" si="34"/>
        <v>61830.50388610459</v>
      </c>
      <c r="O22" s="41">
        <f t="shared" si="34"/>
        <v>72202.976927491443</v>
      </c>
      <c r="P22" s="41">
        <f t="shared" si="34"/>
        <v>83766.315917494998</v>
      </c>
      <c r="Q22" s="41">
        <f t="shared" si="34"/>
        <v>96578.069365164003</v>
      </c>
      <c r="R22" s="41">
        <f t="shared" si="34"/>
        <v>110698.86340157296</v>
      </c>
      <c r="S22" s="41">
        <f t="shared" si="34"/>
        <v>126192.55390120324</v>
      </c>
      <c r="T22" s="41">
        <f t="shared" si="34"/>
        <v>143126.38627600655</v>
      </c>
      <c r="U22" s="41">
        <f t="shared" si="34"/>
        <v>161571.16332489272</v>
      </c>
      <c r="V22" s="41">
        <f t="shared" si="34"/>
        <v>181601.42154054411</v>
      </c>
      <c r="W22" s="41">
        <f t="shared" si="34"/>
        <v>203295.61629557889</v>
      </c>
      <c r="X22" s="41">
        <f t="shared" si="34"/>
        <v>226736.31635120852</v>
      </c>
    </row>
    <row r="23" spans="1:252" s="2" customFormat="1" x14ac:dyDescent="0.15">
      <c r="A23" s="3" t="s">
        <v>17</v>
      </c>
      <c r="B23" s="26">
        <f t="shared" ref="B23:I23" si="35">B21+B22</f>
        <v>10197</v>
      </c>
      <c r="C23" s="26">
        <f t="shared" si="35"/>
        <v>10930</v>
      </c>
      <c r="D23" s="26">
        <f t="shared" si="35"/>
        <v>72091</v>
      </c>
      <c r="E23" s="26">
        <f t="shared" si="35"/>
        <v>27715</v>
      </c>
      <c r="F23" s="26">
        <f t="shared" si="35"/>
        <v>114731</v>
      </c>
      <c r="G23" s="26">
        <f t="shared" si="35"/>
        <v>200815</v>
      </c>
      <c r="H23" s="26">
        <f t="shared" si="35"/>
        <v>271771</v>
      </c>
      <c r="I23" s="26">
        <f t="shared" si="35"/>
        <v>361275</v>
      </c>
      <c r="J23" s="41">
        <f t="shared" ref="J23:S23" si="36">J21+J22</f>
        <v>550729.86701465538</v>
      </c>
      <c r="K23" s="41">
        <f t="shared" si="36"/>
        <v>595335.29116294719</v>
      </c>
      <c r="L23" s="41">
        <f t="shared" si="36"/>
        <v>642027.42524961254</v>
      </c>
      <c r="M23" s="41">
        <f t="shared" si="36"/>
        <v>690629.122723112</v>
      </c>
      <c r="N23" s="41">
        <f t="shared" si="36"/>
        <v>740890.93152763171</v>
      </c>
      <c r="O23" s="41">
        <f t="shared" si="36"/>
        <v>825952.7850002544</v>
      </c>
      <c r="P23" s="41">
        <f t="shared" si="36"/>
        <v>915125.24626207235</v>
      </c>
      <c r="Q23" s="41">
        <f t="shared" si="36"/>
        <v>1008628.1454577829</v>
      </c>
      <c r="R23" s="41">
        <f t="shared" si="36"/>
        <v>1106692.1785450191</v>
      </c>
      <c r="S23" s="41">
        <f t="shared" si="36"/>
        <v>1209559.4553430942</v>
      </c>
      <c r="T23" s="41">
        <f t="shared" ref="T23:X23" si="37">T21+T22</f>
        <v>1317484.0749204392</v>
      </c>
      <c r="U23" s="41">
        <f t="shared" si="37"/>
        <v>1430732.7296893853</v>
      </c>
      <c r="V23" s="41">
        <f t="shared" si="37"/>
        <v>1549585.3396453427</v>
      </c>
      <c r="W23" s="41">
        <f t="shared" si="37"/>
        <v>1674335.7182592573</v>
      </c>
      <c r="X23" s="41">
        <f t="shared" si="37"/>
        <v>1805292.2716076376</v>
      </c>
    </row>
    <row r="24" spans="1:252" s="2" customFormat="1" x14ac:dyDescent="0.15">
      <c r="A24" s="3" t="s">
        <v>18</v>
      </c>
      <c r="B24" s="22">
        <v>3029</v>
      </c>
      <c r="C24" s="22">
        <v>34132</v>
      </c>
      <c r="D24" s="22">
        <v>30228</v>
      </c>
      <c r="E24" s="22">
        <v>11197</v>
      </c>
      <c r="F24" s="22">
        <v>12147</v>
      </c>
      <c r="G24" s="22">
        <f>SUM('Reports JPY'!B15:E15)</f>
        <v>60114</v>
      </c>
      <c r="H24" s="22">
        <f>SUM('Reports JPY'!F15:I15)</f>
        <v>77204</v>
      </c>
      <c r="I24" s="22">
        <f>SUM('Reports JPY'!J15:M15)</f>
        <v>102589</v>
      </c>
      <c r="J24" s="41">
        <f>J23*0.3</f>
        <v>165218.9601043966</v>
      </c>
      <c r="K24" s="41">
        <f t="shared" ref="K24:X24" si="38">K23*0.3</f>
        <v>178600.58734888415</v>
      </c>
      <c r="L24" s="41">
        <f t="shared" si="38"/>
        <v>192608.22757488376</v>
      </c>
      <c r="M24" s="41">
        <f t="shared" si="38"/>
        <v>207188.73681693358</v>
      </c>
      <c r="N24" s="41">
        <f t="shared" si="38"/>
        <v>222267.2794582895</v>
      </c>
      <c r="O24" s="41">
        <f t="shared" si="38"/>
        <v>247785.8355000763</v>
      </c>
      <c r="P24" s="41">
        <f t="shared" si="38"/>
        <v>274537.57387862168</v>
      </c>
      <c r="Q24" s="41">
        <f t="shared" si="38"/>
        <v>302588.44363733486</v>
      </c>
      <c r="R24" s="41">
        <f t="shared" si="38"/>
        <v>332007.65356350574</v>
      </c>
      <c r="S24" s="41">
        <f t="shared" si="38"/>
        <v>362867.83660292823</v>
      </c>
      <c r="T24" s="41">
        <f t="shared" si="38"/>
        <v>395245.22247613175</v>
      </c>
      <c r="U24" s="41">
        <f t="shared" si="38"/>
        <v>429219.81890681555</v>
      </c>
      <c r="V24" s="41">
        <f t="shared" si="38"/>
        <v>464875.60189360281</v>
      </c>
      <c r="W24" s="41">
        <f t="shared" si="38"/>
        <v>502300.71547777718</v>
      </c>
      <c r="X24" s="41">
        <f t="shared" si="38"/>
        <v>541587.68148229131</v>
      </c>
    </row>
    <row r="25" spans="1:252" s="2" customFormat="1" x14ac:dyDescent="0.15">
      <c r="A25" s="2" t="s">
        <v>47</v>
      </c>
      <c r="B25" s="25">
        <f t="shared" ref="B25:C25" si="39">B23-B24</f>
        <v>7168</v>
      </c>
      <c r="C25" s="25">
        <f t="shared" si="39"/>
        <v>-23202</v>
      </c>
      <c r="D25" s="25">
        <f t="shared" ref="D25" si="40">D23-D24</f>
        <v>41863</v>
      </c>
      <c r="E25" s="25">
        <f t="shared" ref="E25:F25" si="41">E23-E24</f>
        <v>16518</v>
      </c>
      <c r="F25" s="25">
        <f t="shared" si="41"/>
        <v>102584</v>
      </c>
      <c r="G25" s="25">
        <f t="shared" ref="G25:J25" si="42">G23-G24</f>
        <v>140701</v>
      </c>
      <c r="H25" s="25">
        <f t="shared" si="42"/>
        <v>194567</v>
      </c>
      <c r="I25" s="25">
        <f t="shared" si="42"/>
        <v>258686</v>
      </c>
      <c r="J25" s="25">
        <f t="shared" si="42"/>
        <v>385510.90691025881</v>
      </c>
      <c r="K25" s="25">
        <f t="shared" ref="K25:S25" si="43">K23-K24</f>
        <v>416734.70381406305</v>
      </c>
      <c r="L25" s="25">
        <f t="shared" si="43"/>
        <v>449419.19767472881</v>
      </c>
      <c r="M25" s="25">
        <f t="shared" si="43"/>
        <v>483440.38590617839</v>
      </c>
      <c r="N25" s="25">
        <f t="shared" si="43"/>
        <v>518623.65206934221</v>
      </c>
      <c r="O25" s="25">
        <f t="shared" si="43"/>
        <v>578166.9495001781</v>
      </c>
      <c r="P25" s="25">
        <f t="shared" si="43"/>
        <v>640587.67238345067</v>
      </c>
      <c r="Q25" s="25">
        <f t="shared" si="43"/>
        <v>706039.70182044804</v>
      </c>
      <c r="R25" s="25">
        <f t="shared" si="43"/>
        <v>774684.52498151339</v>
      </c>
      <c r="S25" s="25">
        <f t="shared" si="43"/>
        <v>846691.61874016596</v>
      </c>
      <c r="T25" s="25">
        <f t="shared" ref="T25:X25" si="44">T23-T24</f>
        <v>922238.85244430741</v>
      </c>
      <c r="U25" s="25">
        <f t="shared" si="44"/>
        <v>1001512.9107825698</v>
      </c>
      <c r="V25" s="25">
        <f t="shared" si="44"/>
        <v>1084709.7377517398</v>
      </c>
      <c r="W25" s="25">
        <f t="shared" si="44"/>
        <v>1172035.0027814801</v>
      </c>
      <c r="X25" s="25">
        <f t="shared" si="44"/>
        <v>1263704.5901253463</v>
      </c>
      <c r="Y25" s="15">
        <f t="shared" ref="Y25:CJ25" si="45">X25*($F$2+1)</f>
        <v>1238430.4983228394</v>
      </c>
      <c r="Z25" s="15">
        <f t="shared" si="45"/>
        <v>1213661.8883563825</v>
      </c>
      <c r="AA25" s="15">
        <f t="shared" si="45"/>
        <v>1189388.6505892549</v>
      </c>
      <c r="AB25" s="15">
        <f t="shared" si="45"/>
        <v>1165600.8775774697</v>
      </c>
      <c r="AC25" s="15">
        <f t="shared" si="45"/>
        <v>1142288.8600259202</v>
      </c>
      <c r="AD25" s="15">
        <f t="shared" si="45"/>
        <v>1119443.0828254018</v>
      </c>
      <c r="AE25" s="15">
        <f t="shared" si="45"/>
        <v>1097054.2211688939</v>
      </c>
      <c r="AF25" s="15">
        <f t="shared" si="45"/>
        <v>1075113.136745516</v>
      </c>
      <c r="AG25" s="15">
        <f t="shared" si="45"/>
        <v>1053610.8740106057</v>
      </c>
      <c r="AH25" s="15">
        <f t="shared" si="45"/>
        <v>1032538.6565303936</v>
      </c>
      <c r="AI25" s="15">
        <f t="shared" si="45"/>
        <v>1011887.8833997857</v>
      </c>
      <c r="AJ25" s="15">
        <f t="shared" si="45"/>
        <v>991650.12573178997</v>
      </c>
      <c r="AK25" s="15">
        <f t="shared" si="45"/>
        <v>971817.12321715418</v>
      </c>
      <c r="AL25" s="15">
        <f t="shared" si="45"/>
        <v>952380.78075281112</v>
      </c>
      <c r="AM25" s="15">
        <f t="shared" si="45"/>
        <v>933333.16513775487</v>
      </c>
      <c r="AN25" s="15">
        <f t="shared" si="45"/>
        <v>914666.50183499977</v>
      </c>
      <c r="AO25" s="15">
        <f t="shared" si="45"/>
        <v>896373.17179829977</v>
      </c>
      <c r="AP25" s="15">
        <f t="shared" si="45"/>
        <v>878445.70836233371</v>
      </c>
      <c r="AQ25" s="15">
        <f t="shared" si="45"/>
        <v>860876.79419508704</v>
      </c>
      <c r="AR25" s="15">
        <f t="shared" si="45"/>
        <v>843659.25831118529</v>
      </c>
      <c r="AS25" s="15">
        <f t="shared" si="45"/>
        <v>826786.07314496161</v>
      </c>
      <c r="AT25" s="15">
        <f t="shared" si="45"/>
        <v>810250.35168206238</v>
      </c>
      <c r="AU25" s="15">
        <f t="shared" si="45"/>
        <v>794045.34464842116</v>
      </c>
      <c r="AV25" s="15">
        <f t="shared" si="45"/>
        <v>778164.4377554527</v>
      </c>
      <c r="AW25" s="15">
        <f t="shared" si="45"/>
        <v>762601.14900034363</v>
      </c>
      <c r="AX25" s="15">
        <f t="shared" si="45"/>
        <v>747349.12602033676</v>
      </c>
      <c r="AY25" s="15">
        <f t="shared" si="45"/>
        <v>732402.14349993004</v>
      </c>
      <c r="AZ25" s="15">
        <f t="shared" si="45"/>
        <v>717754.10062993143</v>
      </c>
      <c r="BA25" s="15">
        <f t="shared" si="45"/>
        <v>703399.0186173328</v>
      </c>
      <c r="BB25" s="15">
        <f t="shared" si="45"/>
        <v>689331.03824498609</v>
      </c>
      <c r="BC25" s="15">
        <f t="shared" si="45"/>
        <v>675544.41748008633</v>
      </c>
      <c r="BD25" s="15">
        <f t="shared" si="45"/>
        <v>662033.52913048456</v>
      </c>
      <c r="BE25" s="15">
        <f t="shared" si="45"/>
        <v>648792.85854787484</v>
      </c>
      <c r="BF25" s="15">
        <f t="shared" si="45"/>
        <v>635817.00137691735</v>
      </c>
      <c r="BG25" s="15">
        <f t="shared" si="45"/>
        <v>623100.66134937899</v>
      </c>
      <c r="BH25" s="15">
        <f t="shared" si="45"/>
        <v>610638.64812239143</v>
      </c>
      <c r="BI25" s="15">
        <f t="shared" si="45"/>
        <v>598425.87515994359</v>
      </c>
      <c r="BJ25" s="15">
        <f t="shared" si="45"/>
        <v>586457.35765674466</v>
      </c>
      <c r="BK25" s="15">
        <f t="shared" si="45"/>
        <v>574728.21050360973</v>
      </c>
      <c r="BL25" s="15">
        <f t="shared" si="45"/>
        <v>563233.64629353757</v>
      </c>
      <c r="BM25" s="15">
        <f t="shared" si="45"/>
        <v>551968.97336766683</v>
      </c>
      <c r="BN25" s="15">
        <f t="shared" si="45"/>
        <v>540929.59390031348</v>
      </c>
      <c r="BO25" s="15">
        <f t="shared" si="45"/>
        <v>530111.00202230725</v>
      </c>
      <c r="BP25" s="15">
        <f t="shared" si="45"/>
        <v>519508.7819818611</v>
      </c>
      <c r="BQ25" s="15">
        <f t="shared" si="45"/>
        <v>509118.60634222388</v>
      </c>
      <c r="BR25" s="15">
        <f t="shared" si="45"/>
        <v>498936.2342153794</v>
      </c>
      <c r="BS25" s="15">
        <f t="shared" si="45"/>
        <v>488957.50953107182</v>
      </c>
      <c r="BT25" s="15">
        <f t="shared" si="45"/>
        <v>479178.35934045038</v>
      </c>
      <c r="BU25" s="15">
        <f t="shared" si="45"/>
        <v>469594.79215364135</v>
      </c>
      <c r="BV25" s="15">
        <f t="shared" si="45"/>
        <v>460202.8963105685</v>
      </c>
      <c r="BW25" s="15">
        <f t="shared" si="45"/>
        <v>450998.83838435711</v>
      </c>
      <c r="BX25" s="15">
        <f t="shared" si="45"/>
        <v>441978.86161666998</v>
      </c>
      <c r="BY25" s="15">
        <f t="shared" si="45"/>
        <v>433139.28438433656</v>
      </c>
      <c r="BZ25" s="15">
        <f t="shared" si="45"/>
        <v>424476.4986966498</v>
      </c>
      <c r="CA25" s="15">
        <f t="shared" si="45"/>
        <v>415986.96872271679</v>
      </c>
      <c r="CB25" s="15">
        <f t="shared" si="45"/>
        <v>407667.22934826242</v>
      </c>
      <c r="CC25" s="15">
        <f t="shared" si="45"/>
        <v>399513.88476129714</v>
      </c>
      <c r="CD25" s="15">
        <f t="shared" si="45"/>
        <v>391523.60706607118</v>
      </c>
      <c r="CE25" s="15">
        <f t="shared" si="45"/>
        <v>383693.13492474973</v>
      </c>
      <c r="CF25" s="15">
        <f t="shared" si="45"/>
        <v>376019.27222625475</v>
      </c>
      <c r="CG25" s="15">
        <f t="shared" si="45"/>
        <v>368498.88678172964</v>
      </c>
      <c r="CH25" s="15">
        <f t="shared" si="45"/>
        <v>361128.90904609504</v>
      </c>
      <c r="CI25" s="15">
        <f t="shared" si="45"/>
        <v>353906.33086517313</v>
      </c>
      <c r="CJ25" s="15">
        <f t="shared" si="45"/>
        <v>346828.20424786967</v>
      </c>
      <c r="CK25" s="15">
        <f t="shared" ref="CK25:EV25" si="46">CJ25*($F$2+1)</f>
        <v>339891.64016291226</v>
      </c>
      <c r="CL25" s="15">
        <f t="shared" si="46"/>
        <v>333093.80735965399</v>
      </c>
      <c r="CM25" s="15">
        <f t="shared" si="46"/>
        <v>326431.93121246091</v>
      </c>
      <c r="CN25" s="15">
        <f t="shared" si="46"/>
        <v>319903.29258821171</v>
      </c>
      <c r="CO25" s="15">
        <f t="shared" si="46"/>
        <v>313505.22673644748</v>
      </c>
      <c r="CP25" s="15">
        <f t="shared" si="46"/>
        <v>307235.12220171851</v>
      </c>
      <c r="CQ25" s="15">
        <f t="shared" si="46"/>
        <v>301090.41975768411</v>
      </c>
      <c r="CR25" s="15">
        <f t="shared" si="46"/>
        <v>295068.61136253044</v>
      </c>
      <c r="CS25" s="15">
        <f t="shared" si="46"/>
        <v>289167.23913527984</v>
      </c>
      <c r="CT25" s="15">
        <f t="shared" si="46"/>
        <v>283383.89435257425</v>
      </c>
      <c r="CU25" s="15">
        <f t="shared" si="46"/>
        <v>277716.21646552277</v>
      </c>
      <c r="CV25" s="15">
        <f t="shared" si="46"/>
        <v>272161.89213621232</v>
      </c>
      <c r="CW25" s="15">
        <f t="shared" si="46"/>
        <v>266718.65429348807</v>
      </c>
      <c r="CX25" s="15">
        <f t="shared" si="46"/>
        <v>261384.2812076183</v>
      </c>
      <c r="CY25" s="15">
        <f t="shared" si="46"/>
        <v>256156.59558346594</v>
      </c>
      <c r="CZ25" s="15">
        <f t="shared" si="46"/>
        <v>251033.46367179661</v>
      </c>
      <c r="DA25" s="15">
        <f t="shared" si="46"/>
        <v>246012.79439836068</v>
      </c>
      <c r="DB25" s="15">
        <f t="shared" si="46"/>
        <v>241092.53851039347</v>
      </c>
      <c r="DC25" s="15">
        <f t="shared" si="46"/>
        <v>236270.68774018559</v>
      </c>
      <c r="DD25" s="15">
        <f t="shared" si="46"/>
        <v>231545.27398538188</v>
      </c>
      <c r="DE25" s="15">
        <f t="shared" si="46"/>
        <v>226914.36850567424</v>
      </c>
      <c r="DF25" s="15">
        <f t="shared" si="46"/>
        <v>222376.08113556076</v>
      </c>
      <c r="DG25" s="15">
        <f t="shared" si="46"/>
        <v>217928.55951284955</v>
      </c>
      <c r="DH25" s="15">
        <f t="shared" si="46"/>
        <v>213569.98832259254</v>
      </c>
      <c r="DI25" s="15">
        <f t="shared" si="46"/>
        <v>209298.58855614069</v>
      </c>
      <c r="DJ25" s="15">
        <f t="shared" si="46"/>
        <v>205112.61678501786</v>
      </c>
      <c r="DK25" s="15">
        <f t="shared" si="46"/>
        <v>201010.36444931751</v>
      </c>
      <c r="DL25" s="15">
        <f t="shared" si="46"/>
        <v>196990.15716033115</v>
      </c>
      <c r="DM25" s="15">
        <f t="shared" si="46"/>
        <v>193050.35401712451</v>
      </c>
      <c r="DN25" s="15">
        <f t="shared" si="46"/>
        <v>189189.34693678201</v>
      </c>
      <c r="DO25" s="15">
        <f t="shared" si="46"/>
        <v>185405.55999804637</v>
      </c>
      <c r="DP25" s="15">
        <f t="shared" si="46"/>
        <v>181697.44879808545</v>
      </c>
      <c r="DQ25" s="15">
        <f t="shared" si="46"/>
        <v>178063.49982212373</v>
      </c>
      <c r="DR25" s="15">
        <f t="shared" si="46"/>
        <v>174502.22982568125</v>
      </c>
      <c r="DS25" s="15">
        <f t="shared" si="46"/>
        <v>171012.18522916763</v>
      </c>
      <c r="DT25" s="15">
        <f t="shared" si="46"/>
        <v>167591.94152458428</v>
      </c>
      <c r="DU25" s="15">
        <f t="shared" si="46"/>
        <v>164240.10269409258</v>
      </c>
      <c r="DV25" s="15">
        <f t="shared" si="46"/>
        <v>160955.30064021071</v>
      </c>
      <c r="DW25" s="15">
        <f t="shared" si="46"/>
        <v>157736.19462740648</v>
      </c>
      <c r="DX25" s="15">
        <f t="shared" si="46"/>
        <v>154581.47073485836</v>
      </c>
      <c r="DY25" s="15">
        <f t="shared" si="46"/>
        <v>151489.84132016118</v>
      </c>
      <c r="DZ25" s="15">
        <f t="shared" si="46"/>
        <v>148460.04449375795</v>
      </c>
      <c r="EA25" s="15">
        <f t="shared" si="46"/>
        <v>145490.84360388279</v>
      </c>
      <c r="EB25" s="15">
        <f t="shared" si="46"/>
        <v>142581.02673180515</v>
      </c>
      <c r="EC25" s="15">
        <f t="shared" si="46"/>
        <v>139729.40619716904</v>
      </c>
      <c r="ED25" s="15">
        <f t="shared" si="46"/>
        <v>136934.81807322564</v>
      </c>
      <c r="EE25" s="15">
        <f t="shared" si="46"/>
        <v>134196.12171176114</v>
      </c>
      <c r="EF25" s="15">
        <f t="shared" si="46"/>
        <v>131512.19927752591</v>
      </c>
      <c r="EG25" s="15">
        <f t="shared" si="46"/>
        <v>128881.95529197539</v>
      </c>
      <c r="EH25" s="15">
        <f t="shared" si="46"/>
        <v>126304.31618613588</v>
      </c>
      <c r="EI25" s="15">
        <f t="shared" si="46"/>
        <v>123778.22986241317</v>
      </c>
      <c r="EJ25" s="15">
        <f t="shared" si="46"/>
        <v>121302.66526516491</v>
      </c>
      <c r="EK25" s="15">
        <f t="shared" si="46"/>
        <v>118876.61195986161</v>
      </c>
      <c r="EL25" s="15">
        <f t="shared" si="46"/>
        <v>116499.07972066438</v>
      </c>
      <c r="EM25" s="15">
        <f t="shared" si="46"/>
        <v>114169.09812625109</v>
      </c>
      <c r="EN25" s="15">
        <f t="shared" si="46"/>
        <v>111885.71616372607</v>
      </c>
      <c r="EO25" s="15">
        <f t="shared" si="46"/>
        <v>109648.00184045154</v>
      </c>
      <c r="EP25" s="15">
        <f t="shared" si="46"/>
        <v>107455.04180364251</v>
      </c>
      <c r="EQ25" s="15">
        <f t="shared" si="46"/>
        <v>105305.94096756965</v>
      </c>
      <c r="ER25" s="15">
        <f t="shared" si="46"/>
        <v>103199.82214821826</v>
      </c>
      <c r="ES25" s="15">
        <f t="shared" si="46"/>
        <v>101135.82570525388</v>
      </c>
      <c r="ET25" s="15">
        <f t="shared" si="46"/>
        <v>99113.109191148804</v>
      </c>
      <c r="EU25" s="15">
        <f t="shared" si="46"/>
        <v>97130.847007325821</v>
      </c>
      <c r="EV25" s="15">
        <f t="shared" si="46"/>
        <v>95188.230067179305</v>
      </c>
      <c r="EW25" s="15">
        <f t="shared" ref="EW25:HH25" si="47">EV25*($F$2+1)</f>
        <v>93284.465465835718</v>
      </c>
      <c r="EX25" s="15">
        <f t="shared" si="47"/>
        <v>91418.776156519001</v>
      </c>
      <c r="EY25" s="15">
        <f t="shared" si="47"/>
        <v>89590.400633388621</v>
      </c>
      <c r="EZ25" s="15">
        <f t="shared" si="47"/>
        <v>87798.592620720854</v>
      </c>
      <c r="FA25" s="15">
        <f t="shared" si="47"/>
        <v>86042.620768306442</v>
      </c>
      <c r="FB25" s="15">
        <f t="shared" si="47"/>
        <v>84321.768352940315</v>
      </c>
      <c r="FC25" s="15">
        <f t="shared" si="47"/>
        <v>82635.332985881512</v>
      </c>
      <c r="FD25" s="15">
        <f t="shared" si="47"/>
        <v>80982.626326163881</v>
      </c>
      <c r="FE25" s="15">
        <f t="shared" si="47"/>
        <v>79362.973799640604</v>
      </c>
      <c r="FF25" s="15">
        <f t="shared" si="47"/>
        <v>77775.714323647786</v>
      </c>
      <c r="FG25" s="15">
        <f t="shared" si="47"/>
        <v>76220.200037174829</v>
      </c>
      <c r="FH25" s="15">
        <f t="shared" si="47"/>
        <v>74695.796036431333</v>
      </c>
      <c r="FI25" s="15">
        <f t="shared" si="47"/>
        <v>73201.880115702705</v>
      </c>
      <c r="FJ25" s="15">
        <f t="shared" si="47"/>
        <v>71737.842513388649</v>
      </c>
      <c r="FK25" s="15">
        <f t="shared" si="47"/>
        <v>70303.085663120874</v>
      </c>
      <c r="FL25" s="15">
        <f t="shared" si="47"/>
        <v>68897.023949858456</v>
      </c>
      <c r="FM25" s="15">
        <f t="shared" si="47"/>
        <v>67519.083470861282</v>
      </c>
      <c r="FN25" s="15">
        <f t="shared" si="47"/>
        <v>66168.701801444055</v>
      </c>
      <c r="FO25" s="15">
        <f t="shared" si="47"/>
        <v>64845.327765415175</v>
      </c>
      <c r="FP25" s="15">
        <f t="shared" si="47"/>
        <v>63548.42121010687</v>
      </c>
      <c r="FQ25" s="15">
        <f t="shared" si="47"/>
        <v>62277.45278590473</v>
      </c>
      <c r="FR25" s="15">
        <f t="shared" si="47"/>
        <v>61031.903730186634</v>
      </c>
      <c r="FS25" s="15">
        <f t="shared" si="47"/>
        <v>59811.265655582902</v>
      </c>
      <c r="FT25" s="15">
        <f t="shared" si="47"/>
        <v>58615.040342471242</v>
      </c>
      <c r="FU25" s="15">
        <f t="shared" si="47"/>
        <v>57442.739535621819</v>
      </c>
      <c r="FV25" s="15">
        <f t="shared" si="47"/>
        <v>56293.884744909381</v>
      </c>
      <c r="FW25" s="15">
        <f t="shared" si="47"/>
        <v>55168.007050011191</v>
      </c>
      <c r="FX25" s="15">
        <f t="shared" si="47"/>
        <v>54064.646909010968</v>
      </c>
      <c r="FY25" s="15">
        <f t="shared" si="47"/>
        <v>52983.353970830751</v>
      </c>
      <c r="FZ25" s="15">
        <f t="shared" si="47"/>
        <v>51923.686891414138</v>
      </c>
      <c r="GA25" s="15">
        <f t="shared" si="47"/>
        <v>50885.213153585857</v>
      </c>
      <c r="GB25" s="15">
        <f t="shared" si="47"/>
        <v>49867.508890514138</v>
      </c>
      <c r="GC25" s="15">
        <f t="shared" si="47"/>
        <v>48870.158712703851</v>
      </c>
      <c r="GD25" s="15">
        <f t="shared" si="47"/>
        <v>47892.755538449775</v>
      </c>
      <c r="GE25" s="15">
        <f t="shared" si="47"/>
        <v>46934.900427680783</v>
      </c>
      <c r="GF25" s="15">
        <f t="shared" si="47"/>
        <v>45996.202419127163</v>
      </c>
      <c r="GG25" s="15">
        <f t="shared" si="47"/>
        <v>45076.278370744621</v>
      </c>
      <c r="GH25" s="15">
        <f t="shared" si="47"/>
        <v>44174.752803329728</v>
      </c>
      <c r="GI25" s="15">
        <f t="shared" si="47"/>
        <v>43291.257747263131</v>
      </c>
      <c r="GJ25" s="15">
        <f t="shared" si="47"/>
        <v>42425.432592317869</v>
      </c>
      <c r="GK25" s="15">
        <f t="shared" si="47"/>
        <v>41576.923940471512</v>
      </c>
      <c r="GL25" s="15">
        <f t="shared" si="47"/>
        <v>40745.385461662081</v>
      </c>
      <c r="GM25" s="15">
        <f t="shared" si="47"/>
        <v>39930.477752428837</v>
      </c>
      <c r="GN25" s="15">
        <f t="shared" si="47"/>
        <v>39131.86819738026</v>
      </c>
      <c r="GO25" s="15">
        <f t="shared" si="47"/>
        <v>38349.230833432652</v>
      </c>
      <c r="GP25" s="15">
        <f t="shared" si="47"/>
        <v>37582.246216763997</v>
      </c>
      <c r="GQ25" s="15">
        <f t="shared" si="47"/>
        <v>36830.601292428713</v>
      </c>
      <c r="GR25" s="15">
        <f t="shared" si="47"/>
        <v>36093.989266580138</v>
      </c>
      <c r="GS25" s="15">
        <f t="shared" si="47"/>
        <v>35372.109481248532</v>
      </c>
      <c r="GT25" s="15">
        <f t="shared" si="47"/>
        <v>34664.667291623562</v>
      </c>
      <c r="GU25" s="15">
        <f t="shared" si="47"/>
        <v>33971.373945791092</v>
      </c>
      <c r="GV25" s="15">
        <f t="shared" si="47"/>
        <v>33291.94646687527</v>
      </c>
      <c r="GW25" s="15">
        <f t="shared" si="47"/>
        <v>32626.107537537762</v>
      </c>
      <c r="GX25" s="15">
        <f t="shared" si="47"/>
        <v>31973.585386787006</v>
      </c>
      <c r="GY25" s="15">
        <f t="shared" si="47"/>
        <v>31334.113679051265</v>
      </c>
      <c r="GZ25" s="15">
        <f t="shared" si="47"/>
        <v>30707.431405470237</v>
      </c>
      <c r="HA25" s="15">
        <f t="shared" si="47"/>
        <v>30093.282777360833</v>
      </c>
      <c r="HB25" s="15">
        <f t="shared" si="47"/>
        <v>29491.417121813614</v>
      </c>
      <c r="HC25" s="15">
        <f t="shared" si="47"/>
        <v>28901.58877937734</v>
      </c>
      <c r="HD25" s="15">
        <f t="shared" si="47"/>
        <v>28323.557003789792</v>
      </c>
      <c r="HE25" s="15">
        <f t="shared" si="47"/>
        <v>27757.085863713997</v>
      </c>
      <c r="HF25" s="15">
        <f t="shared" si="47"/>
        <v>27201.944146439717</v>
      </c>
      <c r="HG25" s="15">
        <f t="shared" si="47"/>
        <v>26657.905263510922</v>
      </c>
      <c r="HH25" s="15">
        <f t="shared" si="47"/>
        <v>26124.747158240702</v>
      </c>
      <c r="HI25" s="15">
        <f t="shared" ref="HI25:IR25" si="48">HH25*($F$2+1)</f>
        <v>25602.252215075889</v>
      </c>
      <c r="HJ25" s="15">
        <f t="shared" si="48"/>
        <v>25090.207170774371</v>
      </c>
      <c r="HK25" s="15">
        <f t="shared" si="48"/>
        <v>24588.403027358883</v>
      </c>
      <c r="HL25" s="15">
        <f t="shared" si="48"/>
        <v>24096.634966811704</v>
      </c>
      <c r="HM25" s="15">
        <f t="shared" si="48"/>
        <v>23614.70226747547</v>
      </c>
      <c r="HN25" s="15">
        <f t="shared" si="48"/>
        <v>23142.40822212596</v>
      </c>
      <c r="HO25" s="15">
        <f t="shared" si="48"/>
        <v>22679.56005768344</v>
      </c>
      <c r="HP25" s="15">
        <f t="shared" si="48"/>
        <v>22225.968856529773</v>
      </c>
      <c r="HQ25" s="15">
        <f t="shared" si="48"/>
        <v>21781.449479399176</v>
      </c>
      <c r="HR25" s="15">
        <f t="shared" si="48"/>
        <v>21345.820489811191</v>
      </c>
      <c r="HS25" s="15">
        <f t="shared" si="48"/>
        <v>20918.904080014967</v>
      </c>
      <c r="HT25" s="15">
        <f t="shared" si="48"/>
        <v>20500.525998414669</v>
      </c>
      <c r="HU25" s="15">
        <f t="shared" si="48"/>
        <v>20090.515478446374</v>
      </c>
      <c r="HV25" s="15">
        <f t="shared" si="48"/>
        <v>19688.705168877445</v>
      </c>
      <c r="HW25" s="15">
        <f t="shared" si="48"/>
        <v>19294.931065499895</v>
      </c>
      <c r="HX25" s="15">
        <f t="shared" si="48"/>
        <v>18909.032444189896</v>
      </c>
      <c r="HY25" s="15">
        <f t="shared" si="48"/>
        <v>18530.851795306098</v>
      </c>
      <c r="HZ25" s="15">
        <f t="shared" si="48"/>
        <v>18160.234759399977</v>
      </c>
      <c r="IA25" s="15">
        <f t="shared" si="48"/>
        <v>17797.030064211976</v>
      </c>
      <c r="IB25" s="15">
        <f t="shared" si="48"/>
        <v>17441.089462927735</v>
      </c>
      <c r="IC25" s="15">
        <f t="shared" si="48"/>
        <v>17092.267673669179</v>
      </c>
      <c r="ID25" s="15">
        <f t="shared" si="48"/>
        <v>16750.422320195794</v>
      </c>
      <c r="IE25" s="15">
        <f t="shared" si="48"/>
        <v>16415.413873791877</v>
      </c>
      <c r="IF25" s="15">
        <f t="shared" si="48"/>
        <v>16087.105596316038</v>
      </c>
      <c r="IG25" s="15">
        <f t="shared" si="48"/>
        <v>15765.363484389716</v>
      </c>
      <c r="IH25" s="15">
        <f t="shared" si="48"/>
        <v>15450.056214701921</v>
      </c>
      <c r="II25" s="15">
        <f t="shared" si="48"/>
        <v>15141.055090407883</v>
      </c>
      <c r="IJ25" s="15">
        <f t="shared" si="48"/>
        <v>14838.233988599724</v>
      </c>
      <c r="IK25" s="15">
        <f t="shared" si="48"/>
        <v>14541.469308827729</v>
      </c>
      <c r="IL25" s="15">
        <f t="shared" si="48"/>
        <v>14250.639922651175</v>
      </c>
      <c r="IM25" s="15">
        <f t="shared" si="48"/>
        <v>13965.62712419815</v>
      </c>
      <c r="IN25" s="15">
        <f t="shared" si="48"/>
        <v>13686.314581714187</v>
      </c>
      <c r="IO25" s="15">
        <f t="shared" si="48"/>
        <v>13412.588290079902</v>
      </c>
      <c r="IP25" s="15">
        <f t="shared" si="48"/>
        <v>13144.336524278304</v>
      </c>
      <c r="IQ25" s="15">
        <f t="shared" si="48"/>
        <v>12881.449793792737</v>
      </c>
      <c r="IR25" s="15">
        <f t="shared" si="48"/>
        <v>12623.820797916882</v>
      </c>
    </row>
    <row r="26" spans="1:252" s="2" customFormat="1" x14ac:dyDescent="0.15">
      <c r="A26" s="3" t="s">
        <v>19</v>
      </c>
      <c r="B26" s="29" t="e">
        <f t="shared" ref="B26:C26" si="49">B25/B27</f>
        <v>#DIV/0!</v>
      </c>
      <c r="C26" s="29" t="e">
        <f t="shared" si="49"/>
        <v>#DIV/0!</v>
      </c>
      <c r="D26" s="29" t="e">
        <f t="shared" ref="D26" si="50">D25/D27</f>
        <v>#DIV/0!</v>
      </c>
      <c r="E26" s="29" t="e">
        <f t="shared" ref="E26:F26" si="51">E25/E27</f>
        <v>#DIV/0!</v>
      </c>
      <c r="F26" s="29" t="e">
        <f t="shared" si="51"/>
        <v>#DIV/0!</v>
      </c>
      <c r="G26" s="29" t="e">
        <f t="shared" ref="G26:I26" si="52">G25/G27</f>
        <v>#DIV/0!</v>
      </c>
      <c r="H26" s="29">
        <f t="shared" si="52"/>
        <v>1477.6978635821642</v>
      </c>
      <c r="I26" s="29">
        <f t="shared" si="52"/>
        <v>1964.6689805497117</v>
      </c>
      <c r="J26" s="44">
        <f t="shared" ref="J26:S26" si="53">J25/J27</f>
        <v>2927.8790520947132</v>
      </c>
      <c r="K26" s="44">
        <f t="shared" si="53"/>
        <v>3165.0176109339559</v>
      </c>
      <c r="L26" s="44">
        <f t="shared" si="53"/>
        <v>3413.2498741140948</v>
      </c>
      <c r="M26" s="44">
        <f t="shared" si="53"/>
        <v>3671.6340665318212</v>
      </c>
      <c r="N26" s="44">
        <f t="shared" si="53"/>
        <v>3938.84401088595</v>
      </c>
      <c r="O26" s="44">
        <f t="shared" si="53"/>
        <v>4391.0635722924762</v>
      </c>
      <c r="P26" s="44">
        <f t="shared" si="53"/>
        <v>4865.1366106179175</v>
      </c>
      <c r="Q26" s="44">
        <f t="shared" si="53"/>
        <v>5362.2318223761704</v>
      </c>
      <c r="R26" s="44">
        <f t="shared" si="53"/>
        <v>5883.5756706704942</v>
      </c>
      <c r="S26" s="44">
        <f t="shared" si="53"/>
        <v>6430.4552988187488</v>
      </c>
      <c r="T26" s="44">
        <f t="shared" ref="T26:X26" si="54">T25/T27</f>
        <v>7004.2215893210041</v>
      </c>
      <c r="U26" s="44">
        <f t="shared" si="54"/>
        <v>7606.2923754457743</v>
      </c>
      <c r="V26" s="44">
        <f t="shared" si="54"/>
        <v>8238.1558130747526</v>
      </c>
      <c r="W26" s="44">
        <f t="shared" si="54"/>
        <v>8901.373920827833</v>
      </c>
      <c r="X26" s="44">
        <f t="shared" si="54"/>
        <v>9597.5862968910387</v>
      </c>
    </row>
    <row r="27" spans="1:252" s="2" customFormat="1" x14ac:dyDescent="0.15">
      <c r="A27" s="3" t="s">
        <v>1</v>
      </c>
      <c r="B27" s="22"/>
      <c r="C27" s="22"/>
      <c r="D27" s="22"/>
      <c r="E27" s="22"/>
      <c r="F27" s="41"/>
      <c r="G27" s="41"/>
      <c r="H27" s="41">
        <f>'Reports JPY'!I18</f>
        <v>131.66900000000001</v>
      </c>
      <c r="I27" s="41">
        <f>'Reports JPY'!P18</f>
        <v>131.66900000000001</v>
      </c>
      <c r="J27" s="41">
        <f t="shared" ref="J27:S27" si="55">I27</f>
        <v>131.66900000000001</v>
      </c>
      <c r="K27" s="41">
        <f t="shared" si="55"/>
        <v>131.66900000000001</v>
      </c>
      <c r="L27" s="41">
        <f t="shared" si="55"/>
        <v>131.66900000000001</v>
      </c>
      <c r="M27" s="41">
        <f t="shared" si="55"/>
        <v>131.66900000000001</v>
      </c>
      <c r="N27" s="41">
        <f t="shared" si="55"/>
        <v>131.66900000000001</v>
      </c>
      <c r="O27" s="41">
        <f t="shared" si="55"/>
        <v>131.66900000000001</v>
      </c>
      <c r="P27" s="41">
        <f t="shared" si="55"/>
        <v>131.66900000000001</v>
      </c>
      <c r="Q27" s="41">
        <f t="shared" si="55"/>
        <v>131.66900000000001</v>
      </c>
      <c r="R27" s="41">
        <f t="shared" si="55"/>
        <v>131.66900000000001</v>
      </c>
      <c r="S27" s="41">
        <f t="shared" si="55"/>
        <v>131.66900000000001</v>
      </c>
      <c r="T27" s="41">
        <f t="shared" ref="T27" si="56">S27</f>
        <v>131.66900000000001</v>
      </c>
      <c r="U27" s="41">
        <f t="shared" ref="U27" si="57">T27</f>
        <v>131.66900000000001</v>
      </c>
      <c r="V27" s="41">
        <f t="shared" ref="V27" si="58">U27</f>
        <v>131.66900000000001</v>
      </c>
      <c r="W27" s="41">
        <f t="shared" ref="W27" si="59">V27</f>
        <v>131.66900000000001</v>
      </c>
      <c r="X27" s="41">
        <f t="shared" ref="X27" si="60">W27</f>
        <v>131.66900000000001</v>
      </c>
    </row>
    <row r="28" spans="1:252" s="35" customFormat="1" x14ac:dyDescent="0.15">
      <c r="A28" s="6"/>
      <c r="B28" s="22"/>
      <c r="C28" s="22"/>
      <c r="D28" s="22"/>
      <c r="E28" s="22"/>
      <c r="F28" s="22"/>
      <c r="G28" s="22"/>
      <c r="H28" s="36"/>
      <c r="I28" s="36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  <row r="29" spans="1:252" s="2" customFormat="1" x14ac:dyDescent="0.15">
      <c r="A29" s="2" t="s">
        <v>10</v>
      </c>
      <c r="B29" s="22"/>
      <c r="C29" s="46">
        <f t="shared" ref="C29" si="61">C16/B16-1</f>
        <v>-0.10024204387005797</v>
      </c>
      <c r="D29" s="46">
        <f t="shared" ref="D29:E29" si="62">D16/C16-1</f>
        <v>-3.8385520336664758E-2</v>
      </c>
      <c r="E29" s="46">
        <f t="shared" si="62"/>
        <v>-8.2436611008039562E-2</v>
      </c>
      <c r="F29" s="46">
        <f t="shared" ref="F29" si="63">F16/E16-1</f>
        <v>-3.0454467963636267E-2</v>
      </c>
      <c r="G29" s="46">
        <f t="shared" ref="G29" si="64">G16/F16-1</f>
        <v>1.1584354777701673</v>
      </c>
      <c r="H29" s="46">
        <f t="shared" ref="H29" si="65">H16/G16-1</f>
        <v>0.13723760988178246</v>
      </c>
      <c r="I29" s="46">
        <f t="shared" ref="I29:X29" si="66">I16/H16-1</f>
        <v>8.992477670818344E-2</v>
      </c>
      <c r="J29" s="46">
        <f>J16/I16-1</f>
        <v>0.33447007647577154</v>
      </c>
      <c r="K29" s="46">
        <f>K16/J16-1</f>
        <v>0.10136815119431186</v>
      </c>
      <c r="L29" s="46">
        <f t="shared" si="66"/>
        <v>0.10152659179338319</v>
      </c>
      <c r="M29" s="46">
        <f t="shared" si="66"/>
        <v>0.10166496528569136</v>
      </c>
      <c r="N29" s="46">
        <f t="shared" si="66"/>
        <v>0.10178971464744291</v>
      </c>
      <c r="O29" s="46">
        <f t="shared" si="66"/>
        <v>5.0000000000000044E-2</v>
      </c>
      <c r="P29" s="46">
        <f t="shared" si="66"/>
        <v>5.0000000000000044E-2</v>
      </c>
      <c r="Q29" s="46">
        <f t="shared" si="66"/>
        <v>5.0000000000000044E-2</v>
      </c>
      <c r="R29" s="46">
        <f t="shared" si="66"/>
        <v>5.0000000000000044E-2</v>
      </c>
      <c r="S29" s="46">
        <f t="shared" si="66"/>
        <v>5.0000000000000044E-2</v>
      </c>
      <c r="T29" s="46">
        <f t="shared" si="66"/>
        <v>5.0000000000000044E-2</v>
      </c>
      <c r="U29" s="46">
        <f t="shared" si="66"/>
        <v>5.0000000000000044E-2</v>
      </c>
      <c r="V29" s="46">
        <f t="shared" si="66"/>
        <v>5.0000000000000044E-2</v>
      </c>
      <c r="W29" s="46">
        <f t="shared" si="66"/>
        <v>5.0000000000000044E-2</v>
      </c>
      <c r="X29" s="46">
        <f t="shared" si="66"/>
        <v>5.0000000000000044E-2</v>
      </c>
    </row>
    <row r="30" spans="1:252" x14ac:dyDescent="0.15">
      <c r="A30" s="3" t="s">
        <v>35</v>
      </c>
      <c r="B30" s="22"/>
      <c r="C30" s="47">
        <f t="shared" ref="C30" si="67">C19/B19-1</f>
        <v>0.18601638342648963</v>
      </c>
      <c r="D30" s="47">
        <f t="shared" ref="D30:E30" si="68">D19/C19-1</f>
        <v>-9.4593240954947699E-2</v>
      </c>
      <c r="E30" s="47">
        <f t="shared" si="68"/>
        <v>-9.1194537810699305E-3</v>
      </c>
      <c r="F30" s="47">
        <f t="shared" ref="F30" si="69">F19/E19-1</f>
        <v>-9.8616036537060747E-2</v>
      </c>
      <c r="G30" s="47">
        <f t="shared" ref="G30" si="70">G19/F19-1</f>
        <v>0.33295779632524258</v>
      </c>
      <c r="H30" s="47">
        <f t="shared" ref="H30" si="71">H19/G19-1</f>
        <v>0.11286247195585508</v>
      </c>
      <c r="I30" s="47">
        <f t="shared" ref="I30:X30" si="72">I19/H19-1</f>
        <v>0.15047636467743986</v>
      </c>
      <c r="J30" s="47">
        <f t="shared" si="72"/>
        <v>0.14999999999999991</v>
      </c>
      <c r="K30" s="47">
        <f t="shared" si="72"/>
        <v>0.14999999999999991</v>
      </c>
      <c r="L30" s="47">
        <f t="shared" si="72"/>
        <v>0.14999999999999991</v>
      </c>
      <c r="M30" s="47">
        <f t="shared" si="72"/>
        <v>0.14999999999999991</v>
      </c>
      <c r="N30" s="47">
        <f t="shared" si="72"/>
        <v>0.14999999999999991</v>
      </c>
      <c r="O30" s="47">
        <f t="shared" si="72"/>
        <v>-2.0000000000000129E-2</v>
      </c>
      <c r="P30" s="47">
        <f t="shared" si="72"/>
        <v>-2.0000000000000018E-2</v>
      </c>
      <c r="Q30" s="47">
        <f t="shared" si="72"/>
        <v>-2.0000000000000018E-2</v>
      </c>
      <c r="R30" s="47">
        <f t="shared" si="72"/>
        <v>-1.9999999999999907E-2</v>
      </c>
      <c r="S30" s="47">
        <f t="shared" si="72"/>
        <v>-2.0000000000000129E-2</v>
      </c>
      <c r="T30" s="47">
        <f t="shared" si="72"/>
        <v>-2.0000000000000018E-2</v>
      </c>
      <c r="U30" s="47">
        <f t="shared" si="72"/>
        <v>-2.0000000000000018E-2</v>
      </c>
      <c r="V30" s="47">
        <f t="shared" si="72"/>
        <v>-2.0000000000000018E-2</v>
      </c>
      <c r="W30" s="47">
        <f t="shared" si="72"/>
        <v>-2.0000000000000018E-2</v>
      </c>
      <c r="X30" s="47">
        <f t="shared" si="72"/>
        <v>-2.0000000000000018E-2</v>
      </c>
    </row>
    <row r="31" spans="1:252" x14ac:dyDescent="0.15">
      <c r="B31" s="22"/>
      <c r="C31" s="22"/>
      <c r="D31" s="22"/>
      <c r="E31" s="22"/>
      <c r="F31" s="22"/>
      <c r="G31" s="2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52" x14ac:dyDescent="0.15">
      <c r="A32" s="3" t="s">
        <v>20</v>
      </c>
      <c r="B32" s="22"/>
      <c r="C32" s="47">
        <f t="shared" ref="C32:X32" si="73">C18/C16</f>
        <v>0.28548640432654804</v>
      </c>
      <c r="D32" s="47">
        <f t="shared" si="73"/>
        <v>0.3903088508130525</v>
      </c>
      <c r="E32" s="47">
        <f t="shared" si="73"/>
        <v>0.43802259058236759</v>
      </c>
      <c r="F32" s="47">
        <f t="shared" si="73"/>
        <v>0.4066653717580429</v>
      </c>
      <c r="G32" s="47">
        <f t="shared" si="73"/>
        <v>0.38199643831464081</v>
      </c>
      <c r="H32" s="47">
        <f t="shared" si="73"/>
        <v>0.41746303180435113</v>
      </c>
      <c r="I32" s="47">
        <f t="shared" si="73"/>
        <v>0.49040327270754186</v>
      </c>
      <c r="J32" s="47">
        <f t="shared" si="73"/>
        <v>0.4904032727075418</v>
      </c>
      <c r="K32" s="47">
        <f t="shared" si="73"/>
        <v>0.4904032727075418</v>
      </c>
      <c r="L32" s="47">
        <f t="shared" si="73"/>
        <v>0.4904032727075418</v>
      </c>
      <c r="M32" s="47">
        <f t="shared" si="73"/>
        <v>0.4904032727075418</v>
      </c>
      <c r="N32" s="47">
        <f t="shared" si="73"/>
        <v>0.49040327270754175</v>
      </c>
      <c r="O32" s="47">
        <f t="shared" si="73"/>
        <v>0.49040327270754175</v>
      </c>
      <c r="P32" s="47">
        <f t="shared" si="73"/>
        <v>0.4904032727075418</v>
      </c>
      <c r="Q32" s="47">
        <f t="shared" si="73"/>
        <v>0.4904032727075418</v>
      </c>
      <c r="R32" s="47">
        <f t="shared" si="73"/>
        <v>0.4904032727075418</v>
      </c>
      <c r="S32" s="47">
        <f t="shared" si="73"/>
        <v>0.4904032727075418</v>
      </c>
      <c r="T32" s="47">
        <f t="shared" si="73"/>
        <v>0.49040327270754186</v>
      </c>
      <c r="U32" s="47">
        <f t="shared" si="73"/>
        <v>0.49040327270754186</v>
      </c>
      <c r="V32" s="47">
        <f t="shared" si="73"/>
        <v>0.49040327270754186</v>
      </c>
      <c r="W32" s="47">
        <f t="shared" si="73"/>
        <v>0.49040327270754186</v>
      </c>
      <c r="X32" s="47">
        <f t="shared" si="73"/>
        <v>0.49040327270754186</v>
      </c>
    </row>
    <row r="33" spans="1:24" x14ac:dyDescent="0.15">
      <c r="A33" s="3" t="s">
        <v>21</v>
      </c>
      <c r="B33" s="22"/>
      <c r="C33" s="47">
        <f t="shared" ref="C33:X33" si="74">C21/C16</f>
        <v>-8.1201484627251519E-2</v>
      </c>
      <c r="D33" s="47">
        <f t="shared" si="74"/>
        <v>4.5054385390519841E-2</v>
      </c>
      <c r="E33" s="47">
        <f t="shared" si="74"/>
        <v>6.5180847563127156E-2</v>
      </c>
      <c r="F33" s="47">
        <f t="shared" si="74"/>
        <v>6.0035371451354035E-2</v>
      </c>
      <c r="G33" s="47">
        <f t="shared" si="74"/>
        <v>0.16793251742952409</v>
      </c>
      <c r="H33" s="47">
        <f t="shared" si="74"/>
        <v>0.20798727925907848</v>
      </c>
      <c r="I33" s="47">
        <f t="shared" si="74"/>
        <v>0.26928993770820292</v>
      </c>
      <c r="J33" s="47">
        <f t="shared" si="74"/>
        <v>0.29985547419805875</v>
      </c>
      <c r="K33" s="47">
        <f t="shared" si="74"/>
        <v>0.29144167385589231</v>
      </c>
      <c r="L33" s="47">
        <f t="shared" si="74"/>
        <v>0.28268623674667531</v>
      </c>
      <c r="M33" s="47">
        <f t="shared" si="74"/>
        <v>0.27357274901647582</v>
      </c>
      <c r="N33" s="47">
        <f t="shared" si="74"/>
        <v>0.26408503890145113</v>
      </c>
      <c r="O33" s="47">
        <f t="shared" si="74"/>
        <v>0.27917292115519055</v>
      </c>
      <c r="P33" s="47">
        <f t="shared" si="74"/>
        <v>0.29325494459201396</v>
      </c>
      <c r="Q33" s="47">
        <f t="shared" si="74"/>
        <v>0.30639816646638252</v>
      </c>
      <c r="R33" s="47">
        <f t="shared" si="74"/>
        <v>0.31866517354912643</v>
      </c>
      <c r="S33" s="47">
        <f t="shared" si="74"/>
        <v>0.33011438015968747</v>
      </c>
      <c r="T33" s="47">
        <f t="shared" si="74"/>
        <v>0.3408003063295445</v>
      </c>
      <c r="U33" s="47">
        <f t="shared" si="74"/>
        <v>0.35077383742141099</v>
      </c>
      <c r="V33" s="47">
        <f t="shared" si="74"/>
        <v>0.36008246644048636</v>
      </c>
      <c r="W33" s="47">
        <f t="shared" si="74"/>
        <v>0.36877052019162343</v>
      </c>
      <c r="X33" s="47">
        <f t="shared" si="74"/>
        <v>0.37687937035935126</v>
      </c>
    </row>
    <row r="34" spans="1:24" x14ac:dyDescent="0.15">
      <c r="A34" s="3" t="s">
        <v>22</v>
      </c>
      <c r="B34" s="22"/>
      <c r="C34" s="47">
        <f t="shared" ref="C34:X34" si="75">C24/C23</f>
        <v>3.1227813357731016</v>
      </c>
      <c r="D34" s="47">
        <f t="shared" si="75"/>
        <v>0.41930338044970938</v>
      </c>
      <c r="E34" s="47">
        <f t="shared" si="75"/>
        <v>0.40400505141620063</v>
      </c>
      <c r="F34" s="47">
        <f t="shared" si="75"/>
        <v>0.10587373944269639</v>
      </c>
      <c r="G34" s="47">
        <f t="shared" si="75"/>
        <v>0.29935014814630378</v>
      </c>
      <c r="H34" s="47">
        <f t="shared" si="75"/>
        <v>0.284077403402129</v>
      </c>
      <c r="I34" s="47">
        <f t="shared" si="75"/>
        <v>0.28396373953359627</v>
      </c>
      <c r="J34" s="47">
        <f t="shared" si="75"/>
        <v>0.3</v>
      </c>
      <c r="K34" s="47">
        <f t="shared" si="75"/>
        <v>0.3</v>
      </c>
      <c r="L34" s="47">
        <f t="shared" si="75"/>
        <v>0.3</v>
      </c>
      <c r="M34" s="47">
        <f t="shared" si="75"/>
        <v>0.3</v>
      </c>
      <c r="N34" s="47">
        <f t="shared" si="75"/>
        <v>0.3</v>
      </c>
      <c r="O34" s="47">
        <f t="shared" si="75"/>
        <v>0.3</v>
      </c>
      <c r="P34" s="47">
        <f t="shared" si="75"/>
        <v>0.3</v>
      </c>
      <c r="Q34" s="47">
        <f t="shared" si="75"/>
        <v>0.3</v>
      </c>
      <c r="R34" s="47">
        <f t="shared" si="75"/>
        <v>0.3</v>
      </c>
      <c r="S34" s="47">
        <f t="shared" si="75"/>
        <v>0.3</v>
      </c>
      <c r="T34" s="47">
        <f t="shared" si="75"/>
        <v>0.3</v>
      </c>
      <c r="U34" s="47">
        <f t="shared" si="75"/>
        <v>0.3</v>
      </c>
      <c r="V34" s="47">
        <f t="shared" si="75"/>
        <v>0.3</v>
      </c>
      <c r="W34" s="47">
        <f t="shared" si="75"/>
        <v>0.3</v>
      </c>
      <c r="X34" s="47">
        <f t="shared" si="75"/>
        <v>0.3</v>
      </c>
    </row>
    <row r="35" spans="1:24" x14ac:dyDescent="0.15">
      <c r="B35" s="22"/>
      <c r="C35" s="22"/>
      <c r="D35" s="22"/>
      <c r="E35" s="22"/>
      <c r="F35" s="22"/>
      <c r="G35" s="2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spans="1:24" s="2" customFormat="1" x14ac:dyDescent="0.15">
      <c r="A36" s="2" t="s">
        <v>3</v>
      </c>
      <c r="B36" s="22"/>
      <c r="C36" s="22"/>
      <c r="D36" s="22"/>
      <c r="E36" s="22"/>
      <c r="F36" s="22"/>
      <c r="G36" s="25">
        <f>G37-G38</f>
        <v>1048509</v>
      </c>
      <c r="H36" s="25">
        <f>H37-H38</f>
        <v>1190405</v>
      </c>
      <c r="I36" s="25">
        <f>I37-I38</f>
        <v>1356420</v>
      </c>
      <c r="J36" s="43">
        <f t="shared" ref="J36:X36" si="76">I36+J25</f>
        <v>1741930.9069102588</v>
      </c>
      <c r="K36" s="43">
        <f t="shared" si="76"/>
        <v>2158665.610724322</v>
      </c>
      <c r="L36" s="43">
        <f t="shared" si="76"/>
        <v>2608084.808399051</v>
      </c>
      <c r="M36" s="43">
        <f t="shared" si="76"/>
        <v>3091525.1943052295</v>
      </c>
      <c r="N36" s="43">
        <f t="shared" si="76"/>
        <v>3610148.8463745718</v>
      </c>
      <c r="O36" s="43">
        <f t="shared" si="76"/>
        <v>4188315.7958747498</v>
      </c>
      <c r="P36" s="43">
        <f t="shared" si="76"/>
        <v>4828903.4682582002</v>
      </c>
      <c r="Q36" s="43">
        <f t="shared" si="76"/>
        <v>5534943.1700786483</v>
      </c>
      <c r="R36" s="43">
        <f t="shared" si="76"/>
        <v>6309627.6950601619</v>
      </c>
      <c r="S36" s="43">
        <f t="shared" si="76"/>
        <v>7156319.3138003275</v>
      </c>
      <c r="T36" s="43">
        <f t="shared" si="76"/>
        <v>8078558.1662446354</v>
      </c>
      <c r="U36" s="43">
        <f t="shared" si="76"/>
        <v>9080071.0770272054</v>
      </c>
      <c r="V36" s="43">
        <f t="shared" si="76"/>
        <v>10164780.814778944</v>
      </c>
      <c r="W36" s="43">
        <f t="shared" si="76"/>
        <v>11336815.817560425</v>
      </c>
      <c r="X36" s="43">
        <f t="shared" si="76"/>
        <v>12600520.407685772</v>
      </c>
    </row>
    <row r="37" spans="1:24" x14ac:dyDescent="0.15">
      <c r="A37" s="3" t="s">
        <v>30</v>
      </c>
      <c r="B37" s="22"/>
      <c r="C37" s="22"/>
      <c r="D37" s="22"/>
      <c r="E37" s="22"/>
      <c r="F37" s="22"/>
      <c r="G37" s="22">
        <f>'Reports JPY'!E28</f>
        <v>1186524</v>
      </c>
      <c r="H37" s="41">
        <f>'Reports JPY'!I28</f>
        <v>1250094</v>
      </c>
      <c r="I37" s="41">
        <f>'Reports JPY'!M28</f>
        <v>1454494</v>
      </c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x14ac:dyDescent="0.15">
      <c r="A38" s="3" t="s">
        <v>31</v>
      </c>
      <c r="B38" s="22"/>
      <c r="C38" s="22"/>
      <c r="D38" s="22"/>
      <c r="E38" s="22"/>
      <c r="F38" s="22"/>
      <c r="G38" s="22">
        <f>'Reports JPY'!E29</f>
        <v>138015</v>
      </c>
      <c r="H38" s="41">
        <f>'Reports JPY'!I29</f>
        <v>59689</v>
      </c>
      <c r="I38" s="41">
        <f>'Reports JPY'!M29</f>
        <v>98074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s="6" customFormat="1" x14ac:dyDescent="0.15">
      <c r="B39" s="22"/>
      <c r="C39" s="22"/>
      <c r="D39" s="22"/>
      <c r="E39" s="22"/>
      <c r="F39" s="22"/>
      <c r="G39" s="22"/>
      <c r="H39" s="48"/>
      <c r="I39" s="48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</row>
    <row r="40" spans="1:24" x14ac:dyDescent="0.15">
      <c r="A40" s="3" t="s">
        <v>24</v>
      </c>
      <c r="B40" s="22"/>
      <c r="C40" s="22"/>
      <c r="D40" s="22"/>
      <c r="E40" s="22"/>
      <c r="F40" s="22"/>
      <c r="G40" s="22">
        <f>'Reports JPY'!E31</f>
        <v>14020</v>
      </c>
      <c r="H40" s="41">
        <f>'Reports JPY'!I31</f>
        <v>14090</v>
      </c>
      <c r="I40" s="41">
        <f>'Reports JPY'!M31</f>
        <v>15017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x14ac:dyDescent="0.15">
      <c r="A41" s="3" t="s">
        <v>25</v>
      </c>
      <c r="B41" s="22"/>
      <c r="C41" s="22"/>
      <c r="D41" s="22"/>
      <c r="E41" s="22"/>
      <c r="F41" s="22"/>
      <c r="G41" s="22">
        <f>'Reports JPY'!E32</f>
        <v>1633474</v>
      </c>
      <c r="H41" s="41">
        <f>'Reports JPY'!I32</f>
        <v>1690304</v>
      </c>
      <c r="I41" s="41">
        <f>'Reports JPY'!M32</f>
        <v>1934087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x14ac:dyDescent="0.15">
      <c r="A42" s="3" t="s">
        <v>46</v>
      </c>
      <c r="B42" s="22"/>
      <c r="C42" s="22"/>
      <c r="D42" s="22"/>
      <c r="E42" s="22"/>
      <c r="F42" s="22"/>
      <c r="G42" s="22">
        <f>'Reports JPY'!E33</f>
        <v>309899</v>
      </c>
      <c r="H42" s="41">
        <f>'Reports JPY'!I33</f>
        <v>275505</v>
      </c>
      <c r="I42" s="41">
        <f>'Reports JPY'!M33</f>
        <v>393186</v>
      </c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x14ac:dyDescent="0.15">
      <c r="B43" s="22"/>
      <c r="C43" s="22"/>
      <c r="D43" s="22"/>
      <c r="E43" s="22"/>
      <c r="F43" s="22"/>
      <c r="G43" s="2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24" x14ac:dyDescent="0.15">
      <c r="A44" s="3" t="s">
        <v>32</v>
      </c>
      <c r="B44" s="22"/>
      <c r="C44" s="22"/>
      <c r="D44" s="22"/>
      <c r="E44" s="22"/>
      <c r="F44" s="22"/>
      <c r="G44" s="26">
        <f>G41-G40-G37</f>
        <v>432930</v>
      </c>
      <c r="H44" s="26">
        <f>H41-H40-H37</f>
        <v>426120</v>
      </c>
      <c r="I44" s="26">
        <f>I41-I40-I37</f>
        <v>464576</v>
      </c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spans="1:24" x14ac:dyDescent="0.15">
      <c r="A45" s="3" t="s">
        <v>33</v>
      </c>
      <c r="B45" s="22"/>
      <c r="C45" s="22"/>
      <c r="D45" s="22"/>
      <c r="E45" s="22"/>
      <c r="F45" s="22"/>
      <c r="G45" s="26">
        <f>G41-G42</f>
        <v>1323575</v>
      </c>
      <c r="H45" s="26">
        <f>H41-H42</f>
        <v>1414799</v>
      </c>
      <c r="I45" s="26">
        <f>I41-I42</f>
        <v>1540901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4" x14ac:dyDescent="0.15">
      <c r="B46" s="22"/>
      <c r="C46" s="22"/>
      <c r="D46" s="22"/>
      <c r="E46" s="22"/>
      <c r="F46" s="22"/>
      <c r="G46" s="2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15">
      <c r="A47" s="3" t="s">
        <v>26</v>
      </c>
      <c r="B47" s="22"/>
      <c r="C47" s="22"/>
      <c r="D47" s="22"/>
      <c r="E47" s="22"/>
      <c r="F47" s="22"/>
      <c r="G47" s="27">
        <f>G25/G45</f>
        <v>0.10630376064824434</v>
      </c>
      <c r="H47" s="27">
        <f>H25/H45</f>
        <v>0.13752271524082219</v>
      </c>
      <c r="I47" s="27">
        <f>I25/I45</f>
        <v>0.16787970155123527</v>
      </c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4" x14ac:dyDescent="0.15">
      <c r="A48" s="3" t="s">
        <v>27</v>
      </c>
      <c r="B48" s="22"/>
      <c r="C48" s="22"/>
      <c r="D48" s="22"/>
      <c r="E48" s="22"/>
      <c r="F48" s="22"/>
      <c r="G48" s="27">
        <f>G25/G41</f>
        <v>8.613605114008549E-2</v>
      </c>
      <c r="H48" s="27">
        <f>H25/H41</f>
        <v>0.11510769660368786</v>
      </c>
      <c r="I48" s="27">
        <f>I25/I41</f>
        <v>0.13375096363296998</v>
      </c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1:24" x14ac:dyDescent="0.15">
      <c r="A49" s="3" t="s">
        <v>28</v>
      </c>
      <c r="B49" s="22"/>
      <c r="C49" s="22"/>
      <c r="D49" s="22"/>
      <c r="E49" s="22"/>
      <c r="F49" s="22"/>
      <c r="G49" s="27">
        <f>G25/(G45-G40)</f>
        <v>0.10744184093069784</v>
      </c>
      <c r="H49" s="27">
        <f>H25/(H45-H40)</f>
        <v>0.13890608256247372</v>
      </c>
      <c r="I49" s="27">
        <f>I25/(I45-I40)</f>
        <v>0.16953189102186011</v>
      </c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1:24" x14ac:dyDescent="0.15">
      <c r="A50" s="3" t="s">
        <v>29</v>
      </c>
      <c r="B50" s="22"/>
      <c r="C50" s="22"/>
      <c r="D50" s="22"/>
      <c r="E50" s="22"/>
      <c r="F50" s="22"/>
      <c r="G50" s="27">
        <f>G25/G44</f>
        <v>0.32499711269720277</v>
      </c>
      <c r="H50" s="27">
        <f>H25/H44</f>
        <v>0.45660142682812355</v>
      </c>
      <c r="I50" s="27">
        <f>I25/I44</f>
        <v>0.55682170409147269</v>
      </c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1:24" x14ac:dyDescent="0.15">
      <c r="B51" s="22"/>
      <c r="C51" s="22"/>
      <c r="D51" s="22"/>
      <c r="E51" s="22"/>
      <c r="F51" s="22"/>
      <c r="G51" s="22"/>
      <c r="H51" s="42"/>
      <c r="I51" s="42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 s="14" customFormat="1" x14ac:dyDescent="0.15">
      <c r="A52" s="5" t="s">
        <v>65</v>
      </c>
      <c r="B52" s="22"/>
      <c r="C52" s="22"/>
      <c r="D52" s="22"/>
      <c r="E52" s="22"/>
      <c r="F52" s="47">
        <f t="shared" ref="F52:N52" si="77">F12/E12-1</f>
        <v>-6.8422418318927813E-2</v>
      </c>
      <c r="G52" s="47">
        <f t="shared" si="77"/>
        <v>1.1908077844065716</v>
      </c>
      <c r="H52" s="47">
        <f t="shared" si="77"/>
        <v>0.13598145532710904</v>
      </c>
      <c r="I52" s="47">
        <f t="shared" si="77"/>
        <v>8.8113676707137323E-2</v>
      </c>
      <c r="J52" s="47">
        <f t="shared" si="77"/>
        <v>0.3441885498045707</v>
      </c>
      <c r="K52" s="47">
        <f t="shared" si="77"/>
        <v>0.10000000000000009</v>
      </c>
      <c r="L52" s="47">
        <f t="shared" si="77"/>
        <v>0.10000000000000009</v>
      </c>
      <c r="M52" s="47">
        <f t="shared" si="77"/>
        <v>0.10000000000000009</v>
      </c>
      <c r="N52" s="47">
        <f t="shared" si="77"/>
        <v>0.10000000000000009</v>
      </c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s="14" customFormat="1" x14ac:dyDescent="0.15">
      <c r="A53" s="5" t="s">
        <v>66</v>
      </c>
      <c r="B53" s="22"/>
      <c r="C53" s="22"/>
      <c r="D53" s="22"/>
      <c r="E53" s="22"/>
      <c r="F53" s="47">
        <f t="shared" ref="F53:N53" si="78">F13/E13-1</f>
        <v>3.2291594000697597</v>
      </c>
      <c r="G53" s="47">
        <f t="shared" si="78"/>
        <v>0.62144329896907213</v>
      </c>
      <c r="H53" s="47">
        <f t="shared" si="78"/>
        <v>0.17009155645981688</v>
      </c>
      <c r="I53" s="47">
        <f t="shared" si="78"/>
        <v>0.11491479742653454</v>
      </c>
      <c r="J53" s="47">
        <f t="shared" si="78"/>
        <v>0.14150989375182776</v>
      </c>
      <c r="K53" s="47">
        <f t="shared" si="78"/>
        <v>0.14999999999999991</v>
      </c>
      <c r="L53" s="47">
        <f t="shared" si="78"/>
        <v>0.14999999999999991</v>
      </c>
      <c r="M53" s="47">
        <f t="shared" si="78"/>
        <v>0.14999999999999991</v>
      </c>
      <c r="N53" s="47">
        <f t="shared" si="78"/>
        <v>0.14999999999999991</v>
      </c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s="14" customFormat="1" x14ac:dyDescent="0.15">
      <c r="A54" s="5" t="s">
        <v>42</v>
      </c>
      <c r="B54" s="22"/>
      <c r="C54" s="22"/>
      <c r="D54" s="22"/>
      <c r="E54" s="22"/>
      <c r="F54" s="47">
        <f t="shared" ref="F54:N54" si="79">F14/E14-1</f>
        <v>8.6873811033608028E-2</v>
      </c>
      <c r="G54" s="47">
        <f t="shared" si="79"/>
        <v>8.7514585764294495E-3</v>
      </c>
      <c r="H54" s="47">
        <f t="shared" si="79"/>
        <v>0.12724117987275885</v>
      </c>
      <c r="I54" s="47">
        <f t="shared" si="79"/>
        <v>0.57106208311954854</v>
      </c>
      <c r="J54" s="47">
        <f t="shared" si="79"/>
        <v>-0.4136185499673416</v>
      </c>
      <c r="K54" s="47">
        <f t="shared" si="79"/>
        <v>-0.19999999999999996</v>
      </c>
      <c r="L54" s="47">
        <f t="shared" si="79"/>
        <v>-0.19999999999999996</v>
      </c>
      <c r="M54" s="47">
        <f t="shared" si="79"/>
        <v>-0.19999999999999996</v>
      </c>
      <c r="N54" s="47">
        <f t="shared" si="79"/>
        <v>-0.19999999999999996</v>
      </c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x14ac:dyDescent="0.15">
      <c r="A55" s="13"/>
      <c r="B55" s="22"/>
      <c r="C55" s="22"/>
      <c r="D55" s="22"/>
      <c r="E55" s="22"/>
      <c r="F55" s="22"/>
      <c r="G55" s="22"/>
      <c r="H55" s="19"/>
    </row>
    <row r="56" spans="1:24" s="40" customFormat="1" x14ac:dyDescent="0.15">
      <c r="A56" s="4" t="s">
        <v>61</v>
      </c>
      <c r="B56" s="38">
        <v>94.238500000000002</v>
      </c>
      <c r="C56" s="38">
        <v>103.047</v>
      </c>
      <c r="D56" s="38">
        <v>120.117</v>
      </c>
      <c r="E56" s="38">
        <v>112.3095</v>
      </c>
      <c r="F56" s="38">
        <v>111.357</v>
      </c>
      <c r="G56" s="38">
        <v>106.015</v>
      </c>
      <c r="H56" s="38">
        <v>110.997</v>
      </c>
      <c r="I56" s="38">
        <v>107.508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</row>
    <row r="57" spans="1:24" s="2" customFormat="1" x14ac:dyDescent="0.15">
      <c r="A57" s="2" t="s">
        <v>48</v>
      </c>
      <c r="B57" s="25">
        <f t="shared" ref="B57:I57" si="80">B16/B56</f>
        <v>6742.7007008812743</v>
      </c>
      <c r="C57" s="25">
        <f t="shared" si="80"/>
        <v>5548.2061583549257</v>
      </c>
      <c r="D57" s="25">
        <f t="shared" si="80"/>
        <v>4577.0373885461677</v>
      </c>
      <c r="E57" s="25">
        <f t="shared" si="80"/>
        <v>4491.6770175274578</v>
      </c>
      <c r="F57" s="25">
        <f t="shared" si="80"/>
        <v>4392.1352047917953</v>
      </c>
      <c r="G57" s="25">
        <f t="shared" si="80"/>
        <v>9957.8361552610477</v>
      </c>
      <c r="H57" s="25">
        <f t="shared" si="80"/>
        <v>10816.139174932656</v>
      </c>
      <c r="I57" s="25">
        <f t="shared" si="80"/>
        <v>12171.363991516911</v>
      </c>
      <c r="J57" s="43">
        <f>J16/$C$9</f>
        <v>16673.154301537284</v>
      </c>
      <c r="K57" s="43">
        <f t="shared" ref="K57:X57" si="81">K16/$C$9</f>
        <v>18363.281127661605</v>
      </c>
      <c r="L57" s="43">
        <f t="shared" si="81"/>
        <v>20227.642474696844</v>
      </c>
      <c r="M57" s="43">
        <f t="shared" si="81"/>
        <v>22284.085044698277</v>
      </c>
      <c r="N57" s="43">
        <f t="shared" si="81"/>
        <v>24552.375702577465</v>
      </c>
      <c r="O57" s="43">
        <f t="shared" si="81"/>
        <v>25779.994487706339</v>
      </c>
      <c r="P57" s="43">
        <f t="shared" si="81"/>
        <v>27068.994212091653</v>
      </c>
      <c r="Q57" s="43">
        <f t="shared" si="81"/>
        <v>28422.443922696239</v>
      </c>
      <c r="R57" s="43">
        <f t="shared" si="81"/>
        <v>29843.566118831048</v>
      </c>
      <c r="S57" s="43">
        <f t="shared" si="81"/>
        <v>31335.744424772602</v>
      </c>
      <c r="T57" s="43">
        <f t="shared" si="81"/>
        <v>32902.53164601123</v>
      </c>
      <c r="U57" s="43">
        <f t="shared" si="81"/>
        <v>34547.658228311797</v>
      </c>
      <c r="V57" s="43">
        <f t="shared" si="81"/>
        <v>36275.041139727393</v>
      </c>
      <c r="W57" s="43">
        <f t="shared" si="81"/>
        <v>38088.793196713756</v>
      </c>
      <c r="X57" s="43">
        <f t="shared" si="81"/>
        <v>39993.232856549446</v>
      </c>
    </row>
    <row r="58" spans="1:24" s="2" customFormat="1" x14ac:dyDescent="0.15">
      <c r="A58" s="2" t="s">
        <v>49</v>
      </c>
      <c r="B58" s="25">
        <f t="shared" ref="B58:I58" si="82">B25/B56</f>
        <v>76.062331212827033</v>
      </c>
      <c r="C58" s="25">
        <f t="shared" si="82"/>
        <v>-225.15939328655855</v>
      </c>
      <c r="D58" s="25">
        <f t="shared" si="82"/>
        <v>348.51852776875876</v>
      </c>
      <c r="E58" s="25">
        <f t="shared" si="82"/>
        <v>147.07571487719204</v>
      </c>
      <c r="F58" s="25">
        <f t="shared" si="82"/>
        <v>921.21734601327262</v>
      </c>
      <c r="G58" s="25">
        <f t="shared" si="82"/>
        <v>1327.1801160213176</v>
      </c>
      <c r="H58" s="25">
        <f t="shared" si="82"/>
        <v>1752.9032316188725</v>
      </c>
      <c r="I58" s="25">
        <f t="shared" si="82"/>
        <v>2406.2023291289952</v>
      </c>
      <c r="J58" s="43">
        <f t="shared" ref="J58:X58" si="83">J25/$C$9</f>
        <v>3680.9978698582909</v>
      </c>
      <c r="K58" s="43">
        <f t="shared" si="83"/>
        <v>3979.1339999433117</v>
      </c>
      <c r="L58" s="43">
        <f t="shared" si="83"/>
        <v>4291.2173940105868</v>
      </c>
      <c r="M58" s="43">
        <f t="shared" si="83"/>
        <v>4616.0640304227863</v>
      </c>
      <c r="N58" s="43">
        <f t="shared" si="83"/>
        <v>4952.0066081289242</v>
      </c>
      <c r="O58" s="43">
        <f t="shared" si="83"/>
        <v>5520.5475938143618</v>
      </c>
      <c r="P58" s="43">
        <f t="shared" si="83"/>
        <v>6116.5632806593203</v>
      </c>
      <c r="Q58" s="43">
        <f t="shared" si="83"/>
        <v>6741.5229811940035</v>
      </c>
      <c r="R58" s="43">
        <f t="shared" si="83"/>
        <v>7396.9686334528151</v>
      </c>
      <c r="S58" s="43">
        <f t="shared" si="83"/>
        <v>8084.5184640519992</v>
      </c>
      <c r="T58" s="43">
        <f t="shared" si="83"/>
        <v>8805.8708339951045</v>
      </c>
      <c r="U58" s="43">
        <f t="shared" si="83"/>
        <v>9562.8082763541461</v>
      </c>
      <c r="V58" s="43">
        <f t="shared" si="83"/>
        <v>10357.201735431488</v>
      </c>
      <c r="W58" s="43">
        <f t="shared" si="83"/>
        <v>11191.015017487634</v>
      </c>
      <c r="X58" s="43">
        <f t="shared" si="83"/>
        <v>12066.309463624046</v>
      </c>
    </row>
    <row r="59" spans="1:24" x14ac:dyDescent="0.15">
      <c r="B59" s="22"/>
      <c r="C59" s="22"/>
      <c r="D59" s="22"/>
      <c r="E59" s="22"/>
    </row>
    <row r="60" spans="1:24" s="2" customFormat="1" x14ac:dyDescent="0.15">
      <c r="A60" s="2" t="s">
        <v>59</v>
      </c>
      <c r="B60" s="22"/>
      <c r="C60" s="46">
        <f t="shared" ref="C60:I60" si="84">C57/B57-1</f>
        <v>-0.17715372452617206</v>
      </c>
      <c r="D60" s="46">
        <f t="shared" si="84"/>
        <v>-0.17504194005954443</v>
      </c>
      <c r="E60" s="46">
        <f t="shared" si="84"/>
        <v>-1.8649699308185719E-2</v>
      </c>
      <c r="F60" s="46">
        <f t="shared" si="84"/>
        <v>-2.2161391468538238E-2</v>
      </c>
      <c r="G60" s="46">
        <f t="shared" si="84"/>
        <v>1.2671970900160594</v>
      </c>
      <c r="H60" s="46">
        <f t="shared" si="84"/>
        <v>8.619372786306978E-2</v>
      </c>
      <c r="I60" s="46">
        <f t="shared" si="84"/>
        <v>0.12529654016704095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x14ac:dyDescent="0.15">
      <c r="B61" s="22"/>
      <c r="C61" s="22"/>
      <c r="D61" s="22"/>
      <c r="E61" s="22"/>
    </row>
    <row r="62" spans="1:24" s="2" customFormat="1" x14ac:dyDescent="0.15">
      <c r="A62" s="2" t="s">
        <v>58</v>
      </c>
      <c r="B62" s="22"/>
      <c r="C62" s="22"/>
      <c r="D62" s="22"/>
      <c r="E62" s="22"/>
      <c r="F62" s="3"/>
      <c r="G62" s="25">
        <f>G36/G56</f>
        <v>9890.1947837570151</v>
      </c>
      <c r="H62" s="25">
        <f>H36/H56</f>
        <v>10724.659225024099</v>
      </c>
      <c r="I62" s="25">
        <f>I36/I56</f>
        <v>12616.921531420918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</row>
    <row r="63" spans="1:24" x14ac:dyDescent="0.15">
      <c r="G63" s="22"/>
    </row>
  </sheetData>
  <hyperlinks>
    <hyperlink ref="L4" r:id="rId1" xr:uid="{BA4807F2-D005-6C48-9ABD-4F99B4D4EFAA}"/>
    <hyperlink ref="A1" r:id="rId2" xr:uid="{00000000-0004-0000-0000-000003000000}"/>
    <hyperlink ref="A4" r:id="rId3" xr:uid="{5D728610-3528-4E4F-903E-CB700F25F4B5}"/>
    <hyperlink ref="A7" r:id="rId4" xr:uid="{14ACDF37-4484-D346-9DB7-7E59E4ECCA8A}"/>
    <hyperlink ref="L9" r:id="rId5" xr:uid="{9D41EFDE-9BFE-4045-BDE5-DEB25336451B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6"/>
  <sheetViews>
    <sheetView zoomScale="130" zoomScaleNormal="13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H22" sqref="H22"/>
    </sheetView>
  </sheetViews>
  <sheetFormatPr baseColWidth="10" defaultRowHeight="13" x14ac:dyDescent="0.15"/>
  <cols>
    <col min="1" max="1" width="17.33203125" style="53" bestFit="1" customWidth="1"/>
    <col min="2" max="2" width="10.83203125" style="21"/>
    <col min="3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4" width="10.83203125" style="21"/>
    <col min="15" max="16" width="10.83203125" style="20"/>
    <col min="17" max="16384" width="10.83203125" style="3"/>
  </cols>
  <sheetData>
    <row r="1" spans="1:17" s="20" customFormat="1" x14ac:dyDescent="0.15">
      <c r="A1" s="50" t="s">
        <v>62</v>
      </c>
      <c r="B1" s="21" t="s">
        <v>45</v>
      </c>
      <c r="C1" s="20" t="s">
        <v>44</v>
      </c>
      <c r="D1" s="20" t="s">
        <v>43</v>
      </c>
      <c r="E1" s="20" t="s">
        <v>41</v>
      </c>
      <c r="F1" s="21" t="s">
        <v>50</v>
      </c>
      <c r="G1" s="20" t="s">
        <v>51</v>
      </c>
      <c r="H1" s="20" t="s">
        <v>52</v>
      </c>
      <c r="I1" s="20" t="s">
        <v>53</v>
      </c>
      <c r="J1" s="21" t="s">
        <v>69</v>
      </c>
      <c r="K1" s="20" t="s">
        <v>70</v>
      </c>
      <c r="L1" s="20" t="s">
        <v>71</v>
      </c>
      <c r="M1" s="20" t="s">
        <v>72</v>
      </c>
      <c r="N1" s="20" t="s">
        <v>83</v>
      </c>
      <c r="O1" s="20" t="s">
        <v>84</v>
      </c>
      <c r="P1" s="20" t="s">
        <v>85</v>
      </c>
      <c r="Q1" s="20" t="s">
        <v>86</v>
      </c>
    </row>
    <row r="2" spans="1:17" s="20" customFormat="1" x14ac:dyDescent="0.15">
      <c r="A2" s="53"/>
      <c r="B2" s="51">
        <v>42916</v>
      </c>
      <c r="C2" s="61">
        <v>43008</v>
      </c>
      <c r="D2" s="61">
        <v>43100</v>
      </c>
      <c r="E2" s="61">
        <v>43190</v>
      </c>
      <c r="F2" s="51">
        <v>43281</v>
      </c>
      <c r="G2" s="61">
        <v>43373</v>
      </c>
      <c r="H2" s="61">
        <v>43465</v>
      </c>
      <c r="I2" s="61">
        <v>43555</v>
      </c>
      <c r="J2" s="51">
        <v>43646</v>
      </c>
      <c r="K2" s="61">
        <v>43738</v>
      </c>
      <c r="L2" s="61">
        <v>43830</v>
      </c>
      <c r="M2" s="61">
        <v>43921</v>
      </c>
      <c r="N2" s="51">
        <v>44012</v>
      </c>
      <c r="O2" s="61">
        <v>44104</v>
      </c>
      <c r="P2" s="61">
        <v>44196</v>
      </c>
    </row>
    <row r="3" spans="1:17" s="5" customFormat="1" x14ac:dyDescent="0.15">
      <c r="A3" s="55" t="s">
        <v>63</v>
      </c>
      <c r="B3" s="23">
        <v>144615</v>
      </c>
      <c r="C3" s="22">
        <v>355278</v>
      </c>
      <c r="D3" s="22">
        <f>826539-C3-B3</f>
        <v>326646</v>
      </c>
      <c r="E3" s="22">
        <f>1014631-D3-C3-B3</f>
        <v>188092</v>
      </c>
      <c r="F3" s="23">
        <v>158517</v>
      </c>
      <c r="G3" s="22">
        <f>369130-F3</f>
        <v>210613</v>
      </c>
      <c r="H3" s="22">
        <f>962340-G3-F3</f>
        <v>593210</v>
      </c>
      <c r="I3" s="22">
        <f>1152602-H3-G3-F3</f>
        <v>190262</v>
      </c>
      <c r="J3" s="23">
        <v>161629</v>
      </c>
      <c r="K3" s="22">
        <f>422955-J3</f>
        <v>261326</v>
      </c>
      <c r="L3" s="22">
        <f>983531-K3-J3</f>
        <v>560576</v>
      </c>
      <c r="M3" s="22">
        <f>1254162-L3-K3-J3</f>
        <v>270631</v>
      </c>
      <c r="N3" s="23">
        <v>344529</v>
      </c>
      <c r="O3" s="22">
        <f>741909-N3</f>
        <v>397380</v>
      </c>
      <c r="P3" s="22">
        <f>1361073-O3-N3</f>
        <v>619164</v>
      </c>
      <c r="Q3" s="5">
        <f>M3*1.2</f>
        <v>324757.2</v>
      </c>
    </row>
    <row r="4" spans="1:17" s="5" customFormat="1" x14ac:dyDescent="0.15">
      <c r="A4" s="55" t="s">
        <v>64</v>
      </c>
      <c r="B4" s="23">
        <v>9062</v>
      </c>
      <c r="C4" s="22">
        <v>17925</v>
      </c>
      <c r="D4" s="22">
        <f>29101-C4-B4</f>
        <v>2114</v>
      </c>
      <c r="E4" s="22">
        <f>39320-D4-C4-B4</f>
        <v>10219</v>
      </c>
      <c r="F4" s="23">
        <v>9097</v>
      </c>
      <c r="G4" s="22">
        <f>18766-F4</f>
        <v>9669</v>
      </c>
      <c r="H4" s="22">
        <f>33384-G4-F4</f>
        <v>14618</v>
      </c>
      <c r="I4" s="22">
        <f>46008-H4-G4-F4</f>
        <v>12624</v>
      </c>
      <c r="J4" s="23">
        <v>10005</v>
      </c>
      <c r="K4" s="22">
        <f>19964-J4</f>
        <v>9959</v>
      </c>
      <c r="L4" s="22">
        <f>36910-K4-J4</f>
        <v>16946</v>
      </c>
      <c r="M4" s="22">
        <f>51295-L4-K4-J4</f>
        <v>14385</v>
      </c>
      <c r="N4" s="23">
        <v>13278</v>
      </c>
      <c r="O4" s="22">
        <f>26727-N4</f>
        <v>13449</v>
      </c>
      <c r="P4" s="22">
        <f>42011-O4-N4</f>
        <v>15284</v>
      </c>
      <c r="Q4" s="5">
        <f>M4*1.15</f>
        <v>16542.75</v>
      </c>
    </row>
    <row r="5" spans="1:17" s="5" customFormat="1" x14ac:dyDescent="0.15">
      <c r="A5" s="55" t="s">
        <v>11</v>
      </c>
      <c r="B5" s="23">
        <v>391</v>
      </c>
      <c r="C5" s="22">
        <v>837</v>
      </c>
      <c r="D5" s="22">
        <f>1371-C5-B5</f>
        <v>143</v>
      </c>
      <c r="E5" s="22">
        <f>1729-D5-C5-B5</f>
        <v>358</v>
      </c>
      <c r="F5" s="23">
        <v>541</v>
      </c>
      <c r="G5" s="22">
        <f>1008-F5</f>
        <v>467</v>
      </c>
      <c r="H5" s="22">
        <f>1570-G5-F5</f>
        <v>562</v>
      </c>
      <c r="I5" s="22">
        <f>1949-H5-G5-F5</f>
        <v>379</v>
      </c>
      <c r="J5" s="23">
        <v>475</v>
      </c>
      <c r="K5" s="22">
        <f>1047-J5</f>
        <v>572</v>
      </c>
      <c r="L5" s="22">
        <f>2227-K5-J5</f>
        <v>1180</v>
      </c>
      <c r="M5" s="22">
        <f>3062-L5-K5-J5</f>
        <v>835</v>
      </c>
      <c r="N5" s="23">
        <v>298</v>
      </c>
      <c r="O5" s="22">
        <f>887-N5</f>
        <v>589</v>
      </c>
      <c r="P5" s="22">
        <f>1378-O5-N5</f>
        <v>491</v>
      </c>
      <c r="Q5" s="5">
        <f>M5*0.5</f>
        <v>417.5</v>
      </c>
    </row>
    <row r="6" spans="1:17" s="36" customFormat="1" x14ac:dyDescent="0.15">
      <c r="A6" s="56"/>
      <c r="B6" s="34"/>
      <c r="C6" s="22"/>
      <c r="D6" s="22"/>
      <c r="E6" s="22"/>
      <c r="F6" s="34"/>
      <c r="G6" s="22"/>
      <c r="H6" s="22"/>
      <c r="I6" s="22"/>
      <c r="J6" s="34"/>
      <c r="K6" s="22"/>
      <c r="L6" s="22"/>
      <c r="M6" s="22"/>
      <c r="N6" s="34"/>
    </row>
    <row r="7" spans="1:17" s="24" customFormat="1" x14ac:dyDescent="0.15">
      <c r="A7" s="57" t="s">
        <v>8</v>
      </c>
      <c r="B7" s="30">
        <f t="shared" ref="B7:Q7" si="0">SUM(B3:B5)</f>
        <v>154068</v>
      </c>
      <c r="C7" s="62">
        <f t="shared" si="0"/>
        <v>374040</v>
      </c>
      <c r="D7" s="62">
        <f t="shared" si="0"/>
        <v>328903</v>
      </c>
      <c r="E7" s="62">
        <f t="shared" si="0"/>
        <v>198669</v>
      </c>
      <c r="F7" s="30">
        <f t="shared" si="0"/>
        <v>168155</v>
      </c>
      <c r="G7" s="62">
        <f t="shared" si="0"/>
        <v>220749</v>
      </c>
      <c r="H7" s="62">
        <f t="shared" si="0"/>
        <v>608390</v>
      </c>
      <c r="I7" s="62">
        <f t="shared" si="0"/>
        <v>203265</v>
      </c>
      <c r="J7" s="30">
        <f t="shared" si="0"/>
        <v>172109</v>
      </c>
      <c r="K7" s="62">
        <f t="shared" si="0"/>
        <v>271857</v>
      </c>
      <c r="L7" s="62">
        <f t="shared" si="0"/>
        <v>578702</v>
      </c>
      <c r="M7" s="62">
        <f t="shared" si="0"/>
        <v>285851</v>
      </c>
      <c r="N7" s="30">
        <f t="shared" si="0"/>
        <v>358105</v>
      </c>
      <c r="O7" s="62">
        <f t="shared" si="0"/>
        <v>411418</v>
      </c>
      <c r="P7" s="62">
        <f t="shared" si="0"/>
        <v>634939</v>
      </c>
      <c r="Q7" s="62">
        <f t="shared" si="0"/>
        <v>341717.45</v>
      </c>
    </row>
    <row r="8" spans="1:17" s="5" customFormat="1" x14ac:dyDescent="0.15">
      <c r="A8" s="55" t="s">
        <v>12</v>
      </c>
      <c r="B8" s="23">
        <v>89339</v>
      </c>
      <c r="C8" s="22">
        <f>230325-B8</f>
        <v>140986</v>
      </c>
      <c r="D8" s="22">
        <f>530707-C8-B8</f>
        <v>300382</v>
      </c>
      <c r="E8" s="22">
        <f>652414-D8-C8-B8</f>
        <v>121707</v>
      </c>
      <c r="F8" s="23">
        <v>85249</v>
      </c>
      <c r="G8" s="22">
        <f>216887-F8</f>
        <v>131638</v>
      </c>
      <c r="H8" s="22">
        <f>588222-G8-F8</f>
        <v>371335</v>
      </c>
      <c r="I8" s="22">
        <f>699370-H8-G8-F8</f>
        <v>111148</v>
      </c>
      <c r="J8" s="23">
        <v>88693</v>
      </c>
      <c r="K8" s="22">
        <f>230864-J8</f>
        <v>142171</v>
      </c>
      <c r="L8" s="22">
        <f>556578-K8-J8</f>
        <v>325714</v>
      </c>
      <c r="M8" s="22">
        <f>666817-L8-K8-J8</f>
        <v>110239</v>
      </c>
      <c r="N8" s="23">
        <v>146561</v>
      </c>
      <c r="O8" s="22">
        <f>335455-N8</f>
        <v>188894</v>
      </c>
      <c r="P8" s="22">
        <f>635646-O8-N8</f>
        <v>300191</v>
      </c>
    </row>
    <row r="9" spans="1:17" s="5" customFormat="1" x14ac:dyDescent="0.15">
      <c r="A9" s="55" t="s">
        <v>13</v>
      </c>
      <c r="B9" s="31">
        <f t="shared" ref="B9:M9" si="1">B7-B8</f>
        <v>64729</v>
      </c>
      <c r="C9" s="64">
        <f t="shared" si="1"/>
        <v>233054</v>
      </c>
      <c r="D9" s="64">
        <f t="shared" si="1"/>
        <v>28521</v>
      </c>
      <c r="E9" s="64">
        <f t="shared" si="1"/>
        <v>76962</v>
      </c>
      <c r="F9" s="31">
        <f t="shared" si="1"/>
        <v>82906</v>
      </c>
      <c r="G9" s="64">
        <f t="shared" si="1"/>
        <v>89111</v>
      </c>
      <c r="H9" s="64">
        <f t="shared" si="1"/>
        <v>237055</v>
      </c>
      <c r="I9" s="64">
        <f t="shared" si="1"/>
        <v>92117</v>
      </c>
      <c r="J9" s="31">
        <f t="shared" si="1"/>
        <v>83416</v>
      </c>
      <c r="K9" s="64">
        <f t="shared" si="1"/>
        <v>129686</v>
      </c>
      <c r="L9" s="64">
        <f t="shared" si="1"/>
        <v>252988</v>
      </c>
      <c r="M9" s="64">
        <f t="shared" si="1"/>
        <v>175612</v>
      </c>
      <c r="N9" s="31">
        <f t="shared" ref="N9:P9" si="2">N7-N8</f>
        <v>211544</v>
      </c>
      <c r="O9" s="64">
        <f t="shared" si="2"/>
        <v>222524</v>
      </c>
      <c r="P9" s="64">
        <f t="shared" si="2"/>
        <v>334748</v>
      </c>
    </row>
    <row r="10" spans="1:17" s="5" customFormat="1" x14ac:dyDescent="0.15">
      <c r="A10" s="55" t="s">
        <v>81</v>
      </c>
      <c r="B10" s="23">
        <v>48520</v>
      </c>
      <c r="C10" s="22">
        <f>103755-B10</f>
        <v>55235</v>
      </c>
      <c r="D10" s="22">
        <f>169842-C10-B10</f>
        <v>66087</v>
      </c>
      <c r="E10" s="22">
        <f>225983-D10-C10-B10</f>
        <v>56141</v>
      </c>
      <c r="F10" s="23">
        <v>52372</v>
      </c>
      <c r="G10" s="22">
        <f>110613-F10</f>
        <v>58241</v>
      </c>
      <c r="H10" s="22">
        <f>189043-G10-F10</f>
        <v>78430</v>
      </c>
      <c r="I10" s="22">
        <f>251488-H10-G10-F10</f>
        <v>62445</v>
      </c>
      <c r="J10" s="23">
        <v>55989</v>
      </c>
      <c r="K10" s="22">
        <f>118880-J10</f>
        <v>62891</v>
      </c>
      <c r="L10" s="22">
        <f>203159-K10-J10</f>
        <v>84279</v>
      </c>
      <c r="M10" s="22">
        <f>289331-L10-K10-J10</f>
        <v>86172</v>
      </c>
      <c r="N10" s="23">
        <v>66808</v>
      </c>
      <c r="O10" s="22">
        <f>142644-N10</f>
        <v>75836</v>
      </c>
      <c r="P10" s="22">
        <f>247707-O10-N10</f>
        <v>105063</v>
      </c>
    </row>
    <row r="11" spans="1:17" s="5" customFormat="1" x14ac:dyDescent="0.15">
      <c r="A11" s="55" t="s">
        <v>14</v>
      </c>
      <c r="B11" s="31">
        <f t="shared" ref="B11:P11" si="3">SUM(B10:B10)</f>
        <v>48520</v>
      </c>
      <c r="C11" s="64">
        <f t="shared" si="3"/>
        <v>55235</v>
      </c>
      <c r="D11" s="64">
        <f t="shared" si="3"/>
        <v>66087</v>
      </c>
      <c r="E11" s="64">
        <f t="shared" si="3"/>
        <v>56141</v>
      </c>
      <c r="F11" s="31">
        <f t="shared" si="3"/>
        <v>52372</v>
      </c>
      <c r="G11" s="64">
        <f t="shared" si="3"/>
        <v>58241</v>
      </c>
      <c r="H11" s="64">
        <f t="shared" si="3"/>
        <v>78430</v>
      </c>
      <c r="I11" s="64">
        <f t="shared" si="3"/>
        <v>62445</v>
      </c>
      <c r="J11" s="31">
        <f t="shared" si="3"/>
        <v>55989</v>
      </c>
      <c r="K11" s="64">
        <f t="shared" si="3"/>
        <v>62891</v>
      </c>
      <c r="L11" s="64">
        <f t="shared" si="3"/>
        <v>84279</v>
      </c>
      <c r="M11" s="64">
        <f t="shared" si="3"/>
        <v>86172</v>
      </c>
      <c r="N11" s="31">
        <f t="shared" si="3"/>
        <v>66808</v>
      </c>
      <c r="O11" s="64">
        <f t="shared" si="3"/>
        <v>75836</v>
      </c>
      <c r="P11" s="64">
        <f t="shared" si="3"/>
        <v>105063</v>
      </c>
    </row>
    <row r="12" spans="1:17" s="5" customFormat="1" x14ac:dyDescent="0.15">
      <c r="A12" s="55" t="s">
        <v>15</v>
      </c>
      <c r="B12" s="31">
        <f t="shared" ref="B12:P12" si="4">B9-B11</f>
        <v>16209</v>
      </c>
      <c r="C12" s="64">
        <f t="shared" si="4"/>
        <v>177819</v>
      </c>
      <c r="D12" s="64">
        <f t="shared" si="4"/>
        <v>-37566</v>
      </c>
      <c r="E12" s="64">
        <f t="shared" si="4"/>
        <v>20821</v>
      </c>
      <c r="F12" s="31">
        <f t="shared" si="4"/>
        <v>30534</v>
      </c>
      <c r="G12" s="64">
        <f t="shared" si="4"/>
        <v>30870</v>
      </c>
      <c r="H12" s="64">
        <f t="shared" si="4"/>
        <v>158625</v>
      </c>
      <c r="I12" s="64">
        <f t="shared" si="4"/>
        <v>29672</v>
      </c>
      <c r="J12" s="31">
        <f t="shared" si="4"/>
        <v>27427</v>
      </c>
      <c r="K12" s="64">
        <f t="shared" si="4"/>
        <v>66795</v>
      </c>
      <c r="L12" s="64">
        <f t="shared" si="4"/>
        <v>168709</v>
      </c>
      <c r="M12" s="64">
        <f t="shared" si="4"/>
        <v>89440</v>
      </c>
      <c r="N12" s="31">
        <f t="shared" si="4"/>
        <v>144736</v>
      </c>
      <c r="O12" s="64">
        <f t="shared" si="4"/>
        <v>146688</v>
      </c>
      <c r="P12" s="64">
        <f t="shared" si="4"/>
        <v>229685</v>
      </c>
    </row>
    <row r="13" spans="1:17" s="5" customFormat="1" x14ac:dyDescent="0.15">
      <c r="A13" s="55" t="s">
        <v>16</v>
      </c>
      <c r="B13" s="23">
        <f>15105-353+409-6</f>
        <v>15155</v>
      </c>
      <c r="C13" s="22">
        <f>30222-593+2771-1153-B13</f>
        <v>16092</v>
      </c>
      <c r="D13" s="22">
        <f>38874-772+3240-1428-C13-B13</f>
        <v>8667</v>
      </c>
      <c r="E13" s="22">
        <f>23509-1710+3240-1507-D13-C13-B13</f>
        <v>-16382</v>
      </c>
      <c r="F13" s="23">
        <f>13389-58+0-366</f>
        <v>12965</v>
      </c>
      <c r="G13" s="22">
        <f>30717-190+1-385-F13</f>
        <v>17178</v>
      </c>
      <c r="H13" s="22">
        <f>20469-230+1-703-G13-F13</f>
        <v>-10606</v>
      </c>
      <c r="I13" s="22">
        <f>28315-662+1-5584-H13-G13-F13</f>
        <v>2533</v>
      </c>
      <c r="J13" s="23">
        <f>6916-12112+139-70</f>
        <v>-5127</v>
      </c>
      <c r="K13" s="22">
        <f>11960-21009+139-81-J13</f>
        <v>-3864</v>
      </c>
      <c r="L13" s="22">
        <f>19826-8915+988-103-K13-J13</f>
        <v>20787</v>
      </c>
      <c r="M13" s="22">
        <f>25582-17490+1041-229-L13-K13-J13</f>
        <v>-2892</v>
      </c>
      <c r="N13" s="23">
        <f>5920-328+1-3</f>
        <v>5590</v>
      </c>
      <c r="O13" s="22">
        <f>10293-4221+2556-87-N13</f>
        <v>2951</v>
      </c>
      <c r="P13" s="22">
        <f>15678-8556+2556-178-O13-N13</f>
        <v>959</v>
      </c>
    </row>
    <row r="14" spans="1:17" s="5" customFormat="1" x14ac:dyDescent="0.15">
      <c r="A14" s="55" t="s">
        <v>17</v>
      </c>
      <c r="B14" s="31">
        <f t="shared" ref="B14:M14" si="5">B12+B13</f>
        <v>31364</v>
      </c>
      <c r="C14" s="64">
        <f t="shared" si="5"/>
        <v>193911</v>
      </c>
      <c r="D14" s="64">
        <f t="shared" si="5"/>
        <v>-28899</v>
      </c>
      <c r="E14" s="64">
        <f t="shared" si="5"/>
        <v>4439</v>
      </c>
      <c r="F14" s="31">
        <f t="shared" si="5"/>
        <v>43499</v>
      </c>
      <c r="G14" s="64">
        <f t="shared" si="5"/>
        <v>48048</v>
      </c>
      <c r="H14" s="64">
        <f t="shared" si="5"/>
        <v>148019</v>
      </c>
      <c r="I14" s="64">
        <f t="shared" si="5"/>
        <v>32205</v>
      </c>
      <c r="J14" s="31">
        <f t="shared" si="5"/>
        <v>22300</v>
      </c>
      <c r="K14" s="64">
        <f t="shared" si="5"/>
        <v>62931</v>
      </c>
      <c r="L14" s="64">
        <f t="shared" si="5"/>
        <v>189496</v>
      </c>
      <c r="M14" s="64">
        <f t="shared" si="5"/>
        <v>86548</v>
      </c>
      <c r="N14" s="31">
        <f t="shared" ref="N14:P14" si="6">N12+N13</f>
        <v>150326</v>
      </c>
      <c r="O14" s="64">
        <f t="shared" si="6"/>
        <v>149639</v>
      </c>
      <c r="P14" s="64">
        <f t="shared" si="6"/>
        <v>230644</v>
      </c>
    </row>
    <row r="15" spans="1:17" s="5" customFormat="1" x14ac:dyDescent="0.15">
      <c r="A15" s="55" t="s">
        <v>18</v>
      </c>
      <c r="B15" s="23">
        <v>9568</v>
      </c>
      <c r="C15" s="22">
        <f>18536-B15</f>
        <v>8968</v>
      </c>
      <c r="D15" s="22">
        <f>59253-C15-B15</f>
        <v>40717</v>
      </c>
      <c r="E15" s="22">
        <f>60114-D15-C15-B15</f>
        <v>861</v>
      </c>
      <c r="F15" s="23">
        <v>12919</v>
      </c>
      <c r="G15" s="22">
        <f>27258-F15</f>
        <v>14339</v>
      </c>
      <c r="H15" s="22">
        <f>70384-G15-F15</f>
        <v>43126</v>
      </c>
      <c r="I15" s="22">
        <f>77204-H15-G15-F15</f>
        <v>6820</v>
      </c>
      <c r="J15" s="23">
        <v>5697</v>
      </c>
      <c r="K15" s="22">
        <f>23225-J15</f>
        <v>17528</v>
      </c>
      <c r="L15" s="22">
        <f>78308-K15-J15</f>
        <v>55083</v>
      </c>
      <c r="M15" s="22">
        <f>102589-L15-K15-J15</f>
        <v>24281</v>
      </c>
      <c r="N15" s="23">
        <v>43820</v>
      </c>
      <c r="O15" s="22">
        <f>86809-N15</f>
        <v>42989</v>
      </c>
      <c r="P15" s="22">
        <f>153903-O15-N15</f>
        <v>67094</v>
      </c>
    </row>
    <row r="16" spans="1:17" s="24" customFormat="1" x14ac:dyDescent="0.15">
      <c r="A16" s="57" t="s">
        <v>9</v>
      </c>
      <c r="B16" s="30">
        <f t="shared" ref="B16:G16" si="7">B14-B15</f>
        <v>21796</v>
      </c>
      <c r="C16" s="62">
        <f t="shared" ref="C16:E16" si="8">C14-C15</f>
        <v>184943</v>
      </c>
      <c r="D16" s="62">
        <f t="shared" si="8"/>
        <v>-69616</v>
      </c>
      <c r="E16" s="62">
        <f t="shared" si="8"/>
        <v>3578</v>
      </c>
      <c r="F16" s="30">
        <f t="shared" si="7"/>
        <v>30580</v>
      </c>
      <c r="G16" s="62">
        <f t="shared" si="7"/>
        <v>33709</v>
      </c>
      <c r="H16" s="62">
        <f t="shared" ref="H16" si="9">H14-H15</f>
        <v>104893</v>
      </c>
      <c r="I16" s="62">
        <f t="shared" ref="I16" si="10">I14-I15</f>
        <v>25385</v>
      </c>
      <c r="J16" s="30">
        <f t="shared" ref="J16:K16" si="11">J14-J15</f>
        <v>16603</v>
      </c>
      <c r="K16" s="62">
        <f t="shared" si="11"/>
        <v>45403</v>
      </c>
      <c r="L16" s="62">
        <f t="shared" ref="L16:M16" si="12">L14-L15</f>
        <v>134413</v>
      </c>
      <c r="M16" s="62">
        <f t="shared" si="12"/>
        <v>62267</v>
      </c>
      <c r="N16" s="30">
        <f t="shared" ref="N16:O16" si="13">N14-N15</f>
        <v>106506</v>
      </c>
      <c r="O16" s="62">
        <f t="shared" si="13"/>
        <v>106650</v>
      </c>
      <c r="P16" s="62">
        <f t="shared" ref="P16" si="14">P14-P15</f>
        <v>163550</v>
      </c>
    </row>
    <row r="17" spans="1:17" s="4" customFormat="1" x14ac:dyDescent="0.15">
      <c r="A17" s="58" t="s">
        <v>19</v>
      </c>
      <c r="B17" s="32" t="e">
        <f t="shared" ref="B17:G17" si="15">B16/B18</f>
        <v>#DIV/0!</v>
      </c>
      <c r="C17" s="65" t="e">
        <f t="shared" ref="C17:E17" si="16">C16/C18</f>
        <v>#DIV/0!</v>
      </c>
      <c r="D17" s="65" t="e">
        <f t="shared" si="16"/>
        <v>#DIV/0!</v>
      </c>
      <c r="E17" s="65" t="e">
        <f t="shared" si="16"/>
        <v>#DIV/0!</v>
      </c>
      <c r="F17" s="32" t="e">
        <f t="shared" si="15"/>
        <v>#DIV/0!</v>
      </c>
      <c r="G17" s="65" t="e">
        <f t="shared" si="15"/>
        <v>#DIV/0!</v>
      </c>
      <c r="H17" s="65" t="e">
        <f t="shared" ref="H17" si="17">H16/H18</f>
        <v>#DIV/0!</v>
      </c>
      <c r="I17" s="65">
        <f t="shared" ref="I17" si="18">I16/I18</f>
        <v>192.79405175098162</v>
      </c>
      <c r="J17" s="32" t="e">
        <f t="shared" ref="J17:K17" si="19">J16/J18</f>
        <v>#DIV/0!</v>
      </c>
      <c r="K17" s="65" t="e">
        <f t="shared" si="19"/>
        <v>#DIV/0!</v>
      </c>
      <c r="L17" s="65" t="e">
        <f t="shared" ref="L17:M17" si="20">L16/L18</f>
        <v>#DIV/0!</v>
      </c>
      <c r="M17" s="65">
        <f t="shared" si="20"/>
        <v>472.90554344606545</v>
      </c>
      <c r="N17" s="32" t="e">
        <f t="shared" ref="N17:O17" si="21">N16/N18</f>
        <v>#DIV/0!</v>
      </c>
      <c r="O17" s="65" t="e">
        <f t="shared" si="21"/>
        <v>#DIV/0!</v>
      </c>
      <c r="P17" s="65">
        <f t="shared" ref="P17" si="22">P16/P18</f>
        <v>1242.1298863058123</v>
      </c>
    </row>
    <row r="18" spans="1:17" s="5" customFormat="1" x14ac:dyDescent="0.15">
      <c r="A18" s="55" t="s">
        <v>1</v>
      </c>
      <c r="B18" s="23"/>
      <c r="C18" s="22"/>
      <c r="D18" s="22"/>
      <c r="E18" s="22"/>
      <c r="F18" s="23"/>
      <c r="G18" s="22"/>
      <c r="H18" s="22"/>
      <c r="I18" s="22">
        <v>131.66900000000001</v>
      </c>
      <c r="J18" s="23"/>
      <c r="K18" s="22"/>
      <c r="L18" s="22"/>
      <c r="M18" s="22">
        <v>131.66900000000001</v>
      </c>
      <c r="N18" s="23"/>
      <c r="O18" s="22"/>
      <c r="P18" s="22">
        <v>131.66900000000001</v>
      </c>
    </row>
    <row r="19" spans="1:17" x14ac:dyDescent="0.15">
      <c r="C19" s="22"/>
      <c r="D19" s="22"/>
      <c r="E19" s="22"/>
      <c r="G19" s="22"/>
      <c r="H19" s="22"/>
      <c r="I19" s="22"/>
    </row>
    <row r="20" spans="1:17" s="2" customFormat="1" x14ac:dyDescent="0.15">
      <c r="A20" s="59" t="s">
        <v>10</v>
      </c>
      <c r="B20" s="33"/>
      <c r="C20" s="66"/>
      <c r="D20" s="66"/>
      <c r="E20" s="66"/>
      <c r="F20" s="33">
        <f t="shared" ref="F20:Q20" si="23">F7/B7-1</f>
        <v>9.1433652672845867E-2</v>
      </c>
      <c r="G20" s="66">
        <f t="shared" si="23"/>
        <v>-0.40982515239011874</v>
      </c>
      <c r="H20" s="66">
        <f t="shared" si="23"/>
        <v>0.84975509496720925</v>
      </c>
      <c r="I20" s="66">
        <f t="shared" si="23"/>
        <v>2.3133956480376971E-2</v>
      </c>
      <c r="J20" s="33">
        <f t="shared" si="23"/>
        <v>2.3514019803157815E-2</v>
      </c>
      <c r="K20" s="66">
        <f t="shared" si="23"/>
        <v>0.2315208675916991</v>
      </c>
      <c r="L20" s="66">
        <f t="shared" si="23"/>
        <v>-4.879764624665095E-2</v>
      </c>
      <c r="M20" s="66">
        <f t="shared" si="23"/>
        <v>0.40629719823875243</v>
      </c>
      <c r="N20" s="33">
        <f t="shared" si="23"/>
        <v>1.080687238900929</v>
      </c>
      <c r="O20" s="66">
        <f t="shared" si="23"/>
        <v>0.51336180418381727</v>
      </c>
      <c r="P20" s="66">
        <f t="shared" si="23"/>
        <v>9.717782209150827E-2</v>
      </c>
      <c r="Q20" s="66">
        <f t="shared" si="23"/>
        <v>0.19543905741102896</v>
      </c>
    </row>
    <row r="21" spans="1:17" x14ac:dyDescent="0.15">
      <c r="A21" s="53" t="s">
        <v>82</v>
      </c>
      <c r="B21" s="28"/>
      <c r="C21" s="63"/>
      <c r="D21" s="63"/>
      <c r="E21" s="63"/>
      <c r="F21" s="28">
        <f t="shared" ref="F21:P21" si="24">F10/B10-1</f>
        <v>7.9389942291838489E-2</v>
      </c>
      <c r="G21" s="63">
        <f t="shared" si="24"/>
        <v>5.4422015026704074E-2</v>
      </c>
      <c r="H21" s="63">
        <f t="shared" si="24"/>
        <v>0.18676895607305521</v>
      </c>
      <c r="I21" s="63">
        <f t="shared" si="24"/>
        <v>0.11228870166188698</v>
      </c>
      <c r="J21" s="28">
        <f t="shared" si="24"/>
        <v>6.9063621782631923E-2</v>
      </c>
      <c r="K21" s="63">
        <f t="shared" si="24"/>
        <v>7.9840662076543945E-2</v>
      </c>
      <c r="L21" s="63">
        <f t="shared" si="24"/>
        <v>7.4576055080963988E-2</v>
      </c>
      <c r="M21" s="63">
        <f t="shared" si="24"/>
        <v>0.37996637040595727</v>
      </c>
      <c r="N21" s="28">
        <f t="shared" si="24"/>
        <v>0.19323438532568904</v>
      </c>
      <c r="O21" s="63">
        <f t="shared" si="24"/>
        <v>0.20583231304956184</v>
      </c>
      <c r="P21" s="63">
        <f t="shared" si="24"/>
        <v>0.24660947567009583</v>
      </c>
    </row>
    <row r="22" spans="1:17" x14ac:dyDescent="0.15">
      <c r="C22" s="67"/>
      <c r="D22" s="67"/>
      <c r="E22" s="67"/>
      <c r="G22" s="67"/>
      <c r="H22" s="67"/>
      <c r="I22" s="67"/>
      <c r="K22" s="67"/>
      <c r="L22" s="67"/>
      <c r="M22" s="67"/>
      <c r="O22" s="67"/>
      <c r="P22" s="67"/>
    </row>
    <row r="23" spans="1:17" x14ac:dyDescent="0.15">
      <c r="A23" s="53" t="s">
        <v>20</v>
      </c>
      <c r="B23" s="28">
        <f t="shared" ref="B23:P23" si="25">B9/B7</f>
        <v>0.42013266869174648</v>
      </c>
      <c r="C23" s="63">
        <f t="shared" si="25"/>
        <v>0.6230723986739386</v>
      </c>
      <c r="D23" s="63">
        <f t="shared" si="25"/>
        <v>8.6715536191521517E-2</v>
      </c>
      <c r="E23" s="63">
        <f t="shared" si="25"/>
        <v>0.3873880675898102</v>
      </c>
      <c r="F23" s="28">
        <f t="shared" si="25"/>
        <v>0.49303321340429962</v>
      </c>
      <c r="G23" s="63">
        <f t="shared" si="25"/>
        <v>0.40367566783994491</v>
      </c>
      <c r="H23" s="63">
        <f t="shared" si="25"/>
        <v>0.38964315652788506</v>
      </c>
      <c r="I23" s="63">
        <f t="shared" si="25"/>
        <v>0.4531867266868374</v>
      </c>
      <c r="J23" s="28">
        <f t="shared" si="25"/>
        <v>0.48466959891696543</v>
      </c>
      <c r="K23" s="63">
        <f t="shared" si="25"/>
        <v>0.4770375601878929</v>
      </c>
      <c r="L23" s="63">
        <f t="shared" si="25"/>
        <v>0.43716455101243817</v>
      </c>
      <c r="M23" s="63">
        <f t="shared" si="25"/>
        <v>0.61434803446550823</v>
      </c>
      <c r="N23" s="28">
        <f t="shared" si="25"/>
        <v>0.59073176861535026</v>
      </c>
      <c r="O23" s="63">
        <f t="shared" si="25"/>
        <v>0.54087084182024125</v>
      </c>
      <c r="P23" s="63">
        <f t="shared" si="25"/>
        <v>0.52721285036830312</v>
      </c>
    </row>
    <row r="24" spans="1:17" x14ac:dyDescent="0.15">
      <c r="A24" s="53" t="s">
        <v>21</v>
      </c>
      <c r="B24" s="28">
        <f t="shared" ref="B24:P24" si="26">B12/B7</f>
        <v>0.10520679180621544</v>
      </c>
      <c r="C24" s="63">
        <f t="shared" si="26"/>
        <v>0.47540102662816813</v>
      </c>
      <c r="D24" s="63">
        <f t="shared" si="26"/>
        <v>-0.11421604546021168</v>
      </c>
      <c r="E24" s="63">
        <f t="shared" si="26"/>
        <v>0.10480246037378756</v>
      </c>
      <c r="F24" s="28">
        <f t="shared" si="26"/>
        <v>0.18158246855579674</v>
      </c>
      <c r="G24" s="63">
        <f t="shared" si="26"/>
        <v>0.13984208308984411</v>
      </c>
      <c r="H24" s="63">
        <f t="shared" si="26"/>
        <v>0.26072913755978894</v>
      </c>
      <c r="I24" s="63">
        <f t="shared" si="26"/>
        <v>0.14597692667207832</v>
      </c>
      <c r="J24" s="28">
        <f t="shared" si="26"/>
        <v>0.15935831362682951</v>
      </c>
      <c r="K24" s="63">
        <f t="shared" si="26"/>
        <v>0.24569902559065979</v>
      </c>
      <c r="L24" s="63">
        <f t="shared" si="26"/>
        <v>0.29153001026435021</v>
      </c>
      <c r="M24" s="63">
        <f t="shared" si="26"/>
        <v>0.31289028200006297</v>
      </c>
      <c r="N24" s="28">
        <f t="shared" si="26"/>
        <v>0.40417196073777245</v>
      </c>
      <c r="O24" s="63">
        <f t="shared" si="26"/>
        <v>0.3565424944946502</v>
      </c>
      <c r="P24" s="63">
        <f t="shared" si="26"/>
        <v>0.36174341157182027</v>
      </c>
    </row>
    <row r="25" spans="1:17" x14ac:dyDescent="0.15">
      <c r="A25" s="53" t="s">
        <v>22</v>
      </c>
      <c r="B25" s="28">
        <f t="shared" ref="B25:P25" si="27">B15/B14</f>
        <v>0.30506312970284405</v>
      </c>
      <c r="C25" s="63">
        <f t="shared" si="27"/>
        <v>4.624802099932443E-2</v>
      </c>
      <c r="D25" s="63">
        <f t="shared" si="27"/>
        <v>-1.4089414858645628</v>
      </c>
      <c r="E25" s="63">
        <f t="shared" si="27"/>
        <v>0.19396260419013292</v>
      </c>
      <c r="F25" s="28">
        <f t="shared" si="27"/>
        <v>0.29699533322605115</v>
      </c>
      <c r="G25" s="63">
        <f t="shared" si="27"/>
        <v>0.29843073593073594</v>
      </c>
      <c r="H25" s="63">
        <f t="shared" si="27"/>
        <v>0.29135448827515387</v>
      </c>
      <c r="I25" s="63">
        <f t="shared" si="27"/>
        <v>0.21176835895047352</v>
      </c>
      <c r="J25" s="28">
        <f t="shared" si="27"/>
        <v>0.25547085201793723</v>
      </c>
      <c r="K25" s="63">
        <f t="shared" si="27"/>
        <v>0.27852727590535664</v>
      </c>
      <c r="L25" s="63">
        <f t="shared" si="27"/>
        <v>0.2906815975007388</v>
      </c>
      <c r="M25" s="63">
        <f t="shared" si="27"/>
        <v>0.28054952165272451</v>
      </c>
      <c r="N25" s="28">
        <f t="shared" si="27"/>
        <v>0.29149980708593326</v>
      </c>
      <c r="O25" s="63">
        <f t="shared" si="27"/>
        <v>0.28728473192149107</v>
      </c>
      <c r="P25" s="63">
        <f t="shared" si="27"/>
        <v>0.29089852760097812</v>
      </c>
    </row>
    <row r="27" spans="1:17" s="24" customFormat="1" x14ac:dyDescent="0.15">
      <c r="A27" s="57" t="s">
        <v>3</v>
      </c>
      <c r="B27" s="39"/>
      <c r="C27" s="22"/>
      <c r="D27" s="22"/>
      <c r="E27" s="62">
        <f t="shared" ref="E27" si="28">E28-E29</f>
        <v>1048509</v>
      </c>
      <c r="F27" s="21"/>
      <c r="G27" s="22"/>
      <c r="H27" s="22"/>
      <c r="I27" s="62">
        <f t="shared" ref="I27" si="29">I28-I29</f>
        <v>1190405</v>
      </c>
      <c r="J27" s="23"/>
      <c r="K27" s="22"/>
      <c r="L27" s="22"/>
      <c r="M27" s="62">
        <f t="shared" ref="M27" si="30">M28-M29</f>
        <v>1356420</v>
      </c>
      <c r="N27" s="39"/>
      <c r="O27" s="37"/>
      <c r="P27" s="37"/>
    </row>
    <row r="28" spans="1:17" s="5" customFormat="1" x14ac:dyDescent="0.15">
      <c r="A28" s="55" t="s">
        <v>30</v>
      </c>
      <c r="B28" s="23"/>
      <c r="C28" s="22"/>
      <c r="D28" s="22"/>
      <c r="E28" s="68">
        <f>744555+243431+198538</f>
        <v>1186524</v>
      </c>
      <c r="F28" s="21"/>
      <c r="G28" s="22"/>
      <c r="H28" s="22"/>
      <c r="I28" s="68">
        <f>844550+238410+167134</f>
        <v>1250094</v>
      </c>
      <c r="J28" s="23"/>
      <c r="K28" s="22"/>
      <c r="L28" s="22"/>
      <c r="M28" s="68">
        <f>890402+326382+237710</f>
        <v>1454494</v>
      </c>
      <c r="N28" s="23"/>
      <c r="O28" s="22"/>
      <c r="P28" s="22"/>
    </row>
    <row r="29" spans="1:17" s="5" customFormat="1" x14ac:dyDescent="0.15">
      <c r="A29" s="55" t="s">
        <v>31</v>
      </c>
      <c r="B29" s="23"/>
      <c r="C29" s="22"/>
      <c r="D29" s="22"/>
      <c r="E29" s="68">
        <v>138015</v>
      </c>
      <c r="F29" s="21"/>
      <c r="G29" s="22"/>
      <c r="H29" s="22"/>
      <c r="I29" s="68">
        <v>59689</v>
      </c>
      <c r="J29" s="23"/>
      <c r="K29" s="22"/>
      <c r="L29" s="22"/>
      <c r="M29" s="68">
        <v>98074</v>
      </c>
      <c r="N29" s="23"/>
      <c r="O29" s="22"/>
      <c r="P29" s="22"/>
    </row>
    <row r="30" spans="1:17" s="5" customFormat="1" x14ac:dyDescent="0.15">
      <c r="A30" s="55"/>
      <c r="B30" s="23"/>
      <c r="C30" s="22"/>
      <c r="D30" s="22"/>
      <c r="E30" s="68"/>
      <c r="F30" s="21"/>
      <c r="G30" s="22"/>
      <c r="H30" s="22"/>
      <c r="I30" s="68"/>
      <c r="J30" s="23"/>
      <c r="K30" s="22"/>
      <c r="L30" s="22"/>
      <c r="M30" s="68"/>
      <c r="N30" s="23"/>
      <c r="O30" s="22"/>
      <c r="P30" s="22"/>
    </row>
    <row r="31" spans="1:17" s="5" customFormat="1" x14ac:dyDescent="0.15">
      <c r="A31" s="55" t="s">
        <v>24</v>
      </c>
      <c r="B31" s="23"/>
      <c r="C31" s="22"/>
      <c r="D31" s="22"/>
      <c r="E31" s="68">
        <v>14020</v>
      </c>
      <c r="F31" s="21"/>
      <c r="G31" s="22"/>
      <c r="H31" s="22"/>
      <c r="I31" s="68">
        <v>14090</v>
      </c>
      <c r="J31" s="23"/>
      <c r="K31" s="22"/>
      <c r="L31" s="22"/>
      <c r="M31" s="68">
        <v>15017</v>
      </c>
      <c r="N31" s="23"/>
      <c r="O31" s="22"/>
      <c r="P31" s="22"/>
    </row>
    <row r="32" spans="1:17" s="5" customFormat="1" x14ac:dyDescent="0.15">
      <c r="A32" s="55" t="s">
        <v>25</v>
      </c>
      <c r="B32" s="23"/>
      <c r="C32" s="22"/>
      <c r="D32" s="22"/>
      <c r="E32" s="68">
        <v>1633474</v>
      </c>
      <c r="F32" s="21"/>
      <c r="G32" s="22"/>
      <c r="H32" s="22"/>
      <c r="I32" s="68">
        <v>1690304</v>
      </c>
      <c r="J32" s="23"/>
      <c r="K32" s="22"/>
      <c r="L32" s="22"/>
      <c r="M32" s="68">
        <v>1934087</v>
      </c>
      <c r="N32" s="23"/>
      <c r="O32" s="22"/>
      <c r="P32" s="22"/>
    </row>
    <row r="33" spans="1:17" s="5" customFormat="1" x14ac:dyDescent="0.15">
      <c r="A33" s="55" t="s">
        <v>46</v>
      </c>
      <c r="B33" s="23"/>
      <c r="C33" s="22"/>
      <c r="D33" s="22"/>
      <c r="E33" s="68">
        <v>309899</v>
      </c>
      <c r="F33" s="21"/>
      <c r="G33" s="22"/>
      <c r="H33" s="22"/>
      <c r="I33" s="68">
        <v>275505</v>
      </c>
      <c r="J33" s="23"/>
      <c r="K33" s="22"/>
      <c r="L33" s="22"/>
      <c r="M33" s="68">
        <v>393186</v>
      </c>
      <c r="N33" s="23"/>
      <c r="O33" s="22"/>
      <c r="P33" s="22"/>
    </row>
    <row r="34" spans="1:17" s="5" customFormat="1" x14ac:dyDescent="0.15">
      <c r="A34" s="55"/>
      <c r="B34" s="23"/>
      <c r="C34" s="22"/>
      <c r="D34" s="22"/>
      <c r="E34" s="68"/>
      <c r="F34" s="21"/>
      <c r="G34" s="22"/>
      <c r="H34" s="22"/>
      <c r="I34" s="68"/>
      <c r="J34" s="23"/>
      <c r="K34" s="22"/>
      <c r="L34" s="22"/>
      <c r="M34" s="68"/>
      <c r="N34" s="23"/>
      <c r="O34" s="22"/>
      <c r="P34" s="22"/>
    </row>
    <row r="35" spans="1:17" s="5" customFormat="1" x14ac:dyDescent="0.15">
      <c r="A35" s="55" t="s">
        <v>32</v>
      </c>
      <c r="B35" s="23"/>
      <c r="C35" s="22"/>
      <c r="D35" s="22"/>
      <c r="E35" s="64">
        <f t="shared" ref="E35" si="31">E32-E31-E28</f>
        <v>432930</v>
      </c>
      <c r="F35" s="21"/>
      <c r="G35" s="22"/>
      <c r="H35" s="22"/>
      <c r="I35" s="64">
        <f t="shared" ref="I35" si="32">I32-I31-I28</f>
        <v>426120</v>
      </c>
      <c r="J35" s="23"/>
      <c r="K35" s="22"/>
      <c r="L35" s="22"/>
      <c r="M35" s="64">
        <f t="shared" ref="M35" si="33">M32-M31-M28</f>
        <v>464576</v>
      </c>
      <c r="N35" s="23"/>
      <c r="O35" s="22"/>
      <c r="P35" s="22"/>
    </row>
    <row r="36" spans="1:17" s="5" customFormat="1" x14ac:dyDescent="0.15">
      <c r="A36" s="55" t="s">
        <v>33</v>
      </c>
      <c r="B36" s="23"/>
      <c r="C36" s="22"/>
      <c r="D36" s="22"/>
      <c r="E36" s="64">
        <f t="shared" ref="E36" si="34">E32-E33</f>
        <v>1323575</v>
      </c>
      <c r="F36" s="21"/>
      <c r="G36" s="22"/>
      <c r="H36" s="22"/>
      <c r="I36" s="64">
        <f t="shared" ref="I36" si="35">I32-I33</f>
        <v>1414799</v>
      </c>
      <c r="J36" s="23"/>
      <c r="K36" s="22"/>
      <c r="L36" s="22"/>
      <c r="M36" s="64">
        <f t="shared" ref="M36" si="36">M32-M33</f>
        <v>1540901</v>
      </c>
      <c r="N36" s="23"/>
      <c r="O36" s="22"/>
      <c r="P36" s="22"/>
    </row>
    <row r="37" spans="1:17" s="5" customFormat="1" x14ac:dyDescent="0.15">
      <c r="A37" s="55"/>
      <c r="B37" s="23"/>
      <c r="C37" s="22"/>
      <c r="D37" s="22"/>
      <c r="E37" s="68"/>
      <c r="F37" s="21"/>
      <c r="G37" s="22"/>
      <c r="H37" s="22"/>
      <c r="I37" s="68"/>
      <c r="J37" s="23"/>
      <c r="K37" s="22"/>
      <c r="L37" s="22"/>
      <c r="M37" s="68"/>
      <c r="N37" s="23"/>
      <c r="O37" s="22"/>
      <c r="P37" s="22"/>
    </row>
    <row r="38" spans="1:17" s="24" customFormat="1" x14ac:dyDescent="0.15">
      <c r="A38" s="57" t="s">
        <v>73</v>
      </c>
      <c r="B38" s="39"/>
      <c r="C38" s="22"/>
      <c r="D38" s="22"/>
      <c r="E38" s="62">
        <f>SUM(B16:E16)</f>
        <v>140701</v>
      </c>
      <c r="F38" s="21"/>
      <c r="G38" s="22"/>
      <c r="H38" s="22"/>
      <c r="I38" s="62">
        <f>SUM(F16:I16)</f>
        <v>194567</v>
      </c>
      <c r="J38" s="23"/>
      <c r="K38" s="22"/>
      <c r="L38" s="22"/>
      <c r="M38" s="62">
        <f>SUM(J16:M16)</f>
        <v>258686</v>
      </c>
      <c r="N38" s="39"/>
      <c r="O38" s="37"/>
      <c r="P38" s="37"/>
    </row>
    <row r="39" spans="1:17" x14ac:dyDescent="0.15">
      <c r="A39" s="53" t="s">
        <v>26</v>
      </c>
      <c r="E39" s="63">
        <f t="shared" ref="E39" si="37">E38/E36</f>
        <v>0.10630376064824434</v>
      </c>
      <c r="I39" s="63">
        <f t="shared" ref="I39" si="38">I38/I36</f>
        <v>0.13752271524082219</v>
      </c>
      <c r="M39" s="63">
        <f t="shared" ref="M39" si="39">M38/M36</f>
        <v>0.16787970155123527</v>
      </c>
    </row>
    <row r="40" spans="1:17" x14ac:dyDescent="0.15">
      <c r="A40" s="53" t="s">
        <v>27</v>
      </c>
      <c r="E40" s="63">
        <f t="shared" ref="E40" si="40">E38/E32</f>
        <v>8.613605114008549E-2</v>
      </c>
      <c r="I40" s="63">
        <f t="shared" ref="I40" si="41">I38/I32</f>
        <v>0.11510769660368786</v>
      </c>
      <c r="M40" s="63">
        <f t="shared" ref="M40" si="42">M38/M32</f>
        <v>0.13375096363296998</v>
      </c>
    </row>
    <row r="41" spans="1:17" x14ac:dyDescent="0.15">
      <c r="A41" s="53" t="s">
        <v>28</v>
      </c>
      <c r="E41" s="63">
        <f t="shared" ref="E41" si="43">E38/(E36-E31)</f>
        <v>0.10744184093069784</v>
      </c>
      <c r="I41" s="63">
        <f t="shared" ref="I41" si="44">I38/(I36-I31)</f>
        <v>0.13890608256247372</v>
      </c>
      <c r="M41" s="63">
        <f t="shared" ref="M41" si="45">M38/(M36-M31)</f>
        <v>0.16953189102186011</v>
      </c>
    </row>
    <row r="42" spans="1:17" x14ac:dyDescent="0.15">
      <c r="A42" s="53" t="s">
        <v>29</v>
      </c>
      <c r="C42" s="22"/>
      <c r="D42" s="22"/>
      <c r="E42" s="63">
        <f t="shared" ref="E42" si="46">E38/E35</f>
        <v>0.32499711269720277</v>
      </c>
      <c r="G42" s="22"/>
      <c r="H42" s="22"/>
      <c r="I42" s="63">
        <f t="shared" ref="I42" si="47">I38/I35</f>
        <v>0.45660142682812355</v>
      </c>
      <c r="M42" s="63">
        <f t="shared" ref="M42" si="48">M38/M35</f>
        <v>0.55682170409147269</v>
      </c>
    </row>
    <row r="43" spans="1:17" x14ac:dyDescent="0.15">
      <c r="C43" s="22"/>
      <c r="D43" s="22"/>
      <c r="E43" s="22"/>
      <c r="G43" s="22"/>
      <c r="H43" s="22"/>
      <c r="I43" s="22"/>
    </row>
    <row r="44" spans="1:17" s="14" customFormat="1" x14ac:dyDescent="0.15">
      <c r="A44" s="55" t="s">
        <v>63</v>
      </c>
      <c r="B44" s="28"/>
      <c r="C44" s="63"/>
      <c r="D44" s="63"/>
      <c r="E44" s="63"/>
      <c r="F44" s="28">
        <f t="shared" ref="F44:Q46" si="49">F3/B3-1</f>
        <v>9.6131106731666804E-2</v>
      </c>
      <c r="G44" s="63">
        <f t="shared" si="49"/>
        <v>-0.40718817376814775</v>
      </c>
      <c r="H44" s="63">
        <f t="shared" si="49"/>
        <v>0.8160638734287271</v>
      </c>
      <c r="I44" s="63">
        <f t="shared" si="49"/>
        <v>1.1536907470812263E-2</v>
      </c>
      <c r="J44" s="28">
        <f t="shared" si="49"/>
        <v>1.9631963764138893E-2</v>
      </c>
      <c r="K44" s="63">
        <f t="shared" si="49"/>
        <v>0.24078760570335156</v>
      </c>
      <c r="L44" s="63">
        <f t="shared" si="49"/>
        <v>-5.5012558790310306E-2</v>
      </c>
      <c r="M44" s="63">
        <f t="shared" si="49"/>
        <v>0.42241225257802406</v>
      </c>
      <c r="N44" s="28">
        <f t="shared" si="49"/>
        <v>1.1316038582185128</v>
      </c>
      <c r="O44" s="63">
        <f t="shared" si="49"/>
        <v>0.52062940541698866</v>
      </c>
      <c r="P44" s="63">
        <f t="shared" si="49"/>
        <v>0.10451392853065422</v>
      </c>
      <c r="Q44" s="63">
        <f t="shared" si="49"/>
        <v>0.19999999999999996</v>
      </c>
    </row>
    <row r="45" spans="1:17" s="14" customFormat="1" x14ac:dyDescent="0.15">
      <c r="A45" s="55" t="s">
        <v>64</v>
      </c>
      <c r="B45" s="28"/>
      <c r="C45" s="63"/>
      <c r="D45" s="63"/>
      <c r="E45" s="63"/>
      <c r="F45" s="28">
        <f t="shared" si="49"/>
        <v>3.8622820569411687E-3</v>
      </c>
      <c r="G45" s="63">
        <f t="shared" si="49"/>
        <v>-0.46058577405857737</v>
      </c>
      <c r="H45" s="63">
        <f t="shared" si="49"/>
        <v>5.9148533585619676</v>
      </c>
      <c r="I45" s="63">
        <f t="shared" si="49"/>
        <v>0.23534592425873369</v>
      </c>
      <c r="J45" s="28">
        <f t="shared" si="49"/>
        <v>9.9813125206111852E-2</v>
      </c>
      <c r="K45" s="63">
        <f t="shared" si="49"/>
        <v>2.9992760368187099E-2</v>
      </c>
      <c r="L45" s="63">
        <f t="shared" si="49"/>
        <v>0.15925571213572298</v>
      </c>
      <c r="M45" s="63">
        <f t="shared" si="49"/>
        <v>0.13949619771863109</v>
      </c>
      <c r="N45" s="28">
        <f t="shared" si="49"/>
        <v>0.3271364317841079</v>
      </c>
      <c r="O45" s="63">
        <f t="shared" si="49"/>
        <v>0.35043679084245416</v>
      </c>
      <c r="P45" s="63">
        <f t="shared" si="49"/>
        <v>-9.8076242181045714E-2</v>
      </c>
      <c r="Q45" s="63">
        <f t="shared" si="49"/>
        <v>0.14999999999999991</v>
      </c>
    </row>
    <row r="46" spans="1:17" x14ac:dyDescent="0.15">
      <c r="A46" s="55" t="s">
        <v>11</v>
      </c>
      <c r="B46" s="28"/>
      <c r="C46" s="63"/>
      <c r="D46" s="63"/>
      <c r="E46" s="63"/>
      <c r="F46" s="28">
        <f t="shared" si="49"/>
        <v>0.38363171355498715</v>
      </c>
      <c r="G46" s="63">
        <f t="shared" si="49"/>
        <v>-0.44205495818399043</v>
      </c>
      <c r="H46" s="63">
        <f t="shared" si="49"/>
        <v>2.93006993006993</v>
      </c>
      <c r="I46" s="63">
        <f t="shared" si="49"/>
        <v>5.8659217877095049E-2</v>
      </c>
      <c r="J46" s="28">
        <f t="shared" si="49"/>
        <v>-0.12199630314232901</v>
      </c>
      <c r="K46" s="63">
        <f t="shared" si="49"/>
        <v>0.22483940042826545</v>
      </c>
      <c r="L46" s="63">
        <f t="shared" si="49"/>
        <v>1.0996441281138791</v>
      </c>
      <c r="M46" s="63">
        <f t="shared" si="49"/>
        <v>1.2031662269129288</v>
      </c>
      <c r="N46" s="28">
        <f t="shared" si="49"/>
        <v>-0.37263157894736842</v>
      </c>
      <c r="O46" s="63">
        <f t="shared" si="49"/>
        <v>2.9720279720279796E-2</v>
      </c>
      <c r="P46" s="63">
        <f t="shared" si="49"/>
        <v>-0.58389830508474572</v>
      </c>
      <c r="Q46" s="63">
        <f t="shared" si="49"/>
        <v>-0.5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11"/>
  <sheetViews>
    <sheetView zoomScale="130" zoomScaleNormal="130" workbookViewId="0">
      <selection activeCell="C18" sqref="C18"/>
    </sheetView>
  </sheetViews>
  <sheetFormatPr baseColWidth="10" defaultRowHeight="13" x14ac:dyDescent="0.15"/>
  <cols>
    <col min="1" max="1" width="10.83203125" style="3"/>
    <col min="2" max="2" width="16.6640625" style="3" bestFit="1" customWidth="1"/>
    <col min="3" max="3" width="29" style="3" bestFit="1" customWidth="1"/>
    <col min="4" max="16384" width="10.83203125" style="3"/>
  </cols>
  <sheetData>
    <row r="4" spans="2:3" x14ac:dyDescent="0.15">
      <c r="B4" s="60" t="s">
        <v>74</v>
      </c>
      <c r="C4" s="6"/>
    </row>
    <row r="6" spans="2:3" x14ac:dyDescent="0.15">
      <c r="B6" s="3" t="s">
        <v>75</v>
      </c>
    </row>
    <row r="7" spans="2:3" x14ac:dyDescent="0.15">
      <c r="B7" s="3" t="s">
        <v>76</v>
      </c>
    </row>
    <row r="8" spans="2:3" x14ac:dyDescent="0.15">
      <c r="B8" s="3" t="s">
        <v>77</v>
      </c>
    </row>
    <row r="9" spans="2:3" x14ac:dyDescent="0.15">
      <c r="B9" s="3" t="s">
        <v>78</v>
      </c>
    </row>
    <row r="10" spans="2:3" x14ac:dyDescent="0.15">
      <c r="B10" s="3" t="s">
        <v>79</v>
      </c>
    </row>
    <row r="11" spans="2:3" x14ac:dyDescent="0.15">
      <c r="B11" s="3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 JPY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2019-01-08T19:28:27Z</dcterms:created>
  <dcterms:modified xsi:type="dcterms:W3CDTF">2021-02-17T23:13:18Z</dcterms:modified>
</cp:coreProperties>
</file>