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3"/>
  <workbookPr/>
  <mc:AlternateContent xmlns:mc="http://schemas.openxmlformats.org/markup-compatibility/2006">
    <mc:Choice Requires="x15">
      <x15ac:absPath xmlns:x15ac="http://schemas.microsoft.com/office/spreadsheetml/2010/11/ac" url="/Users/michaelsjoeberg/Dropbox/_PROJECTS/_investing/stocks/"/>
    </mc:Choice>
  </mc:AlternateContent>
  <xr:revisionPtr revIDLastSave="0" documentId="13_ncr:1_{D4771D55-5D99-9440-8D1F-8369E9774CBF}" xr6:coauthVersionLast="46" xr6:coauthVersionMax="46" xr10:uidLastSave="{00000000-0000-0000-0000-000000000000}"/>
  <bookViews>
    <workbookView xWindow="0" yWindow="460" windowWidth="19380" windowHeight="20320" tabRatio="500" xr2:uid="{00000000-000D-0000-FFFF-FFFF00000000}"/>
  </bookViews>
  <sheets>
    <sheet name="Main" sheetId="2" r:id="rId1"/>
    <sheet name="Reports" sheetId="1" r:id="rId2"/>
    <sheet name="Products" sheetId="3" r:id="rId3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7" i="2" l="1"/>
  <c r="I17" i="2" s="1"/>
  <c r="J17" i="2" s="1"/>
  <c r="K17" i="2" s="1"/>
  <c r="K67" i="2" s="1"/>
  <c r="G17" i="2"/>
  <c r="I16" i="2"/>
  <c r="J16" i="2" s="1"/>
  <c r="H16" i="2"/>
  <c r="G16" i="2"/>
  <c r="H64" i="2"/>
  <c r="G64" i="2"/>
  <c r="U32" i="2"/>
  <c r="U25" i="2"/>
  <c r="U24" i="2"/>
  <c r="U41" i="2" s="1"/>
  <c r="U23" i="2"/>
  <c r="U40" i="2" s="1"/>
  <c r="U22" i="2"/>
  <c r="U39" i="2" s="1"/>
  <c r="U10" i="2"/>
  <c r="H23" i="2"/>
  <c r="I23" i="2" s="1"/>
  <c r="J23" i="2" s="1"/>
  <c r="K23" i="2" s="1"/>
  <c r="G23" i="2"/>
  <c r="C5" i="2"/>
  <c r="C3" i="2"/>
  <c r="F4" i="2"/>
  <c r="F57" i="2"/>
  <c r="F56" i="2"/>
  <c r="F55" i="2"/>
  <c r="F54" i="2"/>
  <c r="F52" i="2"/>
  <c r="F51" i="2"/>
  <c r="F49" i="2"/>
  <c r="F48" i="2"/>
  <c r="F47" i="2"/>
  <c r="F43" i="2"/>
  <c r="F45" i="2"/>
  <c r="F44" i="2"/>
  <c r="V55" i="1"/>
  <c r="V54" i="1"/>
  <c r="V53" i="1"/>
  <c r="V52" i="1"/>
  <c r="V46" i="1"/>
  <c r="V48" i="1" s="1"/>
  <c r="V44" i="1"/>
  <c r="V43" i="1"/>
  <c r="V39" i="1"/>
  <c r="V36" i="1"/>
  <c r="V35" i="1" s="1"/>
  <c r="V33" i="1"/>
  <c r="V32" i="1"/>
  <c r="V31" i="1"/>
  <c r="V30" i="1"/>
  <c r="V28" i="1"/>
  <c r="V27" i="1"/>
  <c r="V26" i="1"/>
  <c r="V22" i="1"/>
  <c r="V23" i="1" s="1"/>
  <c r="V20" i="1"/>
  <c r="V19" i="1"/>
  <c r="V18" i="1"/>
  <c r="V17" i="1"/>
  <c r="V13" i="1"/>
  <c r="V11" i="1"/>
  <c r="V8" i="1"/>
  <c r="V9" i="1" s="1"/>
  <c r="V60" i="1" s="1"/>
  <c r="W30" i="1"/>
  <c r="V58" i="1"/>
  <c r="H24" i="2"/>
  <c r="I24" i="2" s="1"/>
  <c r="J24" i="2" s="1"/>
  <c r="K24" i="2" s="1"/>
  <c r="G24" i="2"/>
  <c r="H22" i="2"/>
  <c r="I22" i="2" s="1"/>
  <c r="J22" i="2" s="1"/>
  <c r="K22" i="2" s="1"/>
  <c r="G19" i="2"/>
  <c r="G65" i="2"/>
  <c r="H14" i="2"/>
  <c r="I14" i="2" s="1"/>
  <c r="J14" i="2" s="1"/>
  <c r="K14" i="2" s="1"/>
  <c r="G14" i="2"/>
  <c r="H13" i="2"/>
  <c r="I13" i="2" s="1"/>
  <c r="J13" i="2" s="1"/>
  <c r="K13" i="2" s="1"/>
  <c r="G13" i="2"/>
  <c r="H12" i="2"/>
  <c r="I12" i="2" s="1"/>
  <c r="J12" i="2" s="1"/>
  <c r="K12" i="2" s="1"/>
  <c r="G12" i="2"/>
  <c r="H11" i="2"/>
  <c r="I11" i="2" s="1"/>
  <c r="J11" i="2" s="1"/>
  <c r="K11" i="2" s="1"/>
  <c r="G11" i="2"/>
  <c r="F31" i="2"/>
  <c r="F28" i="2"/>
  <c r="F25" i="2"/>
  <c r="F26" i="2" s="1"/>
  <c r="F21" i="2"/>
  <c r="F32" i="2"/>
  <c r="F29" i="2"/>
  <c r="F27" i="2"/>
  <c r="F24" i="2"/>
  <c r="F23" i="2"/>
  <c r="F22" i="2"/>
  <c r="F20" i="2"/>
  <c r="F19" i="2"/>
  <c r="F16" i="2"/>
  <c r="F17" i="2" s="1"/>
  <c r="F64" i="2"/>
  <c r="F14" i="2"/>
  <c r="F13" i="2"/>
  <c r="F12" i="2"/>
  <c r="F11" i="2"/>
  <c r="U55" i="1"/>
  <c r="U54" i="1"/>
  <c r="U53" i="1"/>
  <c r="U52" i="1"/>
  <c r="U46" i="1"/>
  <c r="U47" i="1" s="1"/>
  <c r="U44" i="1"/>
  <c r="U43" i="1"/>
  <c r="U39" i="1"/>
  <c r="U35" i="1"/>
  <c r="U36" i="1"/>
  <c r="U33" i="1"/>
  <c r="U32" i="1"/>
  <c r="U31" i="1"/>
  <c r="U30" i="1"/>
  <c r="U28" i="1"/>
  <c r="U27" i="1"/>
  <c r="U26" i="1"/>
  <c r="U23" i="1"/>
  <c r="U22" i="1"/>
  <c r="U20" i="1"/>
  <c r="U19" i="1"/>
  <c r="U17" i="1"/>
  <c r="U18" i="1" s="1"/>
  <c r="U13" i="1"/>
  <c r="U11" i="1"/>
  <c r="U9" i="1"/>
  <c r="U60" i="1" s="1"/>
  <c r="U8" i="1"/>
  <c r="U58" i="1"/>
  <c r="T58" i="1"/>
  <c r="S58" i="1"/>
  <c r="R58" i="1"/>
  <c r="Q58" i="1"/>
  <c r="P58" i="1"/>
  <c r="O58" i="1"/>
  <c r="N58" i="1"/>
  <c r="M58" i="1"/>
  <c r="L58" i="1"/>
  <c r="T55" i="1"/>
  <c r="T54" i="1"/>
  <c r="T53" i="1"/>
  <c r="T52" i="1"/>
  <c r="T46" i="1"/>
  <c r="T50" i="1" s="1"/>
  <c r="T44" i="1"/>
  <c r="T43" i="1"/>
  <c r="T39" i="1"/>
  <c r="T35" i="1"/>
  <c r="T36" i="1"/>
  <c r="T33" i="1"/>
  <c r="T32" i="1"/>
  <c r="T31" i="1"/>
  <c r="T30" i="1"/>
  <c r="T28" i="1"/>
  <c r="T27" i="1"/>
  <c r="T26" i="1"/>
  <c r="T22" i="1"/>
  <c r="T23" i="1" s="1"/>
  <c r="T20" i="1"/>
  <c r="T19" i="1"/>
  <c r="T17" i="1"/>
  <c r="T18" i="1" s="1"/>
  <c r="T13" i="1"/>
  <c r="T11" i="1"/>
  <c r="T9" i="1"/>
  <c r="T60" i="1" s="1"/>
  <c r="T8" i="1"/>
  <c r="S39" i="1"/>
  <c r="S36" i="1"/>
  <c r="S19" i="1"/>
  <c r="S8" i="1"/>
  <c r="H19" i="2" l="1"/>
  <c r="I19" i="2"/>
  <c r="K16" i="2"/>
  <c r="J19" i="2"/>
  <c r="I64" i="2"/>
  <c r="J64" i="2"/>
  <c r="V49" i="1"/>
  <c r="V50" i="1"/>
  <c r="V47" i="1"/>
  <c r="U49" i="1"/>
  <c r="U50" i="1"/>
  <c r="U48" i="1"/>
  <c r="T47" i="1"/>
  <c r="T49" i="1"/>
  <c r="T48" i="1"/>
  <c r="E64" i="2"/>
  <c r="E16" i="2" s="1"/>
  <c r="E45" i="2"/>
  <c r="E49" i="2"/>
  <c r="E48" i="2"/>
  <c r="E52" i="2" s="1"/>
  <c r="E32" i="2"/>
  <c r="E29" i="2"/>
  <c r="E24" i="2"/>
  <c r="E23" i="2"/>
  <c r="E22" i="2"/>
  <c r="E25" i="2" s="1"/>
  <c r="E20" i="2"/>
  <c r="E14" i="2"/>
  <c r="K62" i="2" s="1"/>
  <c r="E13" i="2"/>
  <c r="E12" i="2"/>
  <c r="E11" i="2"/>
  <c r="E19" i="2" s="1"/>
  <c r="E21" i="2" s="1"/>
  <c r="S55" i="1"/>
  <c r="S54" i="1"/>
  <c r="S53" i="1"/>
  <c r="S52" i="1"/>
  <c r="S44" i="1"/>
  <c r="S35" i="1"/>
  <c r="S33" i="1"/>
  <c r="S32" i="1"/>
  <c r="S31" i="1"/>
  <c r="S17" i="1"/>
  <c r="R39" i="1"/>
  <c r="R36" i="1"/>
  <c r="R35" i="1" s="1"/>
  <c r="R19" i="1"/>
  <c r="R55" i="1"/>
  <c r="R54" i="1"/>
  <c r="R53" i="1"/>
  <c r="R52" i="1"/>
  <c r="R44" i="1"/>
  <c r="R33" i="1"/>
  <c r="R32" i="1"/>
  <c r="R31" i="1"/>
  <c r="R17" i="1"/>
  <c r="R8" i="1"/>
  <c r="Q39" i="1"/>
  <c r="Q43" i="1" s="1"/>
  <c r="Q36" i="1"/>
  <c r="Q35" i="1" s="1"/>
  <c r="Q55" i="1"/>
  <c r="Q54" i="1"/>
  <c r="Q53" i="1"/>
  <c r="Q52" i="1"/>
  <c r="Q44" i="1"/>
  <c r="Q19" i="1"/>
  <c r="Q17" i="1"/>
  <c r="Q8" i="1"/>
  <c r="Q9" i="1" s="1"/>
  <c r="K64" i="2" l="1"/>
  <c r="K19" i="2"/>
  <c r="E26" i="2"/>
  <c r="E17" i="2"/>
  <c r="E47" i="2"/>
  <c r="Q11" i="1"/>
  <c r="E44" i="2"/>
  <c r="E43" i="2" s="1"/>
  <c r="S9" i="1"/>
  <c r="S11" i="1" s="1"/>
  <c r="S30" i="1" s="1"/>
  <c r="S43" i="1"/>
  <c r="R43" i="1"/>
  <c r="R9" i="1"/>
  <c r="P8" i="1"/>
  <c r="M8" i="1"/>
  <c r="P36" i="1"/>
  <c r="P43" i="1" s="1"/>
  <c r="C4" i="2"/>
  <c r="D64" i="2"/>
  <c r="D16" i="2" s="1"/>
  <c r="D11" i="2"/>
  <c r="D12" i="2"/>
  <c r="E60" i="2" s="1"/>
  <c r="D13" i="2"/>
  <c r="D61" i="2" s="1"/>
  <c r="D14" i="2"/>
  <c r="F67" i="2"/>
  <c r="P9" i="1"/>
  <c r="P11" i="1" s="1"/>
  <c r="P19" i="1"/>
  <c r="P17" i="1"/>
  <c r="N19" i="1"/>
  <c r="E27" i="2" s="1"/>
  <c r="O19" i="1"/>
  <c r="L8" i="1"/>
  <c r="C11" i="2"/>
  <c r="C12" i="2"/>
  <c r="C60" i="2" s="1"/>
  <c r="C13" i="2"/>
  <c r="C14" i="2"/>
  <c r="C64" i="2"/>
  <c r="C16" i="2"/>
  <c r="F65" i="2"/>
  <c r="E65" i="2"/>
  <c r="O8" i="1"/>
  <c r="K8" i="1"/>
  <c r="N8" i="1"/>
  <c r="J8" i="1"/>
  <c r="J9" i="1" s="1"/>
  <c r="J11" i="1" s="1"/>
  <c r="I8" i="1"/>
  <c r="I9" i="1" s="1"/>
  <c r="I11" i="1" s="1"/>
  <c r="H8" i="1"/>
  <c r="H9" i="1" s="1"/>
  <c r="L60" i="1" s="1"/>
  <c r="M9" i="1"/>
  <c r="M60" i="1" s="1"/>
  <c r="Q60" i="1"/>
  <c r="L9" i="1"/>
  <c r="O9" i="1"/>
  <c r="O11" i="1" s="1"/>
  <c r="N9" i="1"/>
  <c r="M11" i="1"/>
  <c r="M13" i="1" s="1"/>
  <c r="L11" i="1"/>
  <c r="M17" i="1"/>
  <c r="M19" i="1"/>
  <c r="N17" i="1"/>
  <c r="O17" i="1"/>
  <c r="P39" i="1"/>
  <c r="P44" i="1"/>
  <c r="D20" i="2"/>
  <c r="D22" i="2"/>
  <c r="D23" i="2"/>
  <c r="E40" i="2" s="1"/>
  <c r="D24" i="2"/>
  <c r="D41" i="2" s="1"/>
  <c r="J19" i="1"/>
  <c r="K19" i="1"/>
  <c r="D27" i="2" s="1"/>
  <c r="L19" i="1"/>
  <c r="D29" i="2"/>
  <c r="E62" i="2"/>
  <c r="O36" i="1"/>
  <c r="O35" i="1" s="1"/>
  <c r="B12" i="2"/>
  <c r="B14" i="2"/>
  <c r="C62" i="2" s="1"/>
  <c r="B13" i="2"/>
  <c r="C61" i="2" s="1"/>
  <c r="B11" i="2"/>
  <c r="B19" i="2" s="1"/>
  <c r="B21" i="2" s="1"/>
  <c r="D62" i="2"/>
  <c r="D48" i="2"/>
  <c r="D49" i="2"/>
  <c r="D52" i="2"/>
  <c r="M39" i="1"/>
  <c r="M43" i="1" s="1"/>
  <c r="M36" i="1"/>
  <c r="D44" i="2" s="1"/>
  <c r="C48" i="2"/>
  <c r="C49" i="2"/>
  <c r="C52" i="2"/>
  <c r="I39" i="1"/>
  <c r="C47" i="2"/>
  <c r="I36" i="1"/>
  <c r="C44" i="2"/>
  <c r="C43" i="2" s="1"/>
  <c r="D45" i="2"/>
  <c r="C45" i="2"/>
  <c r="B32" i="2"/>
  <c r="C32" i="2"/>
  <c r="D32" i="2"/>
  <c r="D10" i="2"/>
  <c r="Q33" i="1"/>
  <c r="Q32" i="1"/>
  <c r="Q31" i="1"/>
  <c r="P33" i="1"/>
  <c r="P32" i="1"/>
  <c r="P31" i="1"/>
  <c r="P52" i="1"/>
  <c r="P55" i="1"/>
  <c r="P54" i="1"/>
  <c r="P53" i="1"/>
  <c r="I55" i="1"/>
  <c r="L39" i="1"/>
  <c r="L43" i="1" s="1"/>
  <c r="L36" i="1"/>
  <c r="L55" i="1"/>
  <c r="L54" i="1"/>
  <c r="L53" i="1"/>
  <c r="L52" i="1"/>
  <c r="I17" i="1"/>
  <c r="I19" i="1"/>
  <c r="J17" i="1"/>
  <c r="K17" i="1"/>
  <c r="L13" i="1"/>
  <c r="L26" i="1" s="1"/>
  <c r="L17" i="1"/>
  <c r="L44" i="1"/>
  <c r="L35" i="1"/>
  <c r="L33" i="1"/>
  <c r="L32" i="1"/>
  <c r="L31" i="1"/>
  <c r="I54" i="1"/>
  <c r="I53" i="1"/>
  <c r="I52" i="1"/>
  <c r="F11" i="1"/>
  <c r="F13" i="1" s="1"/>
  <c r="F17" i="1"/>
  <c r="F19" i="1"/>
  <c r="G11" i="1"/>
  <c r="G13" i="1"/>
  <c r="G17" i="1"/>
  <c r="G18" i="1"/>
  <c r="G27" i="1" s="1"/>
  <c r="G19" i="1"/>
  <c r="G20" i="1"/>
  <c r="G28" i="1" s="1"/>
  <c r="H17" i="1"/>
  <c r="H19" i="1"/>
  <c r="I43" i="1"/>
  <c r="I44" i="1"/>
  <c r="I35" i="1"/>
  <c r="M44" i="1"/>
  <c r="N39" i="1"/>
  <c r="N43" i="1" s="1"/>
  <c r="N36" i="1"/>
  <c r="N35" i="1" s="1"/>
  <c r="N55" i="1"/>
  <c r="N54" i="1"/>
  <c r="N53" i="1"/>
  <c r="N52" i="1"/>
  <c r="N44" i="1"/>
  <c r="N33" i="1"/>
  <c r="N32" i="1"/>
  <c r="N31" i="1"/>
  <c r="M55" i="1"/>
  <c r="M54" i="1"/>
  <c r="M53" i="1"/>
  <c r="M52" i="1"/>
  <c r="M35" i="1"/>
  <c r="O55" i="1"/>
  <c r="O54" i="1"/>
  <c r="O53" i="1"/>
  <c r="O52" i="1"/>
  <c r="O39" i="1"/>
  <c r="O43" i="1" s="1"/>
  <c r="O44" i="1"/>
  <c r="K36" i="1"/>
  <c r="K35" i="1"/>
  <c r="O33" i="1"/>
  <c r="O32" i="1"/>
  <c r="O31" i="1"/>
  <c r="G32" i="2"/>
  <c r="H32" i="2" s="1"/>
  <c r="I32" i="2" s="1"/>
  <c r="J32" i="2" s="1"/>
  <c r="K32" i="2" s="1"/>
  <c r="L32" i="2" s="1"/>
  <c r="M32" i="2" s="1"/>
  <c r="N32" i="2" s="1"/>
  <c r="O32" i="2" s="1"/>
  <c r="P32" i="2" s="1"/>
  <c r="Q32" i="2" s="1"/>
  <c r="R32" i="2" s="1"/>
  <c r="S32" i="2" s="1"/>
  <c r="T32" i="2" s="1"/>
  <c r="E36" i="1"/>
  <c r="E35" i="1"/>
  <c r="B11" i="1"/>
  <c r="B20" i="2"/>
  <c r="E11" i="1"/>
  <c r="D11" i="1"/>
  <c r="D13" i="1" s="1"/>
  <c r="C11" i="1"/>
  <c r="C13" i="1" s="1"/>
  <c r="F30" i="1"/>
  <c r="F36" i="1"/>
  <c r="F35" i="1" s="1"/>
  <c r="B19" i="1"/>
  <c r="G36" i="1"/>
  <c r="C19" i="1"/>
  <c r="H36" i="1"/>
  <c r="D19" i="1"/>
  <c r="E19" i="1"/>
  <c r="J36" i="1"/>
  <c r="J35" i="1" s="1"/>
  <c r="E13" i="1"/>
  <c r="E17" i="1"/>
  <c r="E18" i="1" s="1"/>
  <c r="B13" i="1"/>
  <c r="B18" i="1" s="1"/>
  <c r="B17" i="1"/>
  <c r="C17" i="1"/>
  <c r="D17" i="1"/>
  <c r="C22" i="2"/>
  <c r="C23" i="2"/>
  <c r="C24" i="2"/>
  <c r="B23" i="2"/>
  <c r="B24" i="2"/>
  <c r="C41" i="2"/>
  <c r="B22" i="2"/>
  <c r="B25" i="2" s="1"/>
  <c r="J33" i="1"/>
  <c r="I31" i="1"/>
  <c r="J31" i="1"/>
  <c r="G33" i="1"/>
  <c r="H33" i="1"/>
  <c r="I33" i="1"/>
  <c r="K33" i="1"/>
  <c r="M33" i="1"/>
  <c r="G32" i="1"/>
  <c r="H32" i="1"/>
  <c r="I32" i="1"/>
  <c r="J32" i="1"/>
  <c r="K32" i="1"/>
  <c r="M32" i="1"/>
  <c r="F33" i="1"/>
  <c r="F32" i="1"/>
  <c r="K31" i="1"/>
  <c r="M31" i="1"/>
  <c r="G31" i="1"/>
  <c r="H31" i="1"/>
  <c r="F31" i="1"/>
  <c r="C20" i="2"/>
  <c r="C27" i="2"/>
  <c r="B26" i="1"/>
  <c r="C29" i="2"/>
  <c r="B29" i="2"/>
  <c r="B27" i="2"/>
  <c r="E26" i="1"/>
  <c r="E10" i="2"/>
  <c r="F10" i="2" s="1"/>
  <c r="G10" i="2" s="1"/>
  <c r="H10" i="2" s="1"/>
  <c r="I10" i="2" s="1"/>
  <c r="J10" i="2" s="1"/>
  <c r="K10" i="2" s="1"/>
  <c r="L10" i="2" s="1"/>
  <c r="M10" i="2" s="1"/>
  <c r="N10" i="2" s="1"/>
  <c r="O10" i="2" s="1"/>
  <c r="P10" i="2" s="1"/>
  <c r="Q10" i="2" s="1"/>
  <c r="R10" i="2" s="1"/>
  <c r="S10" i="2" s="1"/>
  <c r="T10" i="2" s="1"/>
  <c r="G35" i="1"/>
  <c r="H35" i="1"/>
  <c r="G26" i="1"/>
  <c r="D25" i="2" l="1"/>
  <c r="C40" i="2"/>
  <c r="C19" i="2"/>
  <c r="C38" i="2" s="1"/>
  <c r="D43" i="2"/>
  <c r="D59" i="2"/>
  <c r="D60" i="2"/>
  <c r="D17" i="2"/>
  <c r="E67" i="2" s="1"/>
  <c r="E61" i="2"/>
  <c r="D40" i="2"/>
  <c r="C51" i="2"/>
  <c r="C39" i="2"/>
  <c r="E41" i="2"/>
  <c r="C17" i="2"/>
  <c r="E20" i="1"/>
  <c r="E27" i="1"/>
  <c r="C21" i="2"/>
  <c r="L30" i="1"/>
  <c r="D18" i="1"/>
  <c r="D26" i="1"/>
  <c r="B34" i="2"/>
  <c r="B26" i="2"/>
  <c r="B35" i="2" s="1"/>
  <c r="I30" i="1"/>
  <c r="M30" i="1"/>
  <c r="I13" i="1"/>
  <c r="J13" i="1"/>
  <c r="J30" i="1"/>
  <c r="P30" i="1"/>
  <c r="P13" i="1"/>
  <c r="C26" i="1"/>
  <c r="C18" i="1"/>
  <c r="N60" i="1"/>
  <c r="O13" i="1"/>
  <c r="F26" i="1"/>
  <c r="F18" i="1"/>
  <c r="M18" i="1"/>
  <c r="M26" i="1"/>
  <c r="B27" i="1"/>
  <c r="B20" i="1"/>
  <c r="C6" i="2"/>
  <c r="C7" i="2" s="1"/>
  <c r="C25" i="2"/>
  <c r="D39" i="2"/>
  <c r="H11" i="1"/>
  <c r="K9" i="1"/>
  <c r="O60" i="1" s="1"/>
  <c r="D65" i="2"/>
  <c r="C59" i="2"/>
  <c r="P60" i="1"/>
  <c r="G30" i="1"/>
  <c r="P35" i="1"/>
  <c r="S60" i="1"/>
  <c r="D19" i="2"/>
  <c r="N11" i="1"/>
  <c r="Q30" i="1"/>
  <c r="Q13" i="1"/>
  <c r="Q18" i="1" s="1"/>
  <c r="Q20" i="1" s="1"/>
  <c r="Q22" i="1" s="1"/>
  <c r="Q23" i="1" s="1"/>
  <c r="G22" i="1"/>
  <c r="G23" i="1" s="1"/>
  <c r="D47" i="2"/>
  <c r="D51" i="2" s="1"/>
  <c r="E51" i="2"/>
  <c r="G67" i="2"/>
  <c r="K65" i="2"/>
  <c r="F38" i="2"/>
  <c r="E59" i="2"/>
  <c r="L18" i="1"/>
  <c r="R60" i="1"/>
  <c r="E28" i="2"/>
  <c r="S13" i="1"/>
  <c r="S26" i="1" s="1"/>
  <c r="R11" i="1"/>
  <c r="R13" i="1"/>
  <c r="F41" i="2"/>
  <c r="F40" i="2"/>
  <c r="F39" i="2"/>
  <c r="G22" i="2"/>
  <c r="E39" i="2"/>
  <c r="G62" i="2"/>
  <c r="F62" i="2"/>
  <c r="G61" i="2"/>
  <c r="F61" i="2"/>
  <c r="G60" i="2"/>
  <c r="F60" i="2"/>
  <c r="F59" i="2"/>
  <c r="H65" i="2" l="1"/>
  <c r="G38" i="2"/>
  <c r="D67" i="2"/>
  <c r="S18" i="1"/>
  <c r="S20" i="1" s="1"/>
  <c r="I18" i="1"/>
  <c r="I26" i="1"/>
  <c r="D38" i="2"/>
  <c r="D21" i="2"/>
  <c r="F27" i="1"/>
  <c r="F20" i="1"/>
  <c r="B28" i="1"/>
  <c r="B22" i="1"/>
  <c r="B23" i="1" s="1"/>
  <c r="M27" i="1"/>
  <c r="M20" i="1"/>
  <c r="L20" i="1"/>
  <c r="L27" i="1"/>
  <c r="O18" i="1"/>
  <c r="O26" i="1"/>
  <c r="H13" i="1"/>
  <c r="H30" i="1"/>
  <c r="Q26" i="1"/>
  <c r="J26" i="1"/>
  <c r="J18" i="1"/>
  <c r="N13" i="1"/>
  <c r="N30" i="1"/>
  <c r="D27" i="1"/>
  <c r="D20" i="1"/>
  <c r="R30" i="1"/>
  <c r="K11" i="1"/>
  <c r="C20" i="1"/>
  <c r="C27" i="1"/>
  <c r="C34" i="2"/>
  <c r="C26" i="2"/>
  <c r="E38" i="2"/>
  <c r="P26" i="1"/>
  <c r="P18" i="1"/>
  <c r="E28" i="1"/>
  <c r="E22" i="1"/>
  <c r="E23" i="1" s="1"/>
  <c r="H67" i="2"/>
  <c r="I65" i="2"/>
  <c r="R26" i="1"/>
  <c r="R18" i="1"/>
  <c r="G41" i="2"/>
  <c r="G40" i="2"/>
  <c r="G39" i="2"/>
  <c r="G25" i="2"/>
  <c r="E34" i="2"/>
  <c r="Q27" i="1"/>
  <c r="H62" i="2"/>
  <c r="H61" i="2"/>
  <c r="H60" i="2"/>
  <c r="G59" i="2"/>
  <c r="H38" i="2" l="1"/>
  <c r="S27" i="1"/>
  <c r="C28" i="2"/>
  <c r="C35" i="2"/>
  <c r="O27" i="1"/>
  <c r="O20" i="1"/>
  <c r="L22" i="1"/>
  <c r="L28" i="1"/>
  <c r="M22" i="1"/>
  <c r="M28" i="1"/>
  <c r="D28" i="1"/>
  <c r="D22" i="1"/>
  <c r="D23" i="1" s="1"/>
  <c r="I61" i="2"/>
  <c r="N18" i="1"/>
  <c r="N26" i="1"/>
  <c r="C22" i="1"/>
  <c r="C23" i="1" s="1"/>
  <c r="C28" i="1"/>
  <c r="K30" i="1"/>
  <c r="K13" i="1"/>
  <c r="O30" i="1"/>
  <c r="I60" i="2"/>
  <c r="I67" i="2"/>
  <c r="F28" i="1"/>
  <c r="F22" i="1"/>
  <c r="J27" i="1"/>
  <c r="J20" i="1"/>
  <c r="P27" i="1"/>
  <c r="P20" i="1"/>
  <c r="B28" i="2"/>
  <c r="I38" i="2"/>
  <c r="D34" i="2"/>
  <c r="D26" i="2"/>
  <c r="H26" i="1"/>
  <c r="H18" i="1"/>
  <c r="I20" i="1"/>
  <c r="I27" i="1"/>
  <c r="J65" i="2"/>
  <c r="I62" i="2"/>
  <c r="J62" i="2"/>
  <c r="S22" i="1"/>
  <c r="S28" i="1"/>
  <c r="R27" i="1"/>
  <c r="R20" i="1"/>
  <c r="H41" i="2"/>
  <c r="H40" i="2"/>
  <c r="H39" i="2"/>
  <c r="H25" i="2"/>
  <c r="E35" i="2"/>
  <c r="F34" i="2"/>
  <c r="G21" i="2" s="1"/>
  <c r="H59" i="2"/>
  <c r="J61" i="2" l="1"/>
  <c r="K61" i="2"/>
  <c r="J60" i="2"/>
  <c r="K60" i="2"/>
  <c r="J67" i="2"/>
  <c r="P28" i="1"/>
  <c r="P22" i="1"/>
  <c r="P23" i="1" s="1"/>
  <c r="I59" i="2"/>
  <c r="B36" i="2"/>
  <c r="B30" i="2"/>
  <c r="B31" i="2" s="1"/>
  <c r="J28" i="1"/>
  <c r="J22" i="1"/>
  <c r="F23" i="1"/>
  <c r="M23" i="1"/>
  <c r="L23" i="1"/>
  <c r="O28" i="1"/>
  <c r="O22" i="1"/>
  <c r="O23" i="1" s="1"/>
  <c r="H27" i="1"/>
  <c r="H20" i="1"/>
  <c r="K18" i="1"/>
  <c r="K26" i="1"/>
  <c r="N20" i="1"/>
  <c r="N27" i="1"/>
  <c r="I28" i="1"/>
  <c r="I22" i="1"/>
  <c r="D35" i="2"/>
  <c r="D28" i="2"/>
  <c r="C30" i="2"/>
  <c r="C31" i="2" s="1"/>
  <c r="C36" i="2"/>
  <c r="S23" i="1"/>
  <c r="S46" i="1"/>
  <c r="R28" i="1"/>
  <c r="R22" i="1"/>
  <c r="I41" i="2"/>
  <c r="I40" i="2"/>
  <c r="I25" i="2"/>
  <c r="I39" i="2"/>
  <c r="G20" i="2"/>
  <c r="G26" i="2"/>
  <c r="G34" i="2"/>
  <c r="H21" i="2" s="1"/>
  <c r="F35" i="2"/>
  <c r="E36" i="2"/>
  <c r="Q28" i="1"/>
  <c r="J59" i="2" l="1"/>
  <c r="K59" i="2"/>
  <c r="J38" i="2"/>
  <c r="J23" i="1"/>
  <c r="N22" i="1"/>
  <c r="N28" i="1"/>
  <c r="D30" i="2"/>
  <c r="D36" i="2"/>
  <c r="I23" i="1"/>
  <c r="K20" i="1"/>
  <c r="K27" i="1"/>
  <c r="H28" i="1"/>
  <c r="H22" i="1"/>
  <c r="L19" i="2"/>
  <c r="K38" i="2"/>
  <c r="S50" i="1"/>
  <c r="S49" i="1"/>
  <c r="S47" i="1"/>
  <c r="S48" i="1"/>
  <c r="R23" i="1"/>
  <c r="R46" i="1"/>
  <c r="J41" i="2"/>
  <c r="J40" i="2"/>
  <c r="J39" i="2"/>
  <c r="J25" i="2"/>
  <c r="H20" i="2"/>
  <c r="H34" i="2"/>
  <c r="I21" i="2" s="1"/>
  <c r="H26" i="2"/>
  <c r="E30" i="2"/>
  <c r="G35" i="2"/>
  <c r="K28" i="1" l="1"/>
  <c r="K22" i="1"/>
  <c r="H23" i="1"/>
  <c r="I46" i="1"/>
  <c r="Q46" i="1"/>
  <c r="N23" i="1"/>
  <c r="P46" i="1"/>
  <c r="O46" i="1"/>
  <c r="E31" i="2"/>
  <c r="E55" i="2"/>
  <c r="E56" i="2"/>
  <c r="E54" i="2"/>
  <c r="E57" i="2"/>
  <c r="D54" i="2"/>
  <c r="D57" i="2"/>
  <c r="D56" i="2"/>
  <c r="D55" i="2"/>
  <c r="D31" i="2"/>
  <c r="L38" i="2"/>
  <c r="M19" i="2"/>
  <c r="R50" i="1"/>
  <c r="R49" i="1"/>
  <c r="R48" i="1"/>
  <c r="R47" i="1"/>
  <c r="K41" i="2"/>
  <c r="L24" i="2"/>
  <c r="L23" i="2"/>
  <c r="K40" i="2"/>
  <c r="K39" i="2"/>
  <c r="L22" i="2"/>
  <c r="K25" i="2"/>
  <c r="H35" i="2"/>
  <c r="I20" i="2"/>
  <c r="I34" i="2"/>
  <c r="J21" i="2" s="1"/>
  <c r="I26" i="2"/>
  <c r="P50" i="1" l="1"/>
  <c r="P49" i="1"/>
  <c r="P48" i="1"/>
  <c r="P47" i="1"/>
  <c r="O49" i="1"/>
  <c r="O48" i="1"/>
  <c r="O47" i="1"/>
  <c r="O50" i="1"/>
  <c r="N46" i="1"/>
  <c r="K23" i="1"/>
  <c r="M46" i="1"/>
  <c r="L46" i="1"/>
  <c r="Q48" i="1"/>
  <c r="Q50" i="1"/>
  <c r="Q49" i="1"/>
  <c r="Q47" i="1"/>
  <c r="I49" i="1"/>
  <c r="I47" i="1"/>
  <c r="I48" i="1"/>
  <c r="I50" i="1"/>
  <c r="N19" i="2"/>
  <c r="M38" i="2"/>
  <c r="L41" i="2"/>
  <c r="M24" i="2"/>
  <c r="M23" i="2"/>
  <c r="L40" i="2"/>
  <c r="L39" i="2"/>
  <c r="L25" i="2"/>
  <c r="M22" i="2"/>
  <c r="I35" i="2"/>
  <c r="J34" i="2"/>
  <c r="K21" i="2" s="1"/>
  <c r="J20" i="2"/>
  <c r="J26" i="2"/>
  <c r="F36" i="2"/>
  <c r="M49" i="1" l="1"/>
  <c r="M50" i="1"/>
  <c r="M47" i="1"/>
  <c r="M48" i="1"/>
  <c r="N49" i="1"/>
  <c r="N48" i="1"/>
  <c r="N47" i="1"/>
  <c r="N50" i="1"/>
  <c r="L50" i="1"/>
  <c r="L49" i="1"/>
  <c r="L48" i="1"/>
  <c r="L47" i="1"/>
  <c r="O19" i="2"/>
  <c r="N38" i="2"/>
  <c r="M41" i="2"/>
  <c r="N24" i="2"/>
  <c r="N23" i="2"/>
  <c r="M40" i="2"/>
  <c r="N22" i="2"/>
  <c r="M25" i="2"/>
  <c r="M39" i="2"/>
  <c r="J35" i="2"/>
  <c r="F30" i="2"/>
  <c r="K20" i="2"/>
  <c r="K26" i="2"/>
  <c r="K34" i="2"/>
  <c r="L21" i="2" s="1"/>
  <c r="P19" i="2" l="1"/>
  <c r="O38" i="2"/>
  <c r="O24" i="2"/>
  <c r="N41" i="2"/>
  <c r="N40" i="2"/>
  <c r="O23" i="2"/>
  <c r="N25" i="2"/>
  <c r="O22" i="2"/>
  <c r="N39" i="2"/>
  <c r="K35" i="2"/>
  <c r="L26" i="2"/>
  <c r="L20" i="2"/>
  <c r="L34" i="2"/>
  <c r="M21" i="2" s="1"/>
  <c r="Q19" i="2" l="1"/>
  <c r="P38" i="2"/>
  <c r="P24" i="2"/>
  <c r="O41" i="2"/>
  <c r="P23" i="2"/>
  <c r="O40" i="2"/>
  <c r="O25" i="2"/>
  <c r="P22" i="2"/>
  <c r="O39" i="2"/>
  <c r="G27" i="2"/>
  <c r="G28" i="2" s="1"/>
  <c r="M34" i="2"/>
  <c r="N21" i="2" s="1"/>
  <c r="M26" i="2"/>
  <c r="M20" i="2"/>
  <c r="L35" i="2"/>
  <c r="R19" i="2" l="1"/>
  <c r="Q38" i="2"/>
  <c r="P41" i="2"/>
  <c r="Q24" i="2"/>
  <c r="Q23" i="2"/>
  <c r="P40" i="2"/>
  <c r="P39" i="2"/>
  <c r="P25" i="2"/>
  <c r="Q22" i="2"/>
  <c r="N34" i="2"/>
  <c r="O21" i="2" s="1"/>
  <c r="N26" i="2"/>
  <c r="N20" i="2"/>
  <c r="M35" i="2"/>
  <c r="G29" i="2"/>
  <c r="G36" i="2" s="1"/>
  <c r="R38" i="2" l="1"/>
  <c r="S19" i="2"/>
  <c r="G30" i="2"/>
  <c r="Q41" i="2"/>
  <c r="R24" i="2"/>
  <c r="Q40" i="2"/>
  <c r="R23" i="2"/>
  <c r="Q39" i="2"/>
  <c r="Q25" i="2"/>
  <c r="R22" i="2"/>
  <c r="N35" i="2"/>
  <c r="O34" i="2"/>
  <c r="P21" i="2" s="1"/>
  <c r="O20" i="2"/>
  <c r="O26" i="2"/>
  <c r="G31" i="2" l="1"/>
  <c r="G43" i="2"/>
  <c r="H27" i="2" s="1"/>
  <c r="H28" i="2" s="1"/>
  <c r="S38" i="2"/>
  <c r="T19" i="2"/>
  <c r="U19" i="2" s="1"/>
  <c r="R41" i="2"/>
  <c r="S24" i="2"/>
  <c r="S23" i="2"/>
  <c r="R40" i="2"/>
  <c r="S22" i="2"/>
  <c r="R39" i="2"/>
  <c r="R25" i="2"/>
  <c r="O35" i="2"/>
  <c r="P26" i="2"/>
  <c r="P20" i="2"/>
  <c r="P34" i="2"/>
  <c r="Q21" i="2" s="1"/>
  <c r="U38" i="2" l="1"/>
  <c r="T38" i="2"/>
  <c r="T24" i="2"/>
  <c r="S41" i="2"/>
  <c r="S40" i="2"/>
  <c r="T23" i="2"/>
  <c r="S39" i="2"/>
  <c r="S25" i="2"/>
  <c r="T22" i="2"/>
  <c r="H29" i="2"/>
  <c r="H36" i="2" s="1"/>
  <c r="Q26" i="2"/>
  <c r="Q34" i="2"/>
  <c r="R21" i="2" s="1"/>
  <c r="Q20" i="2"/>
  <c r="P35" i="2"/>
  <c r="T41" i="2" l="1"/>
  <c r="T40" i="2"/>
  <c r="T39" i="2"/>
  <c r="T25" i="2"/>
  <c r="H30" i="2"/>
  <c r="R26" i="2"/>
  <c r="R34" i="2"/>
  <c r="S21" i="2" s="1"/>
  <c r="R20" i="2"/>
  <c r="Q35" i="2"/>
  <c r="H31" i="2" l="1"/>
  <c r="H43" i="2"/>
  <c r="I27" i="2" s="1"/>
  <c r="I28" i="2" s="1"/>
  <c r="S34" i="2"/>
  <c r="T21" i="2" s="1"/>
  <c r="S20" i="2"/>
  <c r="S26" i="2"/>
  <c r="R35" i="2"/>
  <c r="S35" i="2" l="1"/>
  <c r="T34" i="2"/>
  <c r="U21" i="2" s="1"/>
  <c r="T20" i="2"/>
  <c r="T26" i="2"/>
  <c r="I29" i="2"/>
  <c r="I36" i="2" s="1"/>
  <c r="U20" i="2" l="1"/>
  <c r="U34" i="2"/>
  <c r="U26" i="2"/>
  <c r="T35" i="2"/>
  <c r="I30" i="2"/>
  <c r="U35" i="2" l="1"/>
  <c r="I31" i="2"/>
  <c r="I43" i="2"/>
  <c r="J27" i="2" l="1"/>
  <c r="J28" i="2" s="1"/>
  <c r="J29" i="2" l="1"/>
  <c r="J36" i="2" s="1"/>
  <c r="J30" i="2" l="1"/>
  <c r="J31" i="2" s="1"/>
  <c r="J43" i="2"/>
  <c r="K27" i="2" l="1"/>
  <c r="K28" i="2" s="1"/>
  <c r="K29" i="2" l="1"/>
  <c r="K36" i="2" s="1"/>
  <c r="K30" i="2" l="1"/>
  <c r="K31" i="2"/>
  <c r="K43" i="2"/>
  <c r="L27" i="2" l="1"/>
  <c r="L28" i="2" s="1"/>
  <c r="L29" i="2" l="1"/>
  <c r="L36" i="2" s="1"/>
  <c r="L30" i="2"/>
  <c r="L31" i="2" l="1"/>
  <c r="L43" i="2"/>
  <c r="M27" i="2" l="1"/>
  <c r="M28" i="2" s="1"/>
  <c r="M29" i="2" l="1"/>
  <c r="M36" i="2" s="1"/>
  <c r="M30" i="2" l="1"/>
  <c r="M31" i="2"/>
  <c r="M43" i="2"/>
  <c r="N27" i="2" l="1"/>
  <c r="N28" i="2" s="1"/>
  <c r="N29" i="2" l="1"/>
  <c r="N36" i="2" s="1"/>
  <c r="N30" i="2"/>
  <c r="N31" i="2" l="1"/>
  <c r="N43" i="2"/>
  <c r="O27" i="2" l="1"/>
  <c r="O28" i="2" s="1"/>
  <c r="O29" i="2" l="1"/>
  <c r="O36" i="2" s="1"/>
  <c r="O30" i="2" l="1"/>
  <c r="O31" i="2" s="1"/>
  <c r="O43" i="2"/>
  <c r="P27" i="2" l="1"/>
  <c r="P28" i="2" s="1"/>
  <c r="P29" i="2" l="1"/>
  <c r="P36" i="2" s="1"/>
  <c r="P30" i="2" l="1"/>
  <c r="P31" i="2"/>
  <c r="P43" i="2"/>
  <c r="Q27" i="2" l="1"/>
  <c r="Q28" i="2" s="1"/>
  <c r="Q29" i="2" l="1"/>
  <c r="Q36" i="2" s="1"/>
  <c r="Q30" i="2" l="1"/>
  <c r="Q31" i="2"/>
  <c r="Q43" i="2"/>
  <c r="R27" i="2" l="1"/>
  <c r="R28" i="2" s="1"/>
  <c r="R29" i="2" l="1"/>
  <c r="R36" i="2" s="1"/>
  <c r="R30" i="2" l="1"/>
  <c r="R31" i="2"/>
  <c r="R43" i="2"/>
  <c r="S27" i="2" l="1"/>
  <c r="S28" i="2" s="1"/>
  <c r="S29" i="2" l="1"/>
  <c r="S36" i="2" s="1"/>
  <c r="S30" i="2" l="1"/>
  <c r="S31" i="2" l="1"/>
  <c r="S43" i="2"/>
  <c r="T27" i="2" l="1"/>
  <c r="T28" i="2" s="1"/>
  <c r="T29" i="2" l="1"/>
  <c r="T36" i="2" s="1"/>
  <c r="T30" i="2"/>
  <c r="T31" i="2" l="1"/>
  <c r="T43" i="2"/>
  <c r="U27" i="2" l="1"/>
  <c r="U28" i="2" s="1"/>
  <c r="U29" i="2" l="1"/>
  <c r="U36" i="2" s="1"/>
  <c r="U30" i="2"/>
  <c r="U31" i="2" l="1"/>
  <c r="V30" i="2"/>
  <c r="W30" i="2" s="1"/>
  <c r="X30" i="2" s="1"/>
  <c r="Y30" i="2" s="1"/>
  <c r="Z30" i="2" s="1"/>
  <c r="AA30" i="2" s="1"/>
  <c r="AB30" i="2" s="1"/>
  <c r="AC30" i="2" s="1"/>
  <c r="AD30" i="2" s="1"/>
  <c r="AE30" i="2" s="1"/>
  <c r="AF30" i="2" s="1"/>
  <c r="AG30" i="2" s="1"/>
  <c r="AH30" i="2" s="1"/>
  <c r="AI30" i="2" s="1"/>
  <c r="AJ30" i="2" s="1"/>
  <c r="AK30" i="2" s="1"/>
  <c r="AL30" i="2" s="1"/>
  <c r="AM30" i="2" s="1"/>
  <c r="AN30" i="2" s="1"/>
  <c r="AO30" i="2" s="1"/>
  <c r="AP30" i="2" s="1"/>
  <c r="AQ30" i="2" s="1"/>
  <c r="AR30" i="2" s="1"/>
  <c r="AS30" i="2" s="1"/>
  <c r="AT30" i="2" s="1"/>
  <c r="AU30" i="2" s="1"/>
  <c r="AV30" i="2" s="1"/>
  <c r="AW30" i="2" s="1"/>
  <c r="AX30" i="2" s="1"/>
  <c r="AY30" i="2" s="1"/>
  <c r="AZ30" i="2" s="1"/>
  <c r="BA30" i="2" s="1"/>
  <c r="BB30" i="2" s="1"/>
  <c r="BC30" i="2" s="1"/>
  <c r="BD30" i="2" s="1"/>
  <c r="BE30" i="2" s="1"/>
  <c r="BF30" i="2" s="1"/>
  <c r="BG30" i="2" s="1"/>
  <c r="BH30" i="2" s="1"/>
  <c r="BI30" i="2" s="1"/>
  <c r="BJ30" i="2" s="1"/>
  <c r="BK30" i="2" s="1"/>
  <c r="BL30" i="2" s="1"/>
  <c r="BM30" i="2" s="1"/>
  <c r="BN30" i="2" s="1"/>
  <c r="BO30" i="2" s="1"/>
  <c r="BP30" i="2" s="1"/>
  <c r="BQ30" i="2" s="1"/>
  <c r="BR30" i="2" s="1"/>
  <c r="BS30" i="2" s="1"/>
  <c r="BT30" i="2" s="1"/>
  <c r="BU30" i="2" s="1"/>
  <c r="BV30" i="2" s="1"/>
  <c r="BW30" i="2" s="1"/>
  <c r="BX30" i="2" s="1"/>
  <c r="BY30" i="2" s="1"/>
  <c r="BZ30" i="2" s="1"/>
  <c r="CA30" i="2" s="1"/>
  <c r="CB30" i="2" s="1"/>
  <c r="CC30" i="2" s="1"/>
  <c r="CD30" i="2" s="1"/>
  <c r="CE30" i="2" s="1"/>
  <c r="CF30" i="2" s="1"/>
  <c r="CG30" i="2" s="1"/>
  <c r="CH30" i="2" s="1"/>
  <c r="CI30" i="2" s="1"/>
  <c r="CJ30" i="2" s="1"/>
  <c r="CK30" i="2" s="1"/>
  <c r="CL30" i="2" s="1"/>
  <c r="CM30" i="2" s="1"/>
  <c r="CN30" i="2" s="1"/>
  <c r="CO30" i="2" s="1"/>
  <c r="CP30" i="2" s="1"/>
  <c r="CQ30" i="2" s="1"/>
  <c r="CR30" i="2" s="1"/>
  <c r="CS30" i="2" s="1"/>
  <c r="CT30" i="2" s="1"/>
  <c r="CU30" i="2" s="1"/>
  <c r="CV30" i="2" s="1"/>
  <c r="CW30" i="2" s="1"/>
  <c r="CX30" i="2" s="1"/>
  <c r="CY30" i="2" s="1"/>
  <c r="CZ30" i="2" s="1"/>
  <c r="DA30" i="2" s="1"/>
  <c r="DB30" i="2" s="1"/>
  <c r="DC30" i="2" s="1"/>
  <c r="DD30" i="2" s="1"/>
  <c r="DE30" i="2" s="1"/>
  <c r="DF30" i="2" s="1"/>
  <c r="DG30" i="2" s="1"/>
  <c r="DH30" i="2" s="1"/>
  <c r="DI30" i="2" s="1"/>
  <c r="DJ30" i="2" s="1"/>
  <c r="DK30" i="2" s="1"/>
  <c r="DL30" i="2" s="1"/>
  <c r="DM30" i="2" s="1"/>
  <c r="DN30" i="2" s="1"/>
  <c r="DO30" i="2" s="1"/>
  <c r="DP30" i="2" s="1"/>
  <c r="U43" i="2"/>
  <c r="F5" i="2" l="1"/>
  <c r="F6" i="2" s="1"/>
  <c r="F7" i="2" s="1"/>
  <c r="G7" i="2" s="1"/>
</calcChain>
</file>

<file path=xl/sharedStrings.xml><?xml version="1.0" encoding="utf-8"?>
<sst xmlns="http://schemas.openxmlformats.org/spreadsheetml/2006/main" count="179" uniqueCount="124">
  <si>
    <t>Q117</t>
  </si>
  <si>
    <t>Q217</t>
  </si>
  <si>
    <t>Q317</t>
  </si>
  <si>
    <t>Q417</t>
  </si>
  <si>
    <t>Revenue</t>
  </si>
  <si>
    <t>COGS</t>
  </si>
  <si>
    <t>Gross Profit</t>
  </si>
  <si>
    <t>R&amp;D</t>
  </si>
  <si>
    <t>S&amp;M</t>
  </si>
  <si>
    <t>G&amp;A</t>
  </si>
  <si>
    <t>Operating Expenses</t>
  </si>
  <si>
    <t>Operating Income</t>
  </si>
  <si>
    <t>Interest Income</t>
  </si>
  <si>
    <t>Pretax Income</t>
  </si>
  <si>
    <t>Taxes</t>
  </si>
  <si>
    <t>Net Income</t>
  </si>
  <si>
    <t>EPS</t>
  </si>
  <si>
    <t>Shares</t>
  </si>
  <si>
    <t>Revenue y/y</t>
  </si>
  <si>
    <t>Gross Margin</t>
  </si>
  <si>
    <t>Operating Margin</t>
  </si>
  <si>
    <t>Tax Rate</t>
  </si>
  <si>
    <t>Q116</t>
  </si>
  <si>
    <t>Q216</t>
  </si>
  <si>
    <t>Q316</t>
  </si>
  <si>
    <t>Q416</t>
  </si>
  <si>
    <t>Net Cash</t>
  </si>
  <si>
    <t>Cash</t>
  </si>
  <si>
    <t>Debt</t>
  </si>
  <si>
    <t>Maturity</t>
  </si>
  <si>
    <t>ROIC</t>
  </si>
  <si>
    <t>Discount</t>
  </si>
  <si>
    <t>NPV</t>
  </si>
  <si>
    <t>Value</t>
  </si>
  <si>
    <t>Q118</t>
  </si>
  <si>
    <t>Q218</t>
  </si>
  <si>
    <t>Q318</t>
  </si>
  <si>
    <t>Q418</t>
  </si>
  <si>
    <t>R&amp;D y/y</t>
  </si>
  <si>
    <t>S&amp;M y/y</t>
  </si>
  <si>
    <t>G&amp;A y/y</t>
  </si>
  <si>
    <t>31/12/2017</t>
  </si>
  <si>
    <t>31/12/2016</t>
  </si>
  <si>
    <t>Subscription</t>
  </si>
  <si>
    <t>Maintenance</t>
  </si>
  <si>
    <t>Perpetual license</t>
  </si>
  <si>
    <t>Other</t>
  </si>
  <si>
    <t>30/6/2017</t>
  </si>
  <si>
    <t>30/9/2016</t>
  </si>
  <si>
    <t>30/9/2017</t>
  </si>
  <si>
    <t>31/3/2017</t>
  </si>
  <si>
    <t>31/3/2018</t>
  </si>
  <si>
    <t>30/6/2018</t>
  </si>
  <si>
    <t>30/6/2016</t>
  </si>
  <si>
    <t>31/3/2016</t>
  </si>
  <si>
    <t>31/12/2015</t>
  </si>
  <si>
    <t>30/9/2015</t>
  </si>
  <si>
    <t>Investor Relations</t>
  </si>
  <si>
    <t>CEO</t>
  </si>
  <si>
    <t>Founder</t>
  </si>
  <si>
    <t>EDGAR</t>
  </si>
  <si>
    <t>Mike Cannon-Brookes</t>
  </si>
  <si>
    <t>Scott Farquhar</t>
  </si>
  <si>
    <t>Atlassian Corp PLC (TEAM)</t>
  </si>
  <si>
    <t>Price</t>
  </si>
  <si>
    <t>Market Cap</t>
  </si>
  <si>
    <t>EV</t>
  </si>
  <si>
    <t>per share</t>
  </si>
  <si>
    <t>Intangilbles</t>
  </si>
  <si>
    <t>Total assets</t>
  </si>
  <si>
    <t>Total liabilities</t>
  </si>
  <si>
    <t>TWC</t>
  </si>
  <si>
    <t>Equity</t>
  </si>
  <si>
    <t>ROE</t>
  </si>
  <si>
    <t>ROA</t>
  </si>
  <si>
    <t>ROTB</t>
  </si>
  <si>
    <t>ROTWC</t>
  </si>
  <si>
    <t>Subscription y/y</t>
  </si>
  <si>
    <t>Maintenance y/y</t>
  </si>
  <si>
    <t>Perpetual license y/y</t>
  </si>
  <si>
    <t>Other y/y</t>
  </si>
  <si>
    <t>Active customers</t>
  </si>
  <si>
    <t>Q119</t>
  </si>
  <si>
    <t>Q219</t>
  </si>
  <si>
    <t>Q319</t>
  </si>
  <si>
    <t>Q419</t>
  </si>
  <si>
    <t>31/12/2018</t>
  </si>
  <si>
    <t>NI 12M</t>
  </si>
  <si>
    <t>Active customers y/y</t>
  </si>
  <si>
    <t>30/9/2018</t>
  </si>
  <si>
    <t>31/3/2019</t>
  </si>
  <si>
    <t>30/6/2019</t>
  </si>
  <si>
    <t>Jira Software</t>
  </si>
  <si>
    <t>Jira Service</t>
  </si>
  <si>
    <t>Project and issue tracking</t>
  </si>
  <si>
    <t>IT service desk and customer service</t>
  </si>
  <si>
    <t>Jira Ops</t>
  </si>
  <si>
    <t>Incident management</t>
  </si>
  <si>
    <t>Jira Core</t>
  </si>
  <si>
    <t>Business management</t>
  </si>
  <si>
    <t>Statuspage</t>
  </si>
  <si>
    <t>Incident communication</t>
  </si>
  <si>
    <t>Opsgenie</t>
  </si>
  <si>
    <t>Alerting and on-call management</t>
  </si>
  <si>
    <t>Confluence</t>
  </si>
  <si>
    <t>Trello</t>
  </si>
  <si>
    <t>Collaborative project management</t>
  </si>
  <si>
    <t>Bitbucket</t>
  </si>
  <si>
    <t>Git code management</t>
  </si>
  <si>
    <t>Sourcetree</t>
  </si>
  <si>
    <t>Git and Mercurial desktop client</t>
  </si>
  <si>
    <t>Bamboo</t>
  </si>
  <si>
    <t>Integration and release management</t>
  </si>
  <si>
    <t>Shared workspace</t>
  </si>
  <si>
    <t>ARPU</t>
  </si>
  <si>
    <t>ARPU y/y</t>
  </si>
  <si>
    <t>Q120</t>
  </si>
  <si>
    <t>Q220</t>
  </si>
  <si>
    <t>Q320</t>
  </si>
  <si>
    <t>Q420</t>
  </si>
  <si>
    <t>Q121</t>
  </si>
  <si>
    <t>Q321</t>
  </si>
  <si>
    <t>Q421</t>
  </si>
  <si>
    <t>PRODUCTS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</si>
</sst>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_ ;[Red]\-#,##0\ "/>
    <numFmt numFmtId="165" formatCode="#,##0.000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u/>
      <sz val="10"/>
      <color theme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i/>
      <sz val="10"/>
      <color theme="1"/>
      <name val="Arial"/>
      <family val="2"/>
    </font>
    <font>
      <b/>
      <u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8">
    <xf numFmtId="0" fontId="0" fillId="0" borderId="0" xfId="0"/>
    <xf numFmtId="0" fontId="5" fillId="0" borderId="0" xfId="4" applyFont="1"/>
    <xf numFmtId="0" fontId="6" fillId="0" borderId="0" xfId="0" applyFont="1" applyAlignment="1">
      <alignment horizontal="right"/>
    </xf>
    <xf numFmtId="3" fontId="6" fillId="0" borderId="0" xfId="0" applyNumberFormat="1" applyFont="1" applyAlignment="1">
      <alignment horizontal="right"/>
    </xf>
    <xf numFmtId="0" fontId="6" fillId="0" borderId="0" xfId="0" applyFont="1"/>
    <xf numFmtId="3" fontId="6" fillId="0" borderId="1" xfId="0" applyNumberFormat="1" applyFont="1" applyBorder="1" applyAlignment="1">
      <alignment horizontal="right"/>
    </xf>
    <xf numFmtId="3" fontId="6" fillId="0" borderId="0" xfId="0" applyNumberFormat="1" applyFont="1" applyBorder="1"/>
    <xf numFmtId="0" fontId="6" fillId="0" borderId="1" xfId="0" applyFont="1" applyBorder="1" applyAlignment="1">
      <alignment horizontal="right"/>
    </xf>
    <xf numFmtId="0" fontId="6" fillId="0" borderId="0" xfId="0" applyFont="1" applyBorder="1" applyAlignment="1">
      <alignment horizontal="right"/>
    </xf>
    <xf numFmtId="0" fontId="6" fillId="0" borderId="1" xfId="0" applyFont="1" applyBorder="1"/>
    <xf numFmtId="0" fontId="6" fillId="0" borderId="0" xfId="0" applyFont="1" applyBorder="1"/>
    <xf numFmtId="0" fontId="7" fillId="0" borderId="0" xfId="0" applyFont="1"/>
    <xf numFmtId="3" fontId="7" fillId="2" borderId="0" xfId="0" applyNumberFormat="1" applyFont="1" applyFill="1" applyBorder="1" applyAlignment="1">
      <alignment horizontal="right"/>
    </xf>
    <xf numFmtId="3" fontId="7" fillId="2" borderId="1" xfId="0" applyNumberFormat="1" applyFont="1" applyFill="1" applyBorder="1" applyAlignment="1">
      <alignment horizontal="right"/>
    </xf>
    <xf numFmtId="3" fontId="6" fillId="0" borderId="0" xfId="0" applyNumberFormat="1" applyFont="1" applyBorder="1" applyAlignment="1">
      <alignment horizontal="right"/>
    </xf>
    <xf numFmtId="3" fontId="6" fillId="2" borderId="0" xfId="0" applyNumberFormat="1" applyFont="1" applyFill="1" applyBorder="1" applyAlignment="1">
      <alignment horizontal="right"/>
    </xf>
    <xf numFmtId="3" fontId="6" fillId="2" borderId="1" xfId="0" applyNumberFormat="1" applyFont="1" applyFill="1" applyBorder="1" applyAlignment="1">
      <alignment horizontal="right"/>
    </xf>
    <xf numFmtId="3" fontId="6" fillId="2" borderId="0" xfId="0" applyNumberFormat="1" applyFont="1" applyFill="1" applyAlignment="1">
      <alignment horizontal="right"/>
    </xf>
    <xf numFmtId="2" fontId="6" fillId="2" borderId="0" xfId="0" applyNumberFormat="1" applyFont="1" applyFill="1" applyBorder="1" applyAlignment="1">
      <alignment horizontal="right"/>
    </xf>
    <xf numFmtId="2" fontId="6" fillId="2" borderId="1" xfId="0" applyNumberFormat="1" applyFont="1" applyFill="1" applyBorder="1" applyAlignment="1">
      <alignment horizontal="right"/>
    </xf>
    <xf numFmtId="2" fontId="6" fillId="2" borderId="0" xfId="0" applyNumberFormat="1" applyFont="1" applyFill="1" applyAlignment="1">
      <alignment horizontal="right"/>
    </xf>
    <xf numFmtId="9" fontId="7" fillId="0" borderId="0" xfId="1" applyNumberFormat="1" applyFont="1" applyBorder="1" applyAlignment="1">
      <alignment horizontal="right"/>
    </xf>
    <xf numFmtId="9" fontId="7" fillId="0" borderId="1" xfId="1" applyNumberFormat="1" applyFont="1" applyBorder="1" applyAlignment="1">
      <alignment horizontal="right"/>
    </xf>
    <xf numFmtId="9" fontId="6" fillId="0" borderId="0" xfId="1" applyNumberFormat="1" applyFont="1" applyBorder="1" applyAlignment="1">
      <alignment horizontal="right"/>
    </xf>
    <xf numFmtId="9" fontId="6" fillId="0" borderId="1" xfId="1" applyNumberFormat="1" applyFont="1" applyBorder="1" applyAlignment="1">
      <alignment horizontal="right"/>
    </xf>
    <xf numFmtId="9" fontId="6" fillId="0" borderId="0" xfId="0" applyNumberFormat="1" applyFont="1" applyBorder="1" applyAlignment="1">
      <alignment horizontal="right"/>
    </xf>
    <xf numFmtId="9" fontId="6" fillId="0" borderId="1" xfId="0" applyNumberFormat="1" applyFont="1" applyBorder="1" applyAlignment="1">
      <alignment horizontal="right"/>
    </xf>
    <xf numFmtId="9" fontId="6" fillId="0" borderId="0" xfId="0" applyNumberFormat="1" applyFont="1" applyAlignment="1">
      <alignment horizontal="right"/>
    </xf>
    <xf numFmtId="9" fontId="6" fillId="0" borderId="0" xfId="1" applyFont="1" applyBorder="1" applyAlignment="1">
      <alignment horizontal="right"/>
    </xf>
    <xf numFmtId="9" fontId="6" fillId="0" borderId="1" xfId="1" applyFont="1" applyBorder="1" applyAlignment="1">
      <alignment horizontal="right"/>
    </xf>
    <xf numFmtId="9" fontId="6" fillId="0" borderId="0" xfId="1" applyFont="1" applyAlignment="1">
      <alignment horizontal="right"/>
    </xf>
    <xf numFmtId="3" fontId="7" fillId="0" borderId="0" xfId="0" applyNumberFormat="1" applyFont="1" applyBorder="1" applyAlignment="1">
      <alignment horizontal="right"/>
    </xf>
    <xf numFmtId="3" fontId="7" fillId="2" borderId="0" xfId="0" applyNumberFormat="1" applyFont="1" applyFill="1" applyAlignment="1">
      <alignment horizontal="right"/>
    </xf>
    <xf numFmtId="4" fontId="6" fillId="0" borderId="0" xfId="0" applyNumberFormat="1" applyFont="1" applyBorder="1"/>
    <xf numFmtId="10" fontId="6" fillId="0" borderId="0" xfId="0" applyNumberFormat="1" applyFont="1"/>
    <xf numFmtId="0" fontId="8" fillId="0" borderId="0" xfId="0" applyFont="1"/>
    <xf numFmtId="3" fontId="6" fillId="2" borderId="0" xfId="0" applyNumberFormat="1" applyFont="1" applyFill="1" applyBorder="1"/>
    <xf numFmtId="164" fontId="6" fillId="2" borderId="0" xfId="0" applyNumberFormat="1" applyFont="1" applyFill="1"/>
    <xf numFmtId="0" fontId="7" fillId="0" borderId="0" xfId="0" applyFont="1" applyBorder="1"/>
    <xf numFmtId="164" fontId="7" fillId="2" borderId="0" xfId="0" applyNumberFormat="1" applyFont="1" applyFill="1"/>
    <xf numFmtId="4" fontId="6" fillId="2" borderId="0" xfId="0" applyNumberFormat="1" applyFont="1" applyFill="1" applyBorder="1"/>
    <xf numFmtId="0" fontId="8" fillId="0" borderId="0" xfId="0" applyFont="1" applyBorder="1"/>
    <xf numFmtId="4" fontId="6" fillId="2" borderId="0" xfId="0" applyNumberFormat="1" applyFont="1" applyFill="1"/>
    <xf numFmtId="9" fontId="6" fillId="0" borderId="0" xfId="0" applyNumberFormat="1" applyFont="1"/>
    <xf numFmtId="3" fontId="6" fillId="0" borderId="0" xfId="0" applyNumberFormat="1" applyFont="1"/>
    <xf numFmtId="2" fontId="6" fillId="0" borderId="0" xfId="0" applyNumberFormat="1" applyFont="1" applyBorder="1" applyAlignment="1">
      <alignment horizontal="right"/>
    </xf>
    <xf numFmtId="0" fontId="7" fillId="0" borderId="1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7" fillId="0" borderId="0" xfId="0" applyFont="1" applyBorder="1" applyAlignment="1">
      <alignment horizontal="right"/>
    </xf>
    <xf numFmtId="9" fontId="7" fillId="0" borderId="0" xfId="1" applyFont="1" applyBorder="1" applyAlignment="1">
      <alignment horizontal="right"/>
    </xf>
    <xf numFmtId="3" fontId="6" fillId="0" borderId="0" xfId="0" applyNumberFormat="1" applyFont="1" applyFill="1" applyAlignment="1">
      <alignment horizontal="right"/>
    </xf>
    <xf numFmtId="0" fontId="6" fillId="0" borderId="0" xfId="0" applyFont="1" applyFill="1" applyAlignment="1">
      <alignment horizontal="right"/>
    </xf>
    <xf numFmtId="0" fontId="6" fillId="0" borderId="0" xfId="0" applyFont="1" applyFill="1" applyBorder="1" applyAlignment="1">
      <alignment horizontal="right"/>
    </xf>
    <xf numFmtId="3" fontId="6" fillId="0" borderId="0" xfId="0" applyNumberFormat="1" applyFont="1" applyFill="1" applyBorder="1" applyAlignment="1">
      <alignment horizontal="right"/>
    </xf>
    <xf numFmtId="9" fontId="6" fillId="0" borderId="0" xfId="0" applyNumberFormat="1" applyFont="1" applyFill="1" applyBorder="1" applyAlignment="1">
      <alignment horizontal="right"/>
    </xf>
    <xf numFmtId="9" fontId="6" fillId="0" borderId="0" xfId="1" applyFont="1" applyFill="1" applyBorder="1" applyAlignment="1">
      <alignment horizontal="right"/>
    </xf>
    <xf numFmtId="9" fontId="7" fillId="0" borderId="0" xfId="1" applyNumberFormat="1" applyFont="1" applyFill="1" applyBorder="1" applyAlignment="1">
      <alignment horizontal="right"/>
    </xf>
    <xf numFmtId="9" fontId="6" fillId="0" borderId="0" xfId="1" applyNumberFormat="1" applyFont="1" applyFill="1" applyBorder="1" applyAlignment="1">
      <alignment horizontal="right"/>
    </xf>
    <xf numFmtId="165" fontId="6" fillId="0" borderId="0" xfId="0" applyNumberFormat="1" applyFont="1"/>
    <xf numFmtId="165" fontId="6" fillId="0" borderId="0" xfId="0" applyNumberFormat="1" applyFont="1" applyAlignment="1">
      <alignment horizontal="right"/>
    </xf>
    <xf numFmtId="165" fontId="6" fillId="0" borderId="1" xfId="0" applyNumberFormat="1" applyFont="1" applyBorder="1" applyAlignment="1">
      <alignment horizontal="right"/>
    </xf>
    <xf numFmtId="165" fontId="6" fillId="0" borderId="0" xfId="0" applyNumberFormat="1" applyFont="1" applyBorder="1" applyAlignment="1">
      <alignment horizontal="right"/>
    </xf>
    <xf numFmtId="9" fontId="6" fillId="0" borderId="1" xfId="0" applyNumberFormat="1" applyFont="1" applyFill="1" applyBorder="1" applyAlignment="1">
      <alignment horizontal="right"/>
    </xf>
    <xf numFmtId="9" fontId="6" fillId="0" borderId="1" xfId="1" applyFont="1" applyFill="1" applyBorder="1" applyAlignment="1">
      <alignment horizontal="right"/>
    </xf>
    <xf numFmtId="0" fontId="8" fillId="0" borderId="0" xfId="0" applyFont="1" applyFill="1" applyBorder="1" applyAlignment="1">
      <alignment horizontal="right"/>
    </xf>
    <xf numFmtId="9" fontId="6" fillId="0" borderId="0" xfId="0" applyNumberFormat="1" applyFont="1" applyFill="1" applyAlignment="1">
      <alignment horizontal="right"/>
    </xf>
    <xf numFmtId="3" fontId="6" fillId="2" borderId="0" xfId="0" applyNumberFormat="1" applyFont="1" applyFill="1"/>
    <xf numFmtId="165" fontId="6" fillId="0" borderId="2" xfId="0" applyNumberFormat="1" applyFont="1" applyBorder="1" applyAlignment="1">
      <alignment horizontal="right"/>
    </xf>
    <xf numFmtId="0" fontId="8" fillId="0" borderId="0" xfId="0" applyFont="1" applyAlignment="1">
      <alignment horizontal="right"/>
    </xf>
    <xf numFmtId="0" fontId="8" fillId="0" borderId="1" xfId="0" applyFont="1" applyBorder="1" applyAlignment="1">
      <alignment horizontal="right"/>
    </xf>
    <xf numFmtId="3" fontId="8" fillId="0" borderId="0" xfId="0" applyNumberFormat="1" applyFont="1" applyAlignment="1">
      <alignment horizontal="right"/>
    </xf>
    <xf numFmtId="0" fontId="8" fillId="0" borderId="0" xfId="0" applyFont="1" applyBorder="1" applyAlignment="1">
      <alignment horizontal="right"/>
    </xf>
    <xf numFmtId="14" fontId="6" fillId="0" borderId="0" xfId="0" applyNumberFormat="1" applyFont="1" applyAlignment="1">
      <alignment horizontal="left"/>
    </xf>
    <xf numFmtId="0" fontId="6" fillId="0" borderId="0" xfId="0" applyFont="1" applyAlignment="1">
      <alignment horizontal="left"/>
    </xf>
    <xf numFmtId="14" fontId="6" fillId="0" borderId="1" xfId="0" applyNumberFormat="1" applyFont="1" applyBorder="1" applyAlignment="1">
      <alignment horizontal="right"/>
    </xf>
    <xf numFmtId="14" fontId="6" fillId="0" borderId="0" xfId="0" applyNumberFormat="1" applyFont="1" applyAlignment="1">
      <alignment horizontal="right"/>
    </xf>
    <xf numFmtId="14" fontId="6" fillId="0" borderId="0" xfId="0" applyNumberFormat="1" applyFont="1" applyFill="1" applyAlignment="1">
      <alignment horizontal="right"/>
    </xf>
    <xf numFmtId="0" fontId="5" fillId="0" borderId="0" xfId="4" applyFont="1" applyAlignment="1">
      <alignment horizontal="left"/>
    </xf>
    <xf numFmtId="3" fontId="6" fillId="0" borderId="0" xfId="0" applyNumberFormat="1" applyFont="1" applyAlignment="1">
      <alignment horizontal="left"/>
    </xf>
    <xf numFmtId="0" fontId="8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165" fontId="6" fillId="0" borderId="0" xfId="0" applyNumberFormat="1" applyFont="1" applyAlignment="1">
      <alignment horizontal="left"/>
    </xf>
    <xf numFmtId="14" fontId="6" fillId="0" borderId="1" xfId="0" applyNumberFormat="1" applyFont="1" applyBorder="1"/>
    <xf numFmtId="3" fontId="6" fillId="0" borderId="1" xfId="0" applyNumberFormat="1" applyFont="1" applyBorder="1"/>
    <xf numFmtId="9" fontId="7" fillId="0" borderId="1" xfId="1" applyNumberFormat="1" applyFont="1" applyFill="1" applyBorder="1" applyAlignment="1">
      <alignment horizontal="right"/>
    </xf>
    <xf numFmtId="9" fontId="6" fillId="0" borderId="1" xfId="1" applyNumberFormat="1" applyFont="1" applyFill="1" applyBorder="1" applyAlignment="1">
      <alignment horizontal="right"/>
    </xf>
    <xf numFmtId="0" fontId="6" fillId="0" borderId="1" xfId="0" applyFont="1" applyFill="1" applyBorder="1" applyAlignment="1">
      <alignment horizontal="right"/>
    </xf>
    <xf numFmtId="0" fontId="9" fillId="0" borderId="0" xfId="0" applyFont="1"/>
  </cellXfs>
  <cellStyles count="5">
    <cellStyle name="Followed Hyperlink" xfId="3" builtinId="9" hidden="1"/>
    <cellStyle name="Hyperlink" xfId="2" builtinId="8" hidden="1"/>
    <cellStyle name="Hyperlink" xfId="4" builtinId="8"/>
    <cellStyle name="Normal" xfId="0" builtinId="0"/>
    <cellStyle name="Per 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9</xdr:row>
      <xdr:rowOff>12700</xdr:rowOff>
    </xdr:from>
    <xdr:to>
      <xdr:col>6</xdr:col>
      <xdr:colOff>152400</xdr:colOff>
      <xdr:row>68</xdr:row>
      <xdr:rowOff>12700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>
          <a:off x="5727700" y="1498600"/>
          <a:ext cx="0" cy="9740900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155734</xdr:colOff>
      <xdr:row>1</xdr:row>
      <xdr:rowOff>14111</xdr:rowOff>
    </xdr:from>
    <xdr:to>
      <xdr:col>22</xdr:col>
      <xdr:colOff>155734</xdr:colOff>
      <xdr:row>60</xdr:row>
      <xdr:rowOff>152400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CxnSpPr/>
      </xdr:nvCxnSpPr>
      <xdr:spPr>
        <a:xfrm>
          <a:off x="18870916" y="175747"/>
          <a:ext cx="0" cy="9674835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en.wikipedia.org/wiki/Mike_Cannon-Brookes" TargetMode="External"/><Relationship Id="rId2" Type="http://schemas.openxmlformats.org/officeDocument/2006/relationships/hyperlink" Target="https://en.wikipedia.org/wiki/Scott_Farquhar" TargetMode="External"/><Relationship Id="rId1" Type="http://schemas.openxmlformats.org/officeDocument/2006/relationships/hyperlink" Target="https://en.wikipedia.org/wiki/Mike_Cannon-Brookes" TargetMode="External"/><Relationship Id="rId6" Type="http://schemas.openxmlformats.org/officeDocument/2006/relationships/drawing" Target="../drawings/drawing1.xml"/><Relationship Id="rId5" Type="http://schemas.openxmlformats.org/officeDocument/2006/relationships/hyperlink" Target="https://investors.atlassian.com/investors-overview/default.aspx" TargetMode="External"/><Relationship Id="rId4" Type="http://schemas.openxmlformats.org/officeDocument/2006/relationships/hyperlink" Target="https://en.wikipedia.org/wiki/Scott_Farquhar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www.sec.gov/cgi-bin/browse-edgar?company=atlassian&amp;owner=exclude&amp;action=getcompan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P67"/>
  <sheetViews>
    <sheetView tabSelected="1" zoomScale="110" zoomScaleNormal="110" workbookViewId="0">
      <pane xSplit="1" ySplit="10" topLeftCell="E11" activePane="bottomRight" state="frozen"/>
      <selection pane="topRight" activeCell="B1" sqref="B1"/>
      <selection pane="bottomLeft" activeCell="A11" sqref="A11"/>
      <selection pane="bottomRight" activeCell="I4" sqref="I4"/>
    </sheetView>
  </sheetViews>
  <sheetFormatPr baseColWidth="10" defaultColWidth="10.83203125" defaultRowHeight="13" x14ac:dyDescent="0.15"/>
  <cols>
    <col min="1" max="1" width="19" style="4" bestFit="1" customWidth="1"/>
    <col min="2" max="16384" width="10.83203125" style="4"/>
  </cols>
  <sheetData>
    <row r="1" spans="1:120" x14ac:dyDescent="0.15">
      <c r="A1" s="1" t="s">
        <v>57</v>
      </c>
      <c r="B1" s="11" t="s">
        <v>63</v>
      </c>
    </row>
    <row r="2" spans="1:120" x14ac:dyDescent="0.15">
      <c r="B2" s="4" t="s">
        <v>64</v>
      </c>
      <c r="C2" s="33">
        <v>234.16</v>
      </c>
      <c r="D2" s="72">
        <v>44195</v>
      </c>
      <c r="E2" s="10" t="s">
        <v>29</v>
      </c>
      <c r="F2" s="34">
        <v>5.0000000000000001E-3</v>
      </c>
      <c r="K2" s="44"/>
      <c r="L2" s="11"/>
    </row>
    <row r="3" spans="1:120" x14ac:dyDescent="0.15">
      <c r="A3" s="11" t="s">
        <v>58</v>
      </c>
      <c r="B3" s="4" t="s">
        <v>17</v>
      </c>
      <c r="C3" s="6">
        <f>Reports!V24</f>
        <v>248.01499999999999</v>
      </c>
      <c r="D3" s="73" t="s">
        <v>120</v>
      </c>
      <c r="E3" s="10" t="s">
        <v>30</v>
      </c>
      <c r="F3" s="34">
        <v>0.05</v>
      </c>
      <c r="G3" s="35"/>
      <c r="K3" s="44"/>
    </row>
    <row r="4" spans="1:120" x14ac:dyDescent="0.15">
      <c r="A4" s="1" t="s">
        <v>61</v>
      </c>
      <c r="B4" s="4" t="s">
        <v>65</v>
      </c>
      <c r="C4" s="36">
        <f>C2*C3</f>
        <v>58075.192399999993</v>
      </c>
      <c r="D4" s="73"/>
      <c r="E4" s="10" t="s">
        <v>31</v>
      </c>
      <c r="F4" s="34">
        <f>6%</f>
        <v>0.06</v>
      </c>
      <c r="G4" s="35"/>
      <c r="K4" s="43"/>
    </row>
    <row r="5" spans="1:120" x14ac:dyDescent="0.15">
      <c r="A5" s="1" t="s">
        <v>62</v>
      </c>
      <c r="B5" s="4" t="s">
        <v>26</v>
      </c>
      <c r="C5" s="6">
        <f>Reports!V35</f>
        <v>1286</v>
      </c>
      <c r="D5" s="73" t="s">
        <v>120</v>
      </c>
      <c r="E5" s="10" t="s">
        <v>32</v>
      </c>
      <c r="F5" s="37">
        <f>NPV(F4,G30:DP30)</f>
        <v>58177.313777286319</v>
      </c>
      <c r="G5" s="35"/>
      <c r="K5" s="43"/>
    </row>
    <row r="6" spans="1:120" x14ac:dyDescent="0.15">
      <c r="B6" s="4" t="s">
        <v>66</v>
      </c>
      <c r="C6" s="36">
        <f>C4-C5</f>
        <v>56789.192399999993</v>
      </c>
      <c r="D6" s="73"/>
      <c r="E6" s="38" t="s">
        <v>33</v>
      </c>
      <c r="F6" s="39">
        <f>F5+C5</f>
        <v>59463.313777286319</v>
      </c>
      <c r="K6" s="43"/>
    </row>
    <row r="7" spans="1:120" x14ac:dyDescent="0.15">
      <c r="A7" s="11" t="s">
        <v>59</v>
      </c>
      <c r="B7" s="35" t="s">
        <v>67</v>
      </c>
      <c r="C7" s="40">
        <f>C6/C3</f>
        <v>228.9748297482007</v>
      </c>
      <c r="D7" s="73"/>
      <c r="E7" s="41" t="s">
        <v>67</v>
      </c>
      <c r="F7" s="42">
        <f>F6/C3</f>
        <v>239.75692509439477</v>
      </c>
      <c r="G7" s="43">
        <f>F7/C2-1</f>
        <v>2.390213996581303E-2</v>
      </c>
    </row>
    <row r="8" spans="1:120" x14ac:dyDescent="0.15">
      <c r="A8" s="1" t="s">
        <v>61</v>
      </c>
    </row>
    <row r="9" spans="1:120" x14ac:dyDescent="0.15">
      <c r="A9" s="1" t="s">
        <v>62</v>
      </c>
    </row>
    <row r="10" spans="1:120" x14ac:dyDescent="0.15">
      <c r="B10" s="2">
        <v>2016</v>
      </c>
      <c r="C10" s="2">
        <v>2017</v>
      </c>
      <c r="D10" s="2">
        <f>C10+1</f>
        <v>2018</v>
      </c>
      <c r="E10" s="2">
        <f t="shared" ref="E10:U10" si="0">D10+1</f>
        <v>2019</v>
      </c>
      <c r="F10" s="2">
        <f t="shared" si="0"/>
        <v>2020</v>
      </c>
      <c r="G10" s="2">
        <f t="shared" si="0"/>
        <v>2021</v>
      </c>
      <c r="H10" s="2">
        <f t="shared" si="0"/>
        <v>2022</v>
      </c>
      <c r="I10" s="2">
        <f t="shared" si="0"/>
        <v>2023</v>
      </c>
      <c r="J10" s="2">
        <f t="shared" si="0"/>
        <v>2024</v>
      </c>
      <c r="K10" s="2">
        <f t="shared" si="0"/>
        <v>2025</v>
      </c>
      <c r="L10" s="2">
        <f t="shared" si="0"/>
        <v>2026</v>
      </c>
      <c r="M10" s="2">
        <f t="shared" si="0"/>
        <v>2027</v>
      </c>
      <c r="N10" s="2">
        <f t="shared" si="0"/>
        <v>2028</v>
      </c>
      <c r="O10" s="2">
        <f t="shared" si="0"/>
        <v>2029</v>
      </c>
      <c r="P10" s="2">
        <f t="shared" si="0"/>
        <v>2030</v>
      </c>
      <c r="Q10" s="2">
        <f t="shared" si="0"/>
        <v>2031</v>
      </c>
      <c r="R10" s="2">
        <f t="shared" si="0"/>
        <v>2032</v>
      </c>
      <c r="S10" s="2">
        <f t="shared" si="0"/>
        <v>2033</v>
      </c>
      <c r="T10" s="2">
        <f t="shared" si="0"/>
        <v>2034</v>
      </c>
      <c r="U10" s="2">
        <f t="shared" si="0"/>
        <v>2035</v>
      </c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</row>
    <row r="11" spans="1:120" s="44" customFormat="1" x14ac:dyDescent="0.15">
      <c r="A11" s="44" t="s">
        <v>43</v>
      </c>
      <c r="B11" s="14">
        <f>SUM(Reports!B3:E3)</f>
        <v>146.65899999999999</v>
      </c>
      <c r="C11" s="14">
        <f>SUM(Reports!F3:I3)</f>
        <v>242.12799999999999</v>
      </c>
      <c r="D11" s="3">
        <f>SUM(Reports!J3:M3)</f>
        <v>407.13800000000003</v>
      </c>
      <c r="E11" s="3">
        <f>SUM(Reports!N3:Q3)</f>
        <v>634.03300000000002</v>
      </c>
      <c r="F11" s="3">
        <f>SUM(Reports!R3:U3)</f>
        <v>931.3599999999999</v>
      </c>
      <c r="G11" s="3">
        <f>F11*1.45</f>
        <v>1350.4719999999998</v>
      </c>
      <c r="H11" s="3">
        <f t="shared" ref="H11:K11" si="1">G11*1.45</f>
        <v>1958.1843999999996</v>
      </c>
      <c r="I11" s="3">
        <f t="shared" si="1"/>
        <v>2839.3673799999992</v>
      </c>
      <c r="J11" s="3">
        <f t="shared" si="1"/>
        <v>4117.0827009999985</v>
      </c>
      <c r="K11" s="3">
        <f t="shared" si="1"/>
        <v>5969.7699164499973</v>
      </c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</row>
    <row r="12" spans="1:120" s="44" customFormat="1" x14ac:dyDescent="0.15">
      <c r="A12" s="44" t="s">
        <v>44</v>
      </c>
      <c r="B12" s="14">
        <f>SUM(Reports!B4:E4)</f>
        <v>218.84799999999998</v>
      </c>
      <c r="C12" s="14">
        <f>SUM(Reports!F4:I4)</f>
        <v>265.52099999999996</v>
      </c>
      <c r="D12" s="3">
        <f>SUM(Reports!J4:M4)</f>
        <v>325.92899999999997</v>
      </c>
      <c r="E12" s="3">
        <f>SUM(Reports!N4:Q4)</f>
        <v>394.75900000000001</v>
      </c>
      <c r="F12" s="3">
        <f>SUM(Reports!R4:U4)</f>
        <v>469.279</v>
      </c>
      <c r="G12" s="3">
        <f>F12*1.18</f>
        <v>553.74921999999992</v>
      </c>
      <c r="H12" s="3">
        <f t="shared" ref="H12:K12" si="2">G12*1.18</f>
        <v>653.42407959999991</v>
      </c>
      <c r="I12" s="3">
        <f t="shared" si="2"/>
        <v>771.04041392799991</v>
      </c>
      <c r="J12" s="3">
        <f t="shared" si="2"/>
        <v>909.82768843503982</v>
      </c>
      <c r="K12" s="3">
        <f t="shared" si="2"/>
        <v>1073.596672353347</v>
      </c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  <c r="CS12" s="3"/>
      <c r="CT12" s="3"/>
      <c r="CU12" s="3"/>
      <c r="CV12" s="3"/>
      <c r="CW12" s="3"/>
      <c r="CX12" s="3"/>
      <c r="CY12" s="3"/>
      <c r="CZ12" s="3"/>
      <c r="DA12" s="3"/>
      <c r="DB12" s="3"/>
      <c r="DC12" s="3"/>
      <c r="DD12" s="3"/>
      <c r="DE12" s="3"/>
      <c r="DF12" s="3"/>
      <c r="DG12" s="3"/>
      <c r="DH12" s="3"/>
      <c r="DI12" s="3"/>
      <c r="DJ12" s="3"/>
      <c r="DK12" s="3"/>
      <c r="DL12" s="3"/>
      <c r="DM12" s="3"/>
      <c r="DN12" s="3"/>
      <c r="DO12" s="3"/>
      <c r="DP12" s="3"/>
    </row>
    <row r="13" spans="1:120" s="44" customFormat="1" x14ac:dyDescent="0.15">
      <c r="A13" s="44" t="s">
        <v>45</v>
      </c>
      <c r="B13" s="14">
        <f>SUM(Reports!B5:E5)</f>
        <v>65.486999999999995</v>
      </c>
      <c r="C13" s="14">
        <f>SUM(Reports!F5:I5)</f>
        <v>74.564999999999998</v>
      </c>
      <c r="D13" s="3">
        <f>SUM(Reports!J5:M5)</f>
        <v>84.678999999999988</v>
      </c>
      <c r="E13" s="3">
        <f>SUM(Reports!N5:Q5)</f>
        <v>93.769000000000005</v>
      </c>
      <c r="F13" s="3">
        <f>SUM(Reports!R5:U5)</f>
        <v>95.417999999999992</v>
      </c>
      <c r="G13" s="3">
        <f>F13*1.05</f>
        <v>100.18889999999999</v>
      </c>
      <c r="H13" s="3">
        <f t="shared" ref="H13:K13" si="3">G13*1.05</f>
        <v>105.19834499999999</v>
      </c>
      <c r="I13" s="3">
        <f t="shared" si="3"/>
        <v>110.45826224999999</v>
      </c>
      <c r="J13" s="3">
        <f t="shared" si="3"/>
        <v>115.9811753625</v>
      </c>
      <c r="K13" s="3">
        <f t="shared" si="3"/>
        <v>121.780234130625</v>
      </c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  <c r="CU13" s="3"/>
      <c r="CV13" s="3"/>
      <c r="CW13" s="3"/>
      <c r="CX13" s="3"/>
      <c r="CY13" s="3"/>
      <c r="CZ13" s="3"/>
      <c r="DA13" s="3"/>
      <c r="DB13" s="3"/>
      <c r="DC13" s="3"/>
      <c r="DD13" s="3"/>
      <c r="DE13" s="3"/>
      <c r="DF13" s="3"/>
      <c r="DG13" s="3"/>
      <c r="DH13" s="3"/>
      <c r="DI13" s="3"/>
      <c r="DJ13" s="3"/>
      <c r="DK13" s="3"/>
      <c r="DL13" s="3"/>
      <c r="DM13" s="3"/>
      <c r="DN13" s="3"/>
      <c r="DO13" s="3"/>
      <c r="DP13" s="3"/>
    </row>
    <row r="14" spans="1:120" s="44" customFormat="1" x14ac:dyDescent="0.15">
      <c r="A14" s="44" t="s">
        <v>46</v>
      </c>
      <c r="B14" s="14">
        <f>SUM(Reports!B6:E6)</f>
        <v>26.064</v>
      </c>
      <c r="C14" s="14">
        <f>SUM(Reports!F6:I6)</f>
        <v>37.721999999999994</v>
      </c>
      <c r="D14" s="3">
        <f>SUM(Reports!J6:M6)</f>
        <v>59.817999999999998</v>
      </c>
      <c r="E14" s="3">
        <f>SUM(Reports!N6:Q6)</f>
        <v>87.98</v>
      </c>
      <c r="F14" s="3">
        <f>SUM(Reports!R6:U6)</f>
        <v>117.726</v>
      </c>
      <c r="G14" s="3">
        <f>F14*1.3</f>
        <v>153.0438</v>
      </c>
      <c r="H14" s="3">
        <f t="shared" ref="H14:K14" si="4">G14*1.3</f>
        <v>198.95694</v>
      </c>
      <c r="I14" s="3">
        <f t="shared" si="4"/>
        <v>258.64402200000001</v>
      </c>
      <c r="J14" s="3">
        <f t="shared" si="4"/>
        <v>336.23722860000004</v>
      </c>
      <c r="K14" s="3">
        <f t="shared" si="4"/>
        <v>437.10839718000005</v>
      </c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  <c r="DM14" s="3"/>
      <c r="DN14" s="3"/>
      <c r="DO14" s="3"/>
      <c r="DP14" s="3"/>
    </row>
    <row r="15" spans="1:120" s="44" customFormat="1" x14ac:dyDescent="0.15">
      <c r="B15" s="14"/>
      <c r="C15" s="14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</row>
    <row r="16" spans="1:120" s="58" customFormat="1" x14ac:dyDescent="0.15">
      <c r="A16" s="58" t="s">
        <v>81</v>
      </c>
      <c r="B16" s="61"/>
      <c r="C16" s="61">
        <f>C64/1000000</f>
        <v>8.9236999999999997E-2</v>
      </c>
      <c r="D16" s="61">
        <f>D64/1000000</f>
        <v>0.12579599999999999</v>
      </c>
      <c r="E16" s="61">
        <f>E64/1000000</f>
        <v>0.152727</v>
      </c>
      <c r="F16" s="61">
        <f>F64/1000000</f>
        <v>0.174097</v>
      </c>
      <c r="G16" s="59">
        <f>F16*1.15</f>
        <v>0.20021154999999999</v>
      </c>
      <c r="H16" s="59">
        <f t="shared" ref="H16:K16" si="5">G16*1.15</f>
        <v>0.23024328249999998</v>
      </c>
      <c r="I16" s="59">
        <f t="shared" si="5"/>
        <v>0.26477977487499993</v>
      </c>
      <c r="J16" s="59">
        <f t="shared" si="5"/>
        <v>0.30449674110624991</v>
      </c>
      <c r="K16" s="59">
        <f t="shared" si="5"/>
        <v>0.35017125227218737</v>
      </c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59"/>
      <c r="AA16" s="59"/>
      <c r="AB16" s="59"/>
      <c r="AC16" s="59"/>
      <c r="AD16" s="59"/>
      <c r="AE16" s="59"/>
      <c r="AF16" s="59"/>
      <c r="AG16" s="59"/>
      <c r="AH16" s="59"/>
      <c r="AI16" s="59"/>
      <c r="AJ16" s="59"/>
      <c r="AK16" s="59"/>
      <c r="AL16" s="59"/>
      <c r="AM16" s="59"/>
      <c r="AN16" s="59"/>
      <c r="AO16" s="59"/>
      <c r="AP16" s="59"/>
      <c r="AQ16" s="59"/>
      <c r="AR16" s="59"/>
      <c r="AS16" s="59"/>
      <c r="AT16" s="59"/>
      <c r="AU16" s="59"/>
      <c r="AV16" s="59"/>
      <c r="AW16" s="59"/>
      <c r="AX16" s="59"/>
      <c r="AY16" s="59"/>
      <c r="AZ16" s="59"/>
      <c r="BA16" s="59"/>
      <c r="BB16" s="59"/>
      <c r="BC16" s="59"/>
      <c r="BD16" s="59"/>
      <c r="BE16" s="59"/>
      <c r="BF16" s="59"/>
      <c r="BG16" s="59"/>
      <c r="BH16" s="59"/>
      <c r="BI16" s="59"/>
      <c r="BJ16" s="59"/>
      <c r="BK16" s="59"/>
      <c r="BL16" s="59"/>
      <c r="BM16" s="59"/>
      <c r="BN16" s="59"/>
      <c r="BO16" s="59"/>
      <c r="BP16" s="59"/>
      <c r="BQ16" s="59"/>
      <c r="BR16" s="59"/>
      <c r="BS16" s="59"/>
      <c r="BT16" s="59"/>
      <c r="BU16" s="59"/>
      <c r="BV16" s="59"/>
      <c r="BW16" s="59"/>
      <c r="BX16" s="59"/>
      <c r="BY16" s="59"/>
      <c r="BZ16" s="59"/>
      <c r="CA16" s="59"/>
      <c r="CB16" s="59"/>
      <c r="CC16" s="59"/>
      <c r="CD16" s="59"/>
      <c r="CE16" s="59"/>
      <c r="CF16" s="59"/>
      <c r="CG16" s="59"/>
      <c r="CH16" s="59"/>
      <c r="CI16" s="59"/>
      <c r="CJ16" s="59"/>
      <c r="CK16" s="59"/>
      <c r="CL16" s="59"/>
      <c r="CM16" s="59"/>
      <c r="CN16" s="59"/>
      <c r="CO16" s="59"/>
      <c r="CP16" s="59"/>
      <c r="CQ16" s="59"/>
      <c r="CR16" s="59"/>
      <c r="CS16" s="59"/>
      <c r="CT16" s="59"/>
      <c r="CU16" s="59"/>
      <c r="CV16" s="59"/>
      <c r="CW16" s="59"/>
      <c r="CX16" s="59"/>
      <c r="CY16" s="59"/>
      <c r="CZ16" s="59"/>
      <c r="DA16" s="59"/>
      <c r="DB16" s="59"/>
      <c r="DC16" s="59"/>
      <c r="DD16" s="59"/>
      <c r="DE16" s="59"/>
      <c r="DF16" s="59"/>
      <c r="DG16" s="59"/>
      <c r="DH16" s="59"/>
      <c r="DI16" s="59"/>
      <c r="DJ16" s="59"/>
      <c r="DK16" s="59"/>
      <c r="DL16" s="59"/>
      <c r="DM16" s="59"/>
      <c r="DN16" s="59"/>
      <c r="DO16" s="59"/>
      <c r="DP16" s="59"/>
    </row>
    <row r="17" spans="1:120" s="44" customFormat="1" x14ac:dyDescent="0.15">
      <c r="A17" s="44" t="s">
        <v>114</v>
      </c>
      <c r="B17" s="14"/>
      <c r="C17" s="15">
        <f>SUM(C11:C14)/C16</f>
        <v>6947.0735233143196</v>
      </c>
      <c r="D17" s="15">
        <f>SUM(D11:D14)/D16</f>
        <v>6976.0882698972946</v>
      </c>
      <c r="E17" s="15">
        <f>SUM(E11:E14)/E16</f>
        <v>7926.1754634085655</v>
      </c>
      <c r="F17" s="15">
        <f>SUM(F11:F14)/F16</f>
        <v>9269.4474919154254</v>
      </c>
      <c r="G17" s="3">
        <f>F17*1.1</f>
        <v>10196.392241106969</v>
      </c>
      <c r="H17" s="3">
        <f t="shared" ref="H17:K17" si="6">G17*1.1</f>
        <v>11216.031465217666</v>
      </c>
      <c r="I17" s="3">
        <f t="shared" si="6"/>
        <v>12337.634611739433</v>
      </c>
      <c r="J17" s="3">
        <f t="shared" si="6"/>
        <v>13571.398072913378</v>
      </c>
      <c r="K17" s="3">
        <f t="shared" si="6"/>
        <v>14928.537880204718</v>
      </c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  <c r="DM17" s="3"/>
      <c r="DN17" s="3"/>
      <c r="DO17" s="3"/>
      <c r="DP17" s="3"/>
    </row>
    <row r="18" spans="1:120" s="68" customFormat="1" x14ac:dyDescent="0.15">
      <c r="F18" s="68">
        <v>1600</v>
      </c>
    </row>
    <row r="19" spans="1:120" x14ac:dyDescent="0.15">
      <c r="A19" s="11" t="s">
        <v>4</v>
      </c>
      <c r="B19" s="12">
        <f>SUM(B11:B14)</f>
        <v>457.05799999999994</v>
      </c>
      <c r="C19" s="12">
        <f>SUM(C11:C14)</f>
        <v>619.93599999999992</v>
      </c>
      <c r="D19" s="12">
        <f>SUM(D11:D14)</f>
        <v>877.56399999999996</v>
      </c>
      <c r="E19" s="12">
        <f>SUM(E11:E14)</f>
        <v>1210.5409999999999</v>
      </c>
      <c r="F19" s="12">
        <f>SUM(F11:F14)</f>
        <v>1613.7829999999999</v>
      </c>
      <c r="G19" s="31">
        <f>G16*G17</f>
        <v>2041.4354949999997</v>
      </c>
      <c r="H19" s="31">
        <f t="shared" ref="H19:K19" si="7">H16*H17</f>
        <v>2582.4159011749998</v>
      </c>
      <c r="I19" s="31">
        <f t="shared" si="7"/>
        <v>3266.7561149863741</v>
      </c>
      <c r="J19" s="31">
        <f t="shared" si="7"/>
        <v>4132.4464854577636</v>
      </c>
      <c r="K19" s="31">
        <f t="shared" si="7"/>
        <v>5227.5448041040718</v>
      </c>
      <c r="L19" s="31">
        <f t="shared" ref="L19:U19" si="8">K19*1.1</f>
        <v>5750.299284514479</v>
      </c>
      <c r="M19" s="31">
        <f t="shared" si="8"/>
        <v>6325.3292129659276</v>
      </c>
      <c r="N19" s="31">
        <f t="shared" si="8"/>
        <v>6957.8621342625211</v>
      </c>
      <c r="O19" s="31">
        <f t="shared" si="8"/>
        <v>7653.6483476887734</v>
      </c>
      <c r="P19" s="31">
        <f t="shared" si="8"/>
        <v>8419.0131824576511</v>
      </c>
      <c r="Q19" s="31">
        <f t="shared" si="8"/>
        <v>9260.9145007034167</v>
      </c>
      <c r="R19" s="31">
        <f t="shared" si="8"/>
        <v>10187.005950773759</v>
      </c>
      <c r="S19" s="31">
        <f t="shared" si="8"/>
        <v>11205.706545851135</v>
      </c>
      <c r="T19" s="31">
        <f t="shared" si="8"/>
        <v>12326.27720043625</v>
      </c>
      <c r="U19" s="31">
        <f t="shared" si="8"/>
        <v>13558.904920479878</v>
      </c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</row>
    <row r="20" spans="1:120" x14ac:dyDescent="0.15">
      <c r="A20" s="4" t="s">
        <v>5</v>
      </c>
      <c r="B20" s="14">
        <f>SUM(Reports!B12:E12)</f>
        <v>75.783000000000001</v>
      </c>
      <c r="C20" s="14">
        <f>SUM(Reports!F12:I12)</f>
        <v>119.161</v>
      </c>
      <c r="D20" s="3">
        <f>SUM(Reports!J12:M12)</f>
        <v>172.69</v>
      </c>
      <c r="E20" s="3">
        <f>SUM(Reports!N12:Q12)</f>
        <v>210.15600000000001</v>
      </c>
      <c r="F20" s="3">
        <f>SUM(Reports!R12:U12)</f>
        <v>268.767</v>
      </c>
      <c r="G20" s="14">
        <f t="shared" ref="G20:H20" si="9">G19-G21</f>
        <v>339.99025499999993</v>
      </c>
      <c r="H20" s="14">
        <f t="shared" si="9"/>
        <v>430.08767257499994</v>
      </c>
      <c r="I20" s="14">
        <f t="shared" ref="I20:L20" si="10">I19-I21</f>
        <v>544.06090580737464</v>
      </c>
      <c r="J20" s="14">
        <f>J19-J21</f>
        <v>688.23704584632878</v>
      </c>
      <c r="K20" s="14">
        <f t="shared" si="10"/>
        <v>870.61986299560613</v>
      </c>
      <c r="L20" s="14">
        <f t="shared" si="10"/>
        <v>957.68184929516701</v>
      </c>
      <c r="M20" s="14">
        <f t="shared" ref="M20:T20" si="11">M19-M21</f>
        <v>1053.4500342246838</v>
      </c>
      <c r="N20" s="14">
        <f t="shared" si="11"/>
        <v>1158.7950376471526</v>
      </c>
      <c r="O20" s="14">
        <f t="shared" si="11"/>
        <v>1274.6745414118677</v>
      </c>
      <c r="P20" s="14">
        <f t="shared" si="11"/>
        <v>1402.1419955530546</v>
      </c>
      <c r="Q20" s="14">
        <f t="shared" si="11"/>
        <v>1542.3561951083602</v>
      </c>
      <c r="R20" s="14">
        <f t="shared" si="11"/>
        <v>1696.5918146191962</v>
      </c>
      <c r="S20" s="14">
        <f t="shared" si="11"/>
        <v>1866.2509960811167</v>
      </c>
      <c r="T20" s="14">
        <f t="shared" si="11"/>
        <v>2052.8760956892274</v>
      </c>
      <c r="U20" s="14">
        <f t="shared" ref="U20" si="12">U19-U21</f>
        <v>2258.16370525815</v>
      </c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</row>
    <row r="21" spans="1:120" x14ac:dyDescent="0.15">
      <c r="A21" s="4" t="s">
        <v>6</v>
      </c>
      <c r="B21" s="15">
        <f>B19-B20</f>
        <v>381.27499999999992</v>
      </c>
      <c r="C21" s="15">
        <f>C19-C20</f>
        <v>500.77499999999992</v>
      </c>
      <c r="D21" s="15">
        <f>D19-D20</f>
        <v>704.87400000000002</v>
      </c>
      <c r="E21" s="15">
        <f>E19-E20</f>
        <v>1000.385</v>
      </c>
      <c r="F21" s="15">
        <f>F19-F20</f>
        <v>1345.0159999999998</v>
      </c>
      <c r="G21" s="14">
        <f t="shared" ref="G21:U21" si="13">G19*F34</f>
        <v>1701.4452399999998</v>
      </c>
      <c r="H21" s="14">
        <f t="shared" si="13"/>
        <v>2152.3282285999999</v>
      </c>
      <c r="I21" s="14">
        <f t="shared" si="13"/>
        <v>2722.6952091789994</v>
      </c>
      <c r="J21" s="14">
        <f t="shared" si="13"/>
        <v>3444.2094396114348</v>
      </c>
      <c r="K21" s="14">
        <f t="shared" si="13"/>
        <v>4356.9249411084656</v>
      </c>
      <c r="L21" s="14">
        <f t="shared" si="13"/>
        <v>4792.617435219312</v>
      </c>
      <c r="M21" s="14">
        <f t="shared" si="13"/>
        <v>5271.8791787412438</v>
      </c>
      <c r="N21" s="14">
        <f t="shared" si="13"/>
        <v>5799.0670966153684</v>
      </c>
      <c r="O21" s="14">
        <f t="shared" si="13"/>
        <v>6378.9738062769056</v>
      </c>
      <c r="P21" s="14">
        <f t="shared" si="13"/>
        <v>7016.8711869045965</v>
      </c>
      <c r="Q21" s="14">
        <f t="shared" si="13"/>
        <v>7718.5583055950565</v>
      </c>
      <c r="R21" s="14">
        <f t="shared" si="13"/>
        <v>8490.4141361545626</v>
      </c>
      <c r="S21" s="14">
        <f t="shared" si="13"/>
        <v>9339.4555497700185</v>
      </c>
      <c r="T21" s="14">
        <f t="shared" si="13"/>
        <v>10273.401104747023</v>
      </c>
      <c r="U21" s="14">
        <f t="shared" si="13"/>
        <v>11300.741215221728</v>
      </c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</row>
    <row r="22" spans="1:120" x14ac:dyDescent="0.15">
      <c r="A22" s="4" t="s">
        <v>7</v>
      </c>
      <c r="B22" s="14">
        <f>SUM(Reports!B14:E14)</f>
        <v>208.30599999999998</v>
      </c>
      <c r="C22" s="14">
        <f>SUM(Reports!F14:I14)</f>
        <v>310.16899999999998</v>
      </c>
      <c r="D22" s="3">
        <f>SUM(Reports!J14:M14)</f>
        <v>415.77599999999995</v>
      </c>
      <c r="E22" s="3">
        <f>SUM(Reports!N14:Q14)</f>
        <v>578.81299999999999</v>
      </c>
      <c r="F22" s="3">
        <f>SUM(Reports!R14:U14)</f>
        <v>763</v>
      </c>
      <c r="G22" s="14">
        <f t="shared" ref="G22" si="14">F22*1.3</f>
        <v>991.9</v>
      </c>
      <c r="H22" s="14">
        <f t="shared" ref="H22" si="15">G22*1.3</f>
        <v>1289.47</v>
      </c>
      <c r="I22" s="14">
        <f t="shared" ref="I22" si="16">H22*1.3</f>
        <v>1676.3110000000001</v>
      </c>
      <c r="J22" s="14">
        <f t="shared" ref="J22" si="17">I22*1.3</f>
        <v>2179.2043000000003</v>
      </c>
      <c r="K22" s="14">
        <f t="shared" ref="K22" si="18">J22*1.3</f>
        <v>2832.9655900000007</v>
      </c>
      <c r="L22" s="14">
        <f t="shared" ref="L22:U22" si="19">K22*1.05</f>
        <v>2974.6138695000009</v>
      </c>
      <c r="M22" s="14">
        <f t="shared" si="19"/>
        <v>3123.3445629750008</v>
      </c>
      <c r="N22" s="14">
        <f t="shared" si="19"/>
        <v>3279.5117911237512</v>
      </c>
      <c r="O22" s="14">
        <f t="shared" si="19"/>
        <v>3443.4873806799387</v>
      </c>
      <c r="P22" s="14">
        <f t="shared" si="19"/>
        <v>3615.6617497139359</v>
      </c>
      <c r="Q22" s="14">
        <f t="shared" si="19"/>
        <v>3796.4448371996327</v>
      </c>
      <c r="R22" s="14">
        <f t="shared" si="19"/>
        <v>3986.2670790596144</v>
      </c>
      <c r="S22" s="14">
        <f t="shared" si="19"/>
        <v>4185.5804330125957</v>
      </c>
      <c r="T22" s="14">
        <f t="shared" si="19"/>
        <v>4394.8594546632257</v>
      </c>
      <c r="U22" s="14">
        <f t="shared" si="19"/>
        <v>4614.6024273963876</v>
      </c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</row>
    <row r="23" spans="1:120" x14ac:dyDescent="0.15">
      <c r="A23" s="4" t="s">
        <v>8</v>
      </c>
      <c r="B23" s="14">
        <f>SUM(Reports!B15:E15)</f>
        <v>93.391000000000005</v>
      </c>
      <c r="C23" s="14">
        <f>SUM(Reports!F15:I15)</f>
        <v>134.90800000000002</v>
      </c>
      <c r="D23" s="3">
        <f>SUM(Reports!J15:M15)</f>
        <v>187.32499999999999</v>
      </c>
      <c r="E23" s="3">
        <f>SUM(Reports!N15:Q15)</f>
        <v>268.75599999999997</v>
      </c>
      <c r="F23" s="3">
        <f>SUM(Reports!R15:U15)</f>
        <v>299</v>
      </c>
      <c r="G23" s="14">
        <f>F23*1.1</f>
        <v>328.90000000000003</v>
      </c>
      <c r="H23" s="14">
        <f t="shared" ref="H23:K23" si="20">G23*1.1</f>
        <v>361.79000000000008</v>
      </c>
      <c r="I23" s="14">
        <f t="shared" si="20"/>
        <v>397.96900000000011</v>
      </c>
      <c r="J23" s="14">
        <f t="shared" si="20"/>
        <v>437.76590000000016</v>
      </c>
      <c r="K23" s="14">
        <f t="shared" si="20"/>
        <v>481.54249000000021</v>
      </c>
      <c r="L23" s="14">
        <f t="shared" ref="L23:U23" si="21">K23*0.98</f>
        <v>471.91164020000019</v>
      </c>
      <c r="M23" s="14">
        <f t="shared" si="21"/>
        <v>462.4734073960002</v>
      </c>
      <c r="N23" s="14">
        <f t="shared" si="21"/>
        <v>453.22393924808017</v>
      </c>
      <c r="O23" s="14">
        <f t="shared" si="21"/>
        <v>444.15946046311853</v>
      </c>
      <c r="P23" s="14">
        <f t="shared" si="21"/>
        <v>435.27627125385618</v>
      </c>
      <c r="Q23" s="14">
        <f t="shared" si="21"/>
        <v>426.57074582877902</v>
      </c>
      <c r="R23" s="14">
        <f t="shared" si="21"/>
        <v>418.03933091220341</v>
      </c>
      <c r="S23" s="14">
        <f t="shared" si="21"/>
        <v>409.67854429395936</v>
      </c>
      <c r="T23" s="14">
        <f t="shared" si="21"/>
        <v>401.48497340808018</v>
      </c>
      <c r="U23" s="14">
        <f t="shared" si="21"/>
        <v>393.45527393991858</v>
      </c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</row>
    <row r="24" spans="1:120" x14ac:dyDescent="0.15">
      <c r="A24" s="4" t="s">
        <v>9</v>
      </c>
      <c r="B24" s="14">
        <f>SUM(Reports!B16:E16)</f>
        <v>85.457999999999998</v>
      </c>
      <c r="C24" s="14">
        <f>SUM(Reports!F16:I16)</f>
        <v>118.78399999999999</v>
      </c>
      <c r="D24" s="3">
        <f>SUM(Reports!J16:M16)</f>
        <v>151.24199999999999</v>
      </c>
      <c r="E24" s="3">
        <f>SUM(Reports!N16:Q16)</f>
        <v>215.73400000000001</v>
      </c>
      <c r="F24" s="3">
        <f>SUM(Reports!R16:U16)</f>
        <v>268</v>
      </c>
      <c r="G24" s="14">
        <f>F24*1.25</f>
        <v>335</v>
      </c>
      <c r="H24" s="14">
        <f t="shared" ref="H24:K24" si="22">G24*1.25</f>
        <v>418.75</v>
      </c>
      <c r="I24" s="14">
        <f t="shared" si="22"/>
        <v>523.4375</v>
      </c>
      <c r="J24" s="14">
        <f t="shared" si="22"/>
        <v>654.296875</v>
      </c>
      <c r="K24" s="14">
        <f t="shared" si="22"/>
        <v>817.87109375</v>
      </c>
      <c r="L24" s="14">
        <f t="shared" ref="L24:U24" si="23">K24*0.98</f>
        <v>801.513671875</v>
      </c>
      <c r="M24" s="14">
        <f t="shared" si="23"/>
        <v>785.4833984375</v>
      </c>
      <c r="N24" s="14">
        <f t="shared" si="23"/>
        <v>769.77373046874993</v>
      </c>
      <c r="O24" s="14">
        <f t="shared" si="23"/>
        <v>754.37825585937492</v>
      </c>
      <c r="P24" s="14">
        <f t="shared" si="23"/>
        <v>739.29069074218739</v>
      </c>
      <c r="Q24" s="14">
        <f t="shared" si="23"/>
        <v>724.50487692734362</v>
      </c>
      <c r="R24" s="14">
        <f t="shared" si="23"/>
        <v>710.01477938879668</v>
      </c>
      <c r="S24" s="14">
        <f t="shared" si="23"/>
        <v>695.81448380102074</v>
      </c>
      <c r="T24" s="14">
        <f t="shared" si="23"/>
        <v>681.89819412500026</v>
      </c>
      <c r="U24" s="14">
        <f t="shared" si="23"/>
        <v>668.26023024250026</v>
      </c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</row>
    <row r="25" spans="1:120" x14ac:dyDescent="0.15">
      <c r="A25" s="4" t="s">
        <v>10</v>
      </c>
      <c r="B25" s="15">
        <f>SUM(B22:B24)</f>
        <v>387.15499999999997</v>
      </c>
      <c r="C25" s="15">
        <f>SUM(C22:C24)</f>
        <v>563.86099999999999</v>
      </c>
      <c r="D25" s="15">
        <f>SUM(D22:D24)</f>
        <v>754.34299999999985</v>
      </c>
      <c r="E25" s="15">
        <f>SUM(E22:E24)</f>
        <v>1063.3029999999999</v>
      </c>
      <c r="F25" s="15">
        <f>SUM(F22:F24)</f>
        <v>1330</v>
      </c>
      <c r="G25" s="14">
        <f t="shared" ref="G25:H25" si="24">SUM(G22:G24)</f>
        <v>1655.8</v>
      </c>
      <c r="H25" s="14">
        <f t="shared" si="24"/>
        <v>2070.0100000000002</v>
      </c>
      <c r="I25" s="14">
        <f t="shared" ref="I25:L25" si="25">SUM(I22:I24)</f>
        <v>2597.7175000000002</v>
      </c>
      <c r="J25" s="14">
        <f t="shared" si="25"/>
        <v>3271.2670750000007</v>
      </c>
      <c r="K25" s="14">
        <f t="shared" si="25"/>
        <v>4132.3791737500014</v>
      </c>
      <c r="L25" s="14">
        <f t="shared" si="25"/>
        <v>4248.0391815750008</v>
      </c>
      <c r="M25" s="14">
        <f t="shared" ref="M25:T25" si="26">SUM(M22:M24)</f>
        <v>4371.3013688085011</v>
      </c>
      <c r="N25" s="14">
        <f t="shared" si="26"/>
        <v>4502.5094608405816</v>
      </c>
      <c r="O25" s="14">
        <f t="shared" si="26"/>
        <v>4642.0250970024326</v>
      </c>
      <c r="P25" s="14">
        <f t="shared" si="26"/>
        <v>4790.2287117099795</v>
      </c>
      <c r="Q25" s="14">
        <f t="shared" si="26"/>
        <v>4947.5204599557555</v>
      </c>
      <c r="R25" s="14">
        <f t="shared" si="26"/>
        <v>5114.321189360614</v>
      </c>
      <c r="S25" s="14">
        <f t="shared" si="26"/>
        <v>5291.073461107575</v>
      </c>
      <c r="T25" s="14">
        <f t="shared" si="26"/>
        <v>5478.242622196306</v>
      </c>
      <c r="U25" s="14">
        <f t="shared" ref="U25" si="27">SUM(U22:U24)</f>
        <v>5676.3179315788066</v>
      </c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</row>
    <row r="26" spans="1:120" x14ac:dyDescent="0.15">
      <c r="A26" s="4" t="s">
        <v>11</v>
      </c>
      <c r="B26" s="15">
        <f>B21-B25</f>
        <v>-5.8800000000000523</v>
      </c>
      <c r="C26" s="15">
        <f>C21-C25</f>
        <v>-63.08600000000007</v>
      </c>
      <c r="D26" s="15">
        <f>D21-D25</f>
        <v>-49.468999999999824</v>
      </c>
      <c r="E26" s="15">
        <f>E21-E25</f>
        <v>-62.917999999999893</v>
      </c>
      <c r="F26" s="15">
        <f>F21-F25</f>
        <v>15.015999999999849</v>
      </c>
      <c r="G26" s="14">
        <f t="shared" ref="G26:H26" si="28">G21-G25</f>
        <v>45.645239999999831</v>
      </c>
      <c r="H26" s="14">
        <f t="shared" si="28"/>
        <v>82.318228599999657</v>
      </c>
      <c r="I26" s="14">
        <f t="shared" ref="I26:L26" si="29">I21-I25</f>
        <v>124.97770917899925</v>
      </c>
      <c r="J26" s="14">
        <f t="shared" si="29"/>
        <v>172.94236461143419</v>
      </c>
      <c r="K26" s="14">
        <f t="shared" si="29"/>
        <v>224.54576735846422</v>
      </c>
      <c r="L26" s="14">
        <f t="shared" si="29"/>
        <v>544.57825364431119</v>
      </c>
      <c r="M26" s="14">
        <f t="shared" ref="M26:T26" si="30">M21-M25</f>
        <v>900.57780993274264</v>
      </c>
      <c r="N26" s="14">
        <f t="shared" si="30"/>
        <v>1296.5576357747868</v>
      </c>
      <c r="O26" s="14">
        <f t="shared" si="30"/>
        <v>1736.948709274473</v>
      </c>
      <c r="P26" s="14">
        <f t="shared" si="30"/>
        <v>2226.642475194617</v>
      </c>
      <c r="Q26" s="14">
        <f t="shared" si="30"/>
        <v>2771.0378456393009</v>
      </c>
      <c r="R26" s="14">
        <f t="shared" si="30"/>
        <v>3376.0929467939486</v>
      </c>
      <c r="S26" s="14">
        <f t="shared" si="30"/>
        <v>4048.3820886624435</v>
      </c>
      <c r="T26" s="14">
        <f t="shared" si="30"/>
        <v>4795.1584825507171</v>
      </c>
      <c r="U26" s="14">
        <f t="shared" ref="U26" si="31">U21-U25</f>
        <v>5624.423283642921</v>
      </c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</row>
    <row r="27" spans="1:120" x14ac:dyDescent="0.15">
      <c r="A27" s="4" t="s">
        <v>12</v>
      </c>
      <c r="B27" s="14">
        <f>SUM(Reports!B19:E19)</f>
        <v>0.97299999999999998</v>
      </c>
      <c r="C27" s="14">
        <f>SUM(Reports!F19:I19)</f>
        <v>3.4339999999999997</v>
      </c>
      <c r="D27" s="3">
        <f>SUM(Reports!J19:M19)</f>
        <v>-12.086</v>
      </c>
      <c r="E27" s="3">
        <f>SUM(Reports!N19:Q19)</f>
        <v>-541.77600000000007</v>
      </c>
      <c r="F27" s="3">
        <f>SUM(Reports!R19:U19)</f>
        <v>-360</v>
      </c>
      <c r="G27" s="14">
        <f t="shared" ref="G27:U27" si="32">F43*($F$3)</f>
        <v>63.35</v>
      </c>
      <c r="H27" s="14">
        <f t="shared" si="32"/>
        <v>67.98229769999999</v>
      </c>
      <c r="I27" s="14">
        <f t="shared" si="32"/>
        <v>74.370070067749978</v>
      </c>
      <c r="J27" s="14">
        <f t="shared" si="32"/>
        <v>82.842350685736818</v>
      </c>
      <c r="K27" s="14">
        <f t="shared" si="32"/>
        <v>93.713201085866586</v>
      </c>
      <c r="L27" s="14">
        <f t="shared" si="32"/>
        <v>107.23920724475066</v>
      </c>
      <c r="M27" s="14">
        <f t="shared" si="32"/>
        <v>134.9414493325358</v>
      </c>
      <c r="N27" s="14">
        <f t="shared" si="32"/>
        <v>178.95101785131013</v>
      </c>
      <c r="O27" s="14">
        <f t="shared" si="32"/>
        <v>241.66013563041926</v>
      </c>
      <c r="P27" s="14">
        <f t="shared" si="32"/>
        <v>325.75101153887721</v>
      </c>
      <c r="Q27" s="14">
        <f t="shared" si="32"/>
        <v>434.22773472505071</v>
      </c>
      <c r="R27" s="14">
        <f t="shared" si="32"/>
        <v>570.45152189053567</v>
      </c>
      <c r="S27" s="14">
        <f t="shared" si="32"/>
        <v>738.17966180962628</v>
      </c>
      <c r="T27" s="14">
        <f t="shared" si="32"/>
        <v>941.60853620468924</v>
      </c>
      <c r="U27" s="14">
        <f t="shared" si="32"/>
        <v>1185.4211345017939</v>
      </c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</row>
    <row r="28" spans="1:120" x14ac:dyDescent="0.15">
      <c r="A28" s="4" t="s">
        <v>13</v>
      </c>
      <c r="B28" s="15">
        <f>SUM(Reports!B20:E20)</f>
        <v>-4.9069999999999956</v>
      </c>
      <c r="C28" s="15">
        <f>C26+C27</f>
        <v>-59.652000000000072</v>
      </c>
      <c r="D28" s="15">
        <f>D26+D27</f>
        <v>-61.554999999999822</v>
      </c>
      <c r="E28" s="15">
        <f>E26+E27</f>
        <v>-604.69399999999996</v>
      </c>
      <c r="F28" s="15">
        <f>F26+F27</f>
        <v>-344.98400000000015</v>
      </c>
      <c r="G28" s="14">
        <f t="shared" ref="G28:H28" si="33">G26+G27</f>
        <v>108.99523999999982</v>
      </c>
      <c r="H28" s="14">
        <f t="shared" si="33"/>
        <v>150.30052629999966</v>
      </c>
      <c r="I28" s="14">
        <f t="shared" ref="I28:L28" si="34">I26+I27</f>
        <v>199.34777924674921</v>
      </c>
      <c r="J28" s="14">
        <f t="shared" si="34"/>
        <v>255.784715297171</v>
      </c>
      <c r="K28" s="14">
        <f t="shared" si="34"/>
        <v>318.25896844433078</v>
      </c>
      <c r="L28" s="14">
        <f t="shared" si="34"/>
        <v>651.81746088906186</v>
      </c>
      <c r="M28" s="14">
        <f t="shared" ref="M28:T28" si="35">M26+M27</f>
        <v>1035.5192592652784</v>
      </c>
      <c r="N28" s="14">
        <f t="shared" si="35"/>
        <v>1475.5086536260969</v>
      </c>
      <c r="O28" s="14">
        <f t="shared" si="35"/>
        <v>1978.6088449048923</v>
      </c>
      <c r="P28" s="14">
        <f t="shared" si="35"/>
        <v>2552.3934867334942</v>
      </c>
      <c r="Q28" s="14">
        <f t="shared" si="35"/>
        <v>3205.2655803643515</v>
      </c>
      <c r="R28" s="14">
        <f t="shared" si="35"/>
        <v>3946.5444686844844</v>
      </c>
      <c r="S28" s="14">
        <f t="shared" si="35"/>
        <v>4786.5617504720694</v>
      </c>
      <c r="T28" s="14">
        <f t="shared" si="35"/>
        <v>5736.7670187554068</v>
      </c>
      <c r="U28" s="14">
        <f t="shared" ref="U28" si="36">U26+U27</f>
        <v>6809.8444181447148</v>
      </c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</row>
    <row r="29" spans="1:120" x14ac:dyDescent="0.15">
      <c r="A29" s="4" t="s">
        <v>14</v>
      </c>
      <c r="B29" s="14">
        <f>SUM(Reports!B21:E21)</f>
        <v>-9.2800000000000011</v>
      </c>
      <c r="C29" s="14">
        <f>SUM(Reports!F21:I21)</f>
        <v>-17.148</v>
      </c>
      <c r="D29" s="3">
        <f>SUM(Reports!J21:M21)</f>
        <v>54.241</v>
      </c>
      <c r="E29" s="3">
        <f>SUM(Reports!N21:Q21)</f>
        <v>32.409999999999997</v>
      </c>
      <c r="F29" s="3">
        <f>SUM(Reports!R21:U21)</f>
        <v>5</v>
      </c>
      <c r="G29" s="14">
        <f t="shared" ref="G29:T29" si="37">G28*0.15</f>
        <v>16.349285999999974</v>
      </c>
      <c r="H29" s="14">
        <f t="shared" si="37"/>
        <v>22.545078944999947</v>
      </c>
      <c r="I29" s="14">
        <f t="shared" si="37"/>
        <v>29.902166887012381</v>
      </c>
      <c r="J29" s="14">
        <f t="shared" si="37"/>
        <v>38.367707294575652</v>
      </c>
      <c r="K29" s="14">
        <f t="shared" si="37"/>
        <v>47.738845266649612</v>
      </c>
      <c r="L29" s="14">
        <f t="shared" si="37"/>
        <v>97.772619133359271</v>
      </c>
      <c r="M29" s="14">
        <f t="shared" si="37"/>
        <v>155.32788888979175</v>
      </c>
      <c r="N29" s="14">
        <f t="shared" si="37"/>
        <v>221.32629804391453</v>
      </c>
      <c r="O29" s="14">
        <f t="shared" si="37"/>
        <v>296.79132673573383</v>
      </c>
      <c r="P29" s="14">
        <f t="shared" si="37"/>
        <v>382.85902301002415</v>
      </c>
      <c r="Q29" s="14">
        <f t="shared" si="37"/>
        <v>480.78983705465271</v>
      </c>
      <c r="R29" s="14">
        <f t="shared" si="37"/>
        <v>591.98167030267268</v>
      </c>
      <c r="S29" s="14">
        <f t="shared" si="37"/>
        <v>717.98426257081042</v>
      </c>
      <c r="T29" s="14">
        <f t="shared" si="37"/>
        <v>860.51505281331094</v>
      </c>
      <c r="U29" s="14">
        <f t="shared" ref="U29" si="38">U28*0.15</f>
        <v>1021.4766627217072</v>
      </c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</row>
    <row r="30" spans="1:120" s="11" customFormat="1" x14ac:dyDescent="0.15">
      <c r="A30" s="11" t="s">
        <v>15</v>
      </c>
      <c r="B30" s="12">
        <f>B28-B29</f>
        <v>4.3730000000000055</v>
      </c>
      <c r="C30" s="12">
        <f>C28-C29</f>
        <v>-42.504000000000076</v>
      </c>
      <c r="D30" s="12">
        <f>D28-D29</f>
        <v>-115.79599999999982</v>
      </c>
      <c r="E30" s="12">
        <f>E28-E29</f>
        <v>-637.10399999999993</v>
      </c>
      <c r="F30" s="12">
        <f t="shared" ref="F30:H30" si="39">F28-F29</f>
        <v>-349.98400000000015</v>
      </c>
      <c r="G30" s="12">
        <f t="shared" si="39"/>
        <v>92.645953999999847</v>
      </c>
      <c r="H30" s="12">
        <f t="shared" si="39"/>
        <v>127.75544735499972</v>
      </c>
      <c r="I30" s="12">
        <f t="shared" ref="I30:L30" si="40">I28-I29</f>
        <v>169.44561235973683</v>
      </c>
      <c r="J30" s="12">
        <f t="shared" si="40"/>
        <v>217.41700800259537</v>
      </c>
      <c r="K30" s="12">
        <f t="shared" si="40"/>
        <v>270.52012317768117</v>
      </c>
      <c r="L30" s="12">
        <f t="shared" si="40"/>
        <v>554.04484175570258</v>
      </c>
      <c r="M30" s="12">
        <f t="shared" ref="M30:T30" si="41">M28-M29</f>
        <v>880.1913703754866</v>
      </c>
      <c r="N30" s="12">
        <f t="shared" si="41"/>
        <v>1254.1823555821825</v>
      </c>
      <c r="O30" s="12">
        <f t="shared" si="41"/>
        <v>1681.8175181691586</v>
      </c>
      <c r="P30" s="12">
        <f t="shared" si="41"/>
        <v>2169.5344637234703</v>
      </c>
      <c r="Q30" s="12">
        <f t="shared" si="41"/>
        <v>2724.4757433096988</v>
      </c>
      <c r="R30" s="12">
        <f t="shared" si="41"/>
        <v>3354.5627983818117</v>
      </c>
      <c r="S30" s="12">
        <f t="shared" si="41"/>
        <v>4068.5774879012588</v>
      </c>
      <c r="T30" s="12">
        <f t="shared" si="41"/>
        <v>4876.2519659420959</v>
      </c>
      <c r="U30" s="12">
        <f t="shared" ref="U30" si="42">U28-U29</f>
        <v>5788.367755423008</v>
      </c>
      <c r="V30" s="12">
        <f t="shared" ref="U30:CG30" si="43">U30*($F$2+1)</f>
        <v>5817.3095942001228</v>
      </c>
      <c r="W30" s="12">
        <f t="shared" si="43"/>
        <v>5846.3961421711228</v>
      </c>
      <c r="X30" s="12">
        <f t="shared" si="43"/>
        <v>5875.628122881978</v>
      </c>
      <c r="Y30" s="12">
        <f t="shared" si="43"/>
        <v>5905.006263496387</v>
      </c>
      <c r="Z30" s="12">
        <f t="shared" si="43"/>
        <v>5934.531294813868</v>
      </c>
      <c r="AA30" s="12">
        <f t="shared" si="43"/>
        <v>5964.2039512879364</v>
      </c>
      <c r="AB30" s="12">
        <f t="shared" si="43"/>
        <v>5994.0249710443759</v>
      </c>
      <c r="AC30" s="12">
        <f t="shared" si="43"/>
        <v>6023.9950958995969</v>
      </c>
      <c r="AD30" s="12">
        <f t="shared" si="43"/>
        <v>6054.1150713790939</v>
      </c>
      <c r="AE30" s="12">
        <f t="shared" si="43"/>
        <v>6084.3856467359892</v>
      </c>
      <c r="AF30" s="12">
        <f t="shared" si="43"/>
        <v>6114.8075749696682</v>
      </c>
      <c r="AG30" s="12">
        <f t="shared" si="43"/>
        <v>6145.381612844516</v>
      </c>
      <c r="AH30" s="12">
        <f t="shared" si="43"/>
        <v>6176.1085209087378</v>
      </c>
      <c r="AI30" s="12">
        <f t="shared" si="43"/>
        <v>6206.9890635132806</v>
      </c>
      <c r="AJ30" s="12">
        <f t="shared" si="43"/>
        <v>6238.0240088308465</v>
      </c>
      <c r="AK30" s="12">
        <f t="shared" si="43"/>
        <v>6269.2141288749999</v>
      </c>
      <c r="AL30" s="12">
        <f t="shared" si="43"/>
        <v>6300.5601995193747</v>
      </c>
      <c r="AM30" s="12">
        <f t="shared" si="43"/>
        <v>6332.0630005169705</v>
      </c>
      <c r="AN30" s="12">
        <f t="shared" si="43"/>
        <v>6363.7233155195545</v>
      </c>
      <c r="AO30" s="12">
        <f t="shared" si="43"/>
        <v>6395.5419320971514</v>
      </c>
      <c r="AP30" s="12">
        <f t="shared" si="43"/>
        <v>6427.5196417576362</v>
      </c>
      <c r="AQ30" s="12">
        <f t="shared" si="43"/>
        <v>6459.6572399664237</v>
      </c>
      <c r="AR30" s="12">
        <f t="shared" si="43"/>
        <v>6491.9555261662554</v>
      </c>
      <c r="AS30" s="12">
        <f t="shared" si="43"/>
        <v>6524.4153037970864</v>
      </c>
      <c r="AT30" s="12">
        <f t="shared" si="43"/>
        <v>6557.037380316071</v>
      </c>
      <c r="AU30" s="12">
        <f t="shared" si="43"/>
        <v>6589.8225672176504</v>
      </c>
      <c r="AV30" s="12">
        <f t="shared" si="43"/>
        <v>6622.7716800537382</v>
      </c>
      <c r="AW30" s="12">
        <f t="shared" si="43"/>
        <v>6655.8855384540066</v>
      </c>
      <c r="AX30" s="12">
        <f t="shared" si="43"/>
        <v>6689.1649661462761</v>
      </c>
      <c r="AY30" s="12">
        <f t="shared" si="43"/>
        <v>6722.6107909770071</v>
      </c>
      <c r="AZ30" s="12">
        <f t="shared" si="43"/>
        <v>6756.2238449318911</v>
      </c>
      <c r="BA30" s="12">
        <f t="shared" si="43"/>
        <v>6790.0049641565502</v>
      </c>
      <c r="BB30" s="12">
        <f t="shared" si="43"/>
        <v>6823.9549889773325</v>
      </c>
      <c r="BC30" s="12">
        <f t="shared" si="43"/>
        <v>6858.0747639222182</v>
      </c>
      <c r="BD30" s="12">
        <f t="shared" si="43"/>
        <v>6892.3651377418282</v>
      </c>
      <c r="BE30" s="12">
        <f t="shared" si="43"/>
        <v>6926.826963430537</v>
      </c>
      <c r="BF30" s="12">
        <f t="shared" si="43"/>
        <v>6961.4610982476888</v>
      </c>
      <c r="BG30" s="12">
        <f t="shared" si="43"/>
        <v>6996.2684037389263</v>
      </c>
      <c r="BH30" s="12">
        <f t="shared" si="43"/>
        <v>7031.2497457576201</v>
      </c>
      <c r="BI30" s="12">
        <f t="shared" si="43"/>
        <v>7066.4059944864075</v>
      </c>
      <c r="BJ30" s="12">
        <f t="shared" si="43"/>
        <v>7101.7380244588385</v>
      </c>
      <c r="BK30" s="12">
        <f t="shared" si="43"/>
        <v>7137.2467145811315</v>
      </c>
      <c r="BL30" s="12">
        <f t="shared" si="43"/>
        <v>7172.9329481540362</v>
      </c>
      <c r="BM30" s="12">
        <f t="shared" si="43"/>
        <v>7208.7976128948058</v>
      </c>
      <c r="BN30" s="12">
        <f t="shared" si="43"/>
        <v>7244.8416009592793</v>
      </c>
      <c r="BO30" s="12">
        <f t="shared" si="43"/>
        <v>7281.0658089640747</v>
      </c>
      <c r="BP30" s="12">
        <f t="shared" si="43"/>
        <v>7317.4711380088938</v>
      </c>
      <c r="BQ30" s="12">
        <f t="shared" si="43"/>
        <v>7354.0584936989371</v>
      </c>
      <c r="BR30" s="12">
        <f t="shared" si="43"/>
        <v>7390.8287861674307</v>
      </c>
      <c r="BS30" s="12">
        <f t="shared" si="43"/>
        <v>7427.7829300982667</v>
      </c>
      <c r="BT30" s="12">
        <f t="shared" si="43"/>
        <v>7464.9218447487574</v>
      </c>
      <c r="BU30" s="12">
        <f t="shared" si="43"/>
        <v>7502.2464539725006</v>
      </c>
      <c r="BV30" s="12">
        <f t="shared" si="43"/>
        <v>7539.7576862423621</v>
      </c>
      <c r="BW30" s="12">
        <f t="shared" si="43"/>
        <v>7577.4564746735732</v>
      </c>
      <c r="BX30" s="12">
        <f t="shared" si="43"/>
        <v>7615.3437570469405</v>
      </c>
      <c r="BY30" s="12">
        <f t="shared" si="43"/>
        <v>7653.4204758321748</v>
      </c>
      <c r="BZ30" s="12">
        <f t="shared" si="43"/>
        <v>7691.6875782113348</v>
      </c>
      <c r="CA30" s="12">
        <f t="shared" si="43"/>
        <v>7730.1460161023906</v>
      </c>
      <c r="CB30" s="12">
        <f t="shared" si="43"/>
        <v>7768.7967461829021</v>
      </c>
      <c r="CC30" s="12">
        <f t="shared" si="43"/>
        <v>7807.6407299138154</v>
      </c>
      <c r="CD30" s="12">
        <f t="shared" si="43"/>
        <v>7846.6789335633839</v>
      </c>
      <c r="CE30" s="12">
        <f t="shared" si="43"/>
        <v>7885.9123282312003</v>
      </c>
      <c r="CF30" s="12">
        <f t="shared" si="43"/>
        <v>7925.3418898723558</v>
      </c>
      <c r="CG30" s="12">
        <f t="shared" si="43"/>
        <v>7964.9685993217163</v>
      </c>
      <c r="CH30" s="12">
        <f t="shared" ref="CH30:DP30" si="44">CG30*($F$2+1)</f>
        <v>8004.7934423183242</v>
      </c>
      <c r="CI30" s="12">
        <f t="shared" si="44"/>
        <v>8044.8174095299146</v>
      </c>
      <c r="CJ30" s="12">
        <f t="shared" si="44"/>
        <v>8085.0414965775635</v>
      </c>
      <c r="CK30" s="12">
        <f t="shared" si="44"/>
        <v>8125.4667040604509</v>
      </c>
      <c r="CL30" s="12">
        <f t="shared" si="44"/>
        <v>8166.0940375807522</v>
      </c>
      <c r="CM30" s="12">
        <f t="shared" si="44"/>
        <v>8206.9245077686555</v>
      </c>
      <c r="CN30" s="12">
        <f t="shared" si="44"/>
        <v>8247.9591303074976</v>
      </c>
      <c r="CO30" s="12">
        <f t="shared" si="44"/>
        <v>8289.1989259590337</v>
      </c>
      <c r="CP30" s="12">
        <f t="shared" si="44"/>
        <v>8330.6449205888275</v>
      </c>
      <c r="CQ30" s="12">
        <f t="shared" si="44"/>
        <v>8372.2981451917713</v>
      </c>
      <c r="CR30" s="12">
        <f t="shared" si="44"/>
        <v>8414.1596359177292</v>
      </c>
      <c r="CS30" s="12">
        <f t="shared" si="44"/>
        <v>8456.2304340973169</v>
      </c>
      <c r="CT30" s="12">
        <f t="shared" si="44"/>
        <v>8498.5115862678031</v>
      </c>
      <c r="CU30" s="12">
        <f t="shared" si="44"/>
        <v>8541.0041441991416</v>
      </c>
      <c r="CV30" s="12">
        <f t="shared" si="44"/>
        <v>8583.7091649201357</v>
      </c>
      <c r="CW30" s="12">
        <f t="shared" si="44"/>
        <v>8626.6277107447349</v>
      </c>
      <c r="CX30" s="12">
        <f t="shared" si="44"/>
        <v>8669.7608492984582</v>
      </c>
      <c r="CY30" s="12">
        <f t="shared" si="44"/>
        <v>8713.1096535449487</v>
      </c>
      <c r="CZ30" s="12">
        <f t="shared" si="44"/>
        <v>8756.6752018126717</v>
      </c>
      <c r="DA30" s="12">
        <f t="shared" si="44"/>
        <v>8800.4585778217333</v>
      </c>
      <c r="DB30" s="12">
        <f t="shared" si="44"/>
        <v>8844.4608707108418</v>
      </c>
      <c r="DC30" s="12">
        <f t="shared" si="44"/>
        <v>8888.683175064396</v>
      </c>
      <c r="DD30" s="12">
        <f t="shared" si="44"/>
        <v>8933.1265909397171</v>
      </c>
      <c r="DE30" s="12">
        <f t="shared" si="44"/>
        <v>8977.7922238944138</v>
      </c>
      <c r="DF30" s="12">
        <f t="shared" si="44"/>
        <v>9022.6811850138856</v>
      </c>
      <c r="DG30" s="12">
        <f t="shared" si="44"/>
        <v>9067.7945909389546</v>
      </c>
      <c r="DH30" s="12">
        <f t="shared" si="44"/>
        <v>9113.1335638936489</v>
      </c>
      <c r="DI30" s="12">
        <f t="shared" si="44"/>
        <v>9158.6992317131153</v>
      </c>
      <c r="DJ30" s="12">
        <f t="shared" si="44"/>
        <v>9204.4927278716805</v>
      </c>
      <c r="DK30" s="12">
        <f t="shared" si="44"/>
        <v>9250.5151915110382</v>
      </c>
      <c r="DL30" s="12">
        <f t="shared" si="44"/>
        <v>9296.7677674685929</v>
      </c>
      <c r="DM30" s="12">
        <f t="shared" si="44"/>
        <v>9343.2516063059356</v>
      </c>
      <c r="DN30" s="12">
        <f t="shared" si="44"/>
        <v>9389.9678643374646</v>
      </c>
      <c r="DO30" s="12">
        <f t="shared" si="44"/>
        <v>9436.91770365915</v>
      </c>
      <c r="DP30" s="12">
        <f t="shared" si="44"/>
        <v>9484.1022921774456</v>
      </c>
    </row>
    <row r="31" spans="1:120" x14ac:dyDescent="0.15">
      <c r="A31" s="4" t="s">
        <v>16</v>
      </c>
      <c r="B31" s="18">
        <f>B30/B32</f>
        <v>2.0386471177828051E-2</v>
      </c>
      <c r="C31" s="18">
        <f>C30/C32</f>
        <v>-0.18823321007063651</v>
      </c>
      <c r="D31" s="18">
        <f>D30/D32</f>
        <v>-0.49441944271282473</v>
      </c>
      <c r="E31" s="18">
        <f>E30/E32</f>
        <v>-2.6435850622406636</v>
      </c>
      <c r="F31" s="18">
        <f>F30/F32</f>
        <v>-1.4174614939107126</v>
      </c>
      <c r="G31" s="45">
        <f t="shared" ref="G31:H31" si="45">G30/G32</f>
        <v>0.37522307408802374</v>
      </c>
      <c r="H31" s="45">
        <f t="shared" si="45"/>
        <v>0.51741915991316523</v>
      </c>
      <c r="I31" s="45">
        <f t="shared" ref="I31:L31" si="46">I30/I32</f>
        <v>0.68626746031832309</v>
      </c>
      <c r="J31" s="45">
        <f t="shared" si="46"/>
        <v>0.88055521670978121</v>
      </c>
      <c r="K31" s="45">
        <f t="shared" si="46"/>
        <v>1.0956268227471708</v>
      </c>
      <c r="L31" s="45">
        <f t="shared" si="46"/>
        <v>2.243923233886584</v>
      </c>
      <c r="M31" s="45">
        <f t="shared" ref="M31:T31" si="47">M30/M32</f>
        <v>3.5648411778245697</v>
      </c>
      <c r="N31" s="45">
        <f t="shared" si="47"/>
        <v>5.0795327654406384</v>
      </c>
      <c r="O31" s="45">
        <f t="shared" si="47"/>
        <v>6.8114873016745383</v>
      </c>
      <c r="P31" s="45">
        <f t="shared" si="47"/>
        <v>8.7867775728040307</v>
      </c>
      <c r="Q31" s="45">
        <f t="shared" si="47"/>
        <v>11.034331447252628</v>
      </c>
      <c r="R31" s="45">
        <f t="shared" si="47"/>
        <v>13.586231358038029</v>
      </c>
      <c r="S31" s="45">
        <f t="shared" si="47"/>
        <v>16.478044493725456</v>
      </c>
      <c r="T31" s="45">
        <f t="shared" si="47"/>
        <v>19.749186809480804</v>
      </c>
      <c r="U31" s="45">
        <f t="shared" ref="U31" si="48">U30/U32</f>
        <v>23.443324283128636</v>
      </c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</row>
    <row r="32" spans="1:120" x14ac:dyDescent="0.15">
      <c r="A32" s="4" t="s">
        <v>17</v>
      </c>
      <c r="B32" s="14">
        <f>Reports!E24</f>
        <v>214.505</v>
      </c>
      <c r="C32" s="14">
        <f>Reports!I24</f>
        <v>225.80500000000001</v>
      </c>
      <c r="D32" s="14">
        <f>Reports!M24</f>
        <v>234.20599999999999</v>
      </c>
      <c r="E32" s="14">
        <f>Reports!Q24</f>
        <v>241</v>
      </c>
      <c r="F32" s="14">
        <f>Reports!U24</f>
        <v>246.90899999999999</v>
      </c>
      <c r="G32" s="14">
        <f t="shared" ref="G32" si="49">F32</f>
        <v>246.90899999999999</v>
      </c>
      <c r="H32" s="14">
        <f t="shared" ref="H32" si="50">G32</f>
        <v>246.90899999999999</v>
      </c>
      <c r="I32" s="14">
        <f t="shared" ref="I32" si="51">H32</f>
        <v>246.90899999999999</v>
      </c>
      <c r="J32" s="14">
        <f t="shared" ref="J32" si="52">I32</f>
        <v>246.90899999999999</v>
      </c>
      <c r="K32" s="14">
        <f t="shared" ref="K32" si="53">J32</f>
        <v>246.90899999999999</v>
      </c>
      <c r="L32" s="14">
        <f t="shared" ref="L32" si="54">K32</f>
        <v>246.90899999999999</v>
      </c>
      <c r="M32" s="14">
        <f t="shared" ref="M32" si="55">L32</f>
        <v>246.90899999999999</v>
      </c>
      <c r="N32" s="14">
        <f t="shared" ref="N32" si="56">M32</f>
        <v>246.90899999999999</v>
      </c>
      <c r="O32" s="14">
        <f t="shared" ref="O32" si="57">N32</f>
        <v>246.90899999999999</v>
      </c>
      <c r="P32" s="14">
        <f t="shared" ref="P32" si="58">O32</f>
        <v>246.90899999999999</v>
      </c>
      <c r="Q32" s="14">
        <f t="shared" ref="Q32" si="59">P32</f>
        <v>246.90899999999999</v>
      </c>
      <c r="R32" s="14">
        <f t="shared" ref="R32" si="60">Q32</f>
        <v>246.90899999999999</v>
      </c>
      <c r="S32" s="14">
        <f t="shared" ref="S32" si="61">R32</f>
        <v>246.90899999999999</v>
      </c>
      <c r="T32" s="14">
        <f t="shared" ref="T32:U32" si="62">S32</f>
        <v>246.90899999999999</v>
      </c>
      <c r="U32" s="14">
        <f t="shared" si="62"/>
        <v>246.90899999999999</v>
      </c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</row>
    <row r="33" spans="1:120" x14ac:dyDescent="0.15"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</row>
    <row r="34" spans="1:120" x14ac:dyDescent="0.15">
      <c r="A34" s="4" t="s">
        <v>19</v>
      </c>
      <c r="B34" s="25">
        <f t="shared" ref="B34:T34" si="63">IFERROR(B21/B19,0)</f>
        <v>0.83419390974449625</v>
      </c>
      <c r="C34" s="25">
        <f t="shared" si="63"/>
        <v>0.80778499716099728</v>
      </c>
      <c r="D34" s="25">
        <f t="shared" si="63"/>
        <v>0.8032166314935435</v>
      </c>
      <c r="E34" s="25">
        <f t="shared" si="63"/>
        <v>0.82639497546964547</v>
      </c>
      <c r="F34" s="25">
        <f t="shared" si="63"/>
        <v>0.83345530347016916</v>
      </c>
      <c r="G34" s="25">
        <f t="shared" si="63"/>
        <v>0.83345530347016916</v>
      </c>
      <c r="H34" s="25">
        <f t="shared" si="63"/>
        <v>0.83345530347016916</v>
      </c>
      <c r="I34" s="25">
        <f t="shared" si="63"/>
        <v>0.83345530347016927</v>
      </c>
      <c r="J34" s="25">
        <f t="shared" si="63"/>
        <v>0.83345530347016927</v>
      </c>
      <c r="K34" s="25">
        <f t="shared" si="63"/>
        <v>0.83345530347016927</v>
      </c>
      <c r="L34" s="25">
        <f t="shared" si="63"/>
        <v>0.83345530347016916</v>
      </c>
      <c r="M34" s="25">
        <f t="shared" si="63"/>
        <v>0.83345530347016916</v>
      </c>
      <c r="N34" s="25">
        <f t="shared" si="63"/>
        <v>0.83345530347016916</v>
      </c>
      <c r="O34" s="25">
        <f t="shared" si="63"/>
        <v>0.83345530347016916</v>
      </c>
      <c r="P34" s="25">
        <f t="shared" si="63"/>
        <v>0.83345530347016916</v>
      </c>
      <c r="Q34" s="25">
        <f t="shared" si="63"/>
        <v>0.83345530347016916</v>
      </c>
      <c r="R34" s="25">
        <f t="shared" si="63"/>
        <v>0.83345530347016916</v>
      </c>
      <c r="S34" s="25">
        <f t="shared" si="63"/>
        <v>0.83345530347016916</v>
      </c>
      <c r="T34" s="25">
        <f t="shared" si="63"/>
        <v>0.83345530347016927</v>
      </c>
      <c r="U34" s="25">
        <f t="shared" ref="U34" si="64">IFERROR(U21/U19,0)</f>
        <v>0.83345530347016927</v>
      </c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</row>
    <row r="35" spans="1:120" x14ac:dyDescent="0.15">
      <c r="A35" s="4" t="s">
        <v>20</v>
      </c>
      <c r="B35" s="28">
        <f t="shared" ref="B35:T35" si="65">IFERROR(B26/B19,0)</f>
        <v>-1.2864888044843441E-2</v>
      </c>
      <c r="C35" s="28">
        <f t="shared" si="65"/>
        <v>-0.10176211737985869</v>
      </c>
      <c r="D35" s="28">
        <f t="shared" si="65"/>
        <v>-5.6370817399072688E-2</v>
      </c>
      <c r="E35" s="28">
        <f t="shared" si="65"/>
        <v>-5.1975108649768904E-2</v>
      </c>
      <c r="F35" s="28">
        <f t="shared" si="65"/>
        <v>9.3048445794755869E-3</v>
      </c>
      <c r="G35" s="28">
        <f t="shared" si="65"/>
        <v>2.2359383929493121E-2</v>
      </c>
      <c r="H35" s="28">
        <f t="shared" si="65"/>
        <v>3.1876441189254159E-2</v>
      </c>
      <c r="I35" s="28">
        <f t="shared" si="65"/>
        <v>3.8257434831348143E-2</v>
      </c>
      <c r="J35" s="28">
        <f t="shared" si="65"/>
        <v>4.1849873971756185E-2</v>
      </c>
      <c r="K35" s="28">
        <f t="shared" si="65"/>
        <v>4.2954345830221577E-2</v>
      </c>
      <c r="L35" s="28">
        <f t="shared" si="65"/>
        <v>9.4704332192040358E-2</v>
      </c>
      <c r="M35" s="28">
        <f t="shared" si="65"/>
        <v>0.14237643284822238</v>
      </c>
      <c r="N35" s="28">
        <f t="shared" si="65"/>
        <v>0.18634425499610907</v>
      </c>
      <c r="O35" s="28">
        <f t="shared" si="65"/>
        <v>0.22694388745976182</v>
      </c>
      <c r="P35" s="28">
        <f t="shared" si="65"/>
        <v>0.26447784638634131</v>
      </c>
      <c r="Q35" s="28">
        <f t="shared" si="65"/>
        <v>0.29921859719456706</v>
      </c>
      <c r="R35" s="28">
        <f t="shared" si="65"/>
        <v>0.33141169869813575</v>
      </c>
      <c r="S35" s="28">
        <f t="shared" si="65"/>
        <v>0.3612786103310317</v>
      </c>
      <c r="T35" s="28">
        <f t="shared" si="65"/>
        <v>0.38901919895011017</v>
      </c>
      <c r="U35" s="28">
        <f t="shared" ref="U35" si="66">IFERROR(U26/U19,0)</f>
        <v>0.41481397772378958</v>
      </c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</row>
    <row r="36" spans="1:120" x14ac:dyDescent="0.15">
      <c r="A36" s="4" t="s">
        <v>21</v>
      </c>
      <c r="B36" s="28">
        <f t="shared" ref="B36:T36" si="67">IFERROR(B29/B28,0)</f>
        <v>1.8911758712044038</v>
      </c>
      <c r="C36" s="28">
        <f t="shared" si="67"/>
        <v>0.28746731040032153</v>
      </c>
      <c r="D36" s="28">
        <f t="shared" si="67"/>
        <v>-0.88117943302737645</v>
      </c>
      <c r="E36" s="28">
        <f t="shared" si="67"/>
        <v>-5.3597356679576776E-2</v>
      </c>
      <c r="F36" s="28">
        <f t="shared" si="67"/>
        <v>-1.4493425782065248E-2</v>
      </c>
      <c r="G36" s="28">
        <f t="shared" si="67"/>
        <v>0.15</v>
      </c>
      <c r="H36" s="28">
        <f t="shared" si="67"/>
        <v>0.15</v>
      </c>
      <c r="I36" s="28">
        <f t="shared" si="67"/>
        <v>0.15</v>
      </c>
      <c r="J36" s="28">
        <f t="shared" si="67"/>
        <v>0.15</v>
      </c>
      <c r="K36" s="28">
        <f t="shared" si="67"/>
        <v>0.15</v>
      </c>
      <c r="L36" s="28">
        <f t="shared" si="67"/>
        <v>0.15</v>
      </c>
      <c r="M36" s="28">
        <f t="shared" si="67"/>
        <v>0.15</v>
      </c>
      <c r="N36" s="28">
        <f t="shared" si="67"/>
        <v>0.15</v>
      </c>
      <c r="O36" s="28">
        <f t="shared" si="67"/>
        <v>0.15</v>
      </c>
      <c r="P36" s="28">
        <f t="shared" si="67"/>
        <v>0.15</v>
      </c>
      <c r="Q36" s="28">
        <f t="shared" si="67"/>
        <v>0.15</v>
      </c>
      <c r="R36" s="28">
        <f t="shared" si="67"/>
        <v>0.15</v>
      </c>
      <c r="S36" s="28">
        <f t="shared" si="67"/>
        <v>0.15</v>
      </c>
      <c r="T36" s="28">
        <f t="shared" si="67"/>
        <v>0.15</v>
      </c>
      <c r="U36" s="28">
        <f t="shared" ref="U36" si="68">IFERROR(U29/U28,0)</f>
        <v>0.15</v>
      </c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</row>
    <row r="37" spans="1:120" x14ac:dyDescent="0.15"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</row>
    <row r="38" spans="1:120" x14ac:dyDescent="0.15">
      <c r="A38" s="11" t="s">
        <v>18</v>
      </c>
      <c r="B38" s="48"/>
      <c r="C38" s="49">
        <f t="shared" ref="C38:U38" si="69">C19/B19-1</f>
        <v>0.35636177465442032</v>
      </c>
      <c r="D38" s="49">
        <f t="shared" si="69"/>
        <v>0.41557193000567816</v>
      </c>
      <c r="E38" s="49">
        <f t="shared" si="69"/>
        <v>0.3794332948935919</v>
      </c>
      <c r="F38" s="49">
        <f t="shared" si="69"/>
        <v>0.33310891576576096</v>
      </c>
      <c r="G38" s="49">
        <f t="shared" si="69"/>
        <v>0.2649999999999999</v>
      </c>
      <c r="H38" s="49">
        <f t="shared" si="69"/>
        <v>0.26500000000000012</v>
      </c>
      <c r="I38" s="49">
        <f t="shared" si="69"/>
        <v>0.26499999999999968</v>
      </c>
      <c r="J38" s="49">
        <f t="shared" si="69"/>
        <v>0.26500000000000012</v>
      </c>
      <c r="K38" s="49">
        <f t="shared" si="69"/>
        <v>0.26500000000000012</v>
      </c>
      <c r="L38" s="49">
        <f t="shared" si="69"/>
        <v>0.10000000000000009</v>
      </c>
      <c r="M38" s="49">
        <f t="shared" si="69"/>
        <v>0.10000000000000009</v>
      </c>
      <c r="N38" s="49">
        <f t="shared" si="69"/>
        <v>0.10000000000000009</v>
      </c>
      <c r="O38" s="49">
        <f t="shared" si="69"/>
        <v>0.10000000000000009</v>
      </c>
      <c r="P38" s="49">
        <f t="shared" si="69"/>
        <v>0.10000000000000009</v>
      </c>
      <c r="Q38" s="49">
        <f t="shared" si="69"/>
        <v>0.10000000000000009</v>
      </c>
      <c r="R38" s="49">
        <f t="shared" si="69"/>
        <v>0.10000000000000009</v>
      </c>
      <c r="S38" s="49">
        <f t="shared" si="69"/>
        <v>0.10000000000000009</v>
      </c>
      <c r="T38" s="49">
        <f t="shared" si="69"/>
        <v>0.10000000000000009</v>
      </c>
      <c r="U38" s="49">
        <f t="shared" si="69"/>
        <v>0.10000000000000009</v>
      </c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</row>
    <row r="39" spans="1:120" x14ac:dyDescent="0.15">
      <c r="A39" s="4" t="s">
        <v>38</v>
      </c>
      <c r="B39" s="48"/>
      <c r="C39" s="28">
        <f t="shared" ref="C39:U39" si="70">C22/B22-1</f>
        <v>0.48900655766036505</v>
      </c>
      <c r="D39" s="28">
        <f t="shared" si="70"/>
        <v>0.34048212426128965</v>
      </c>
      <c r="E39" s="28">
        <f t="shared" si="70"/>
        <v>0.39212701069806832</v>
      </c>
      <c r="F39" s="28">
        <f t="shared" si="70"/>
        <v>0.31821503663532091</v>
      </c>
      <c r="G39" s="28">
        <f t="shared" si="70"/>
        <v>0.30000000000000004</v>
      </c>
      <c r="H39" s="28">
        <f t="shared" si="70"/>
        <v>0.30000000000000004</v>
      </c>
      <c r="I39" s="28">
        <f t="shared" si="70"/>
        <v>0.30000000000000004</v>
      </c>
      <c r="J39" s="28">
        <f t="shared" si="70"/>
        <v>0.30000000000000004</v>
      </c>
      <c r="K39" s="28">
        <f t="shared" si="70"/>
        <v>0.30000000000000004</v>
      </c>
      <c r="L39" s="28">
        <f t="shared" si="70"/>
        <v>5.0000000000000044E-2</v>
      </c>
      <c r="M39" s="28">
        <f t="shared" si="70"/>
        <v>5.0000000000000044E-2</v>
      </c>
      <c r="N39" s="28">
        <f t="shared" si="70"/>
        <v>5.0000000000000044E-2</v>
      </c>
      <c r="O39" s="28">
        <f t="shared" si="70"/>
        <v>5.0000000000000044E-2</v>
      </c>
      <c r="P39" s="28">
        <f t="shared" si="70"/>
        <v>5.0000000000000044E-2</v>
      </c>
      <c r="Q39" s="28">
        <f t="shared" si="70"/>
        <v>5.0000000000000044E-2</v>
      </c>
      <c r="R39" s="28">
        <f t="shared" si="70"/>
        <v>5.0000000000000044E-2</v>
      </c>
      <c r="S39" s="28">
        <f t="shared" si="70"/>
        <v>5.0000000000000044E-2</v>
      </c>
      <c r="T39" s="28">
        <f t="shared" si="70"/>
        <v>5.0000000000000044E-2</v>
      </c>
      <c r="U39" s="28">
        <f t="shared" si="70"/>
        <v>5.0000000000000044E-2</v>
      </c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</row>
    <row r="40" spans="1:120" x14ac:dyDescent="0.15">
      <c r="A40" s="4" t="s">
        <v>39</v>
      </c>
      <c r="B40" s="48"/>
      <c r="C40" s="28">
        <f t="shared" ref="C40:U40" si="71">C23/B23-1</f>
        <v>0.44455033140238354</v>
      </c>
      <c r="D40" s="28">
        <f t="shared" si="71"/>
        <v>0.38853885610934835</v>
      </c>
      <c r="E40" s="28">
        <f t="shared" si="71"/>
        <v>0.43470439076471368</v>
      </c>
      <c r="F40" s="28">
        <f t="shared" si="71"/>
        <v>0.11253330158210439</v>
      </c>
      <c r="G40" s="28">
        <f t="shared" si="71"/>
        <v>0.10000000000000009</v>
      </c>
      <c r="H40" s="28">
        <f t="shared" si="71"/>
        <v>0.10000000000000009</v>
      </c>
      <c r="I40" s="28">
        <f t="shared" si="71"/>
        <v>0.10000000000000009</v>
      </c>
      <c r="J40" s="28">
        <f t="shared" si="71"/>
        <v>0.10000000000000009</v>
      </c>
      <c r="K40" s="28">
        <f t="shared" si="71"/>
        <v>0.10000000000000009</v>
      </c>
      <c r="L40" s="28">
        <f t="shared" si="71"/>
        <v>-2.0000000000000018E-2</v>
      </c>
      <c r="M40" s="28">
        <f t="shared" si="71"/>
        <v>-2.0000000000000018E-2</v>
      </c>
      <c r="N40" s="28">
        <f t="shared" si="71"/>
        <v>-2.0000000000000018E-2</v>
      </c>
      <c r="O40" s="28">
        <f t="shared" si="71"/>
        <v>-2.0000000000000018E-2</v>
      </c>
      <c r="P40" s="28">
        <f t="shared" si="71"/>
        <v>-2.0000000000000018E-2</v>
      </c>
      <c r="Q40" s="28">
        <f t="shared" si="71"/>
        <v>-2.0000000000000018E-2</v>
      </c>
      <c r="R40" s="28">
        <f t="shared" si="71"/>
        <v>-2.0000000000000129E-2</v>
      </c>
      <c r="S40" s="28">
        <f t="shared" si="71"/>
        <v>-1.9999999999999907E-2</v>
      </c>
      <c r="T40" s="28">
        <f t="shared" si="71"/>
        <v>-2.0000000000000018E-2</v>
      </c>
      <c r="U40" s="28">
        <f t="shared" si="71"/>
        <v>-2.0000000000000018E-2</v>
      </c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</row>
    <row r="41" spans="1:120" x14ac:dyDescent="0.15">
      <c r="A41" s="4" t="s">
        <v>40</v>
      </c>
      <c r="B41" s="48"/>
      <c r="C41" s="28">
        <f t="shared" ref="C41:U41" si="72">C24/B24-1</f>
        <v>0.38996934166491126</v>
      </c>
      <c r="D41" s="28">
        <f t="shared" si="72"/>
        <v>0.27325228987068972</v>
      </c>
      <c r="E41" s="28">
        <f t="shared" si="72"/>
        <v>0.42641594266143024</v>
      </c>
      <c r="F41" s="28">
        <f t="shared" si="72"/>
        <v>0.24227057394754636</v>
      </c>
      <c r="G41" s="28">
        <f t="shared" si="72"/>
        <v>0.25</v>
      </c>
      <c r="H41" s="28">
        <f t="shared" si="72"/>
        <v>0.25</v>
      </c>
      <c r="I41" s="28">
        <f t="shared" si="72"/>
        <v>0.25</v>
      </c>
      <c r="J41" s="28">
        <f t="shared" si="72"/>
        <v>0.25</v>
      </c>
      <c r="K41" s="28">
        <f t="shared" si="72"/>
        <v>0.25</v>
      </c>
      <c r="L41" s="28">
        <f t="shared" si="72"/>
        <v>-2.0000000000000018E-2</v>
      </c>
      <c r="M41" s="28">
        <f t="shared" si="72"/>
        <v>-2.0000000000000018E-2</v>
      </c>
      <c r="N41" s="28">
        <f t="shared" si="72"/>
        <v>-2.0000000000000129E-2</v>
      </c>
      <c r="O41" s="28">
        <f t="shared" si="72"/>
        <v>-2.0000000000000018E-2</v>
      </c>
      <c r="P41" s="28">
        <f t="shared" si="72"/>
        <v>-2.0000000000000018E-2</v>
      </c>
      <c r="Q41" s="28">
        <f t="shared" si="72"/>
        <v>-2.0000000000000018E-2</v>
      </c>
      <c r="R41" s="28">
        <f t="shared" si="72"/>
        <v>-2.0000000000000129E-2</v>
      </c>
      <c r="S41" s="28">
        <f t="shared" si="72"/>
        <v>-2.0000000000000018E-2</v>
      </c>
      <c r="T41" s="28">
        <f t="shared" si="72"/>
        <v>-2.0000000000000129E-2</v>
      </c>
      <c r="U41" s="28">
        <f t="shared" si="72"/>
        <v>-2.0000000000000018E-2</v>
      </c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</row>
    <row r="42" spans="1:120" x14ac:dyDescent="0.15"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</row>
    <row r="43" spans="1:120" x14ac:dyDescent="0.15">
      <c r="A43" s="11" t="s">
        <v>26</v>
      </c>
      <c r="C43" s="12">
        <f>C44-C45</f>
        <v>549.91899999999998</v>
      </c>
      <c r="D43" s="12">
        <f>D44-D45</f>
        <v>913.83600000000001</v>
      </c>
      <c r="E43" s="12">
        <f>E44-E45</f>
        <v>859</v>
      </c>
      <c r="F43" s="12">
        <f>F44-F45</f>
        <v>1267</v>
      </c>
      <c r="G43" s="31">
        <f t="shared" ref="G43:U43" si="73">F43+G30</f>
        <v>1359.6459539999998</v>
      </c>
      <c r="H43" s="31">
        <f t="shared" si="73"/>
        <v>1487.4014013549995</v>
      </c>
      <c r="I43" s="31">
        <f t="shared" si="73"/>
        <v>1656.8470137147362</v>
      </c>
      <c r="J43" s="31">
        <f t="shared" si="73"/>
        <v>1874.2640217173316</v>
      </c>
      <c r="K43" s="31">
        <f t="shared" si="73"/>
        <v>2144.784144895013</v>
      </c>
      <c r="L43" s="31">
        <f t="shared" si="73"/>
        <v>2698.8289866507157</v>
      </c>
      <c r="M43" s="31">
        <f t="shared" si="73"/>
        <v>3579.0203570262024</v>
      </c>
      <c r="N43" s="31">
        <f t="shared" si="73"/>
        <v>4833.2027126083849</v>
      </c>
      <c r="O43" s="31">
        <f t="shared" si="73"/>
        <v>6515.0202307775435</v>
      </c>
      <c r="P43" s="31">
        <f t="shared" si="73"/>
        <v>8684.5546945010137</v>
      </c>
      <c r="Q43" s="31">
        <f t="shared" si="73"/>
        <v>11409.030437810712</v>
      </c>
      <c r="R43" s="31">
        <f t="shared" si="73"/>
        <v>14763.593236192524</v>
      </c>
      <c r="S43" s="31">
        <f t="shared" si="73"/>
        <v>18832.170724093783</v>
      </c>
      <c r="T43" s="31">
        <f t="shared" si="73"/>
        <v>23708.422690035877</v>
      </c>
      <c r="U43" s="31">
        <f t="shared" si="73"/>
        <v>29496.790445458886</v>
      </c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</row>
    <row r="44" spans="1:120" x14ac:dyDescent="0.15">
      <c r="A44" s="4" t="s">
        <v>27</v>
      </c>
      <c r="C44" s="44">
        <f>Reports!I36</f>
        <v>549.91899999999998</v>
      </c>
      <c r="D44" s="44">
        <f>Reports!M36</f>
        <v>1733.473</v>
      </c>
      <c r="E44" s="44">
        <f>Reports!Q36</f>
        <v>1713</v>
      </c>
      <c r="F44" s="44">
        <f>Reports!U36</f>
        <v>2156</v>
      </c>
    </row>
    <row r="45" spans="1:120" x14ac:dyDescent="0.15">
      <c r="A45" s="4" t="s">
        <v>28</v>
      </c>
      <c r="C45" s="44">
        <f>Reports!I37</f>
        <v>0</v>
      </c>
      <c r="D45" s="44">
        <f>Reports!M37</f>
        <v>819.63699999999994</v>
      </c>
      <c r="E45" s="44">
        <f>Reports!Q37</f>
        <v>854</v>
      </c>
      <c r="F45" s="44">
        <f>Reports!U37</f>
        <v>889</v>
      </c>
    </row>
    <row r="46" spans="1:120" x14ac:dyDescent="0.15"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</row>
    <row r="47" spans="1:120" x14ac:dyDescent="0.15">
      <c r="A47" s="44" t="s">
        <v>68</v>
      </c>
      <c r="C47" s="44">
        <f>Reports!I39</f>
        <v>432.68899999999996</v>
      </c>
      <c r="D47" s="44">
        <f>Reports!M39</f>
        <v>375.52</v>
      </c>
      <c r="E47" s="44">
        <f>Reports!Q39</f>
        <v>760</v>
      </c>
      <c r="F47" s="44">
        <f>Reports!U39</f>
        <v>775</v>
      </c>
    </row>
    <row r="48" spans="1:120" x14ac:dyDescent="0.15">
      <c r="A48" s="44" t="s">
        <v>69</v>
      </c>
      <c r="C48" s="44">
        <f>Reports!I40</f>
        <v>1283.8579999999999</v>
      </c>
      <c r="D48" s="44">
        <f>Reports!M40</f>
        <v>2421.828</v>
      </c>
      <c r="E48" s="44">
        <f>Reports!Q40</f>
        <v>2977</v>
      </c>
      <c r="F48" s="44">
        <f>Reports!U40</f>
        <v>3894</v>
      </c>
    </row>
    <row r="49" spans="1:11" x14ac:dyDescent="0.15">
      <c r="A49" s="44" t="s">
        <v>70</v>
      </c>
      <c r="C49" s="44">
        <f>Reports!I41</f>
        <v>389.81</v>
      </c>
      <c r="D49" s="44">
        <f>Reports!M41</f>
        <v>1514.508</v>
      </c>
      <c r="E49" s="44">
        <f>Reports!Q41</f>
        <v>2412</v>
      </c>
      <c r="F49" s="44">
        <f>Reports!U41</f>
        <v>3319</v>
      </c>
    </row>
    <row r="51" spans="1:11" x14ac:dyDescent="0.15">
      <c r="A51" s="4" t="s">
        <v>71</v>
      </c>
      <c r="C51" s="66">
        <f>C48-C47-C44</f>
        <v>301.25</v>
      </c>
      <c r="D51" s="66">
        <f>D48-D47-D44</f>
        <v>312.83500000000004</v>
      </c>
      <c r="E51" s="66">
        <f>E48-E47-E44</f>
        <v>504</v>
      </c>
      <c r="F51" s="66">
        <f>F48-F47-F44</f>
        <v>963</v>
      </c>
    </row>
    <row r="52" spans="1:11" x14ac:dyDescent="0.15">
      <c r="A52" s="4" t="s">
        <v>72</v>
      </c>
      <c r="C52" s="66">
        <f>C48-C49</f>
        <v>894.048</v>
      </c>
      <c r="D52" s="66">
        <f>D48-D49</f>
        <v>907.31999999999994</v>
      </c>
      <c r="E52" s="66">
        <f>E48-E49</f>
        <v>565</v>
      </c>
      <c r="F52" s="66">
        <f>F48-F49</f>
        <v>575</v>
      </c>
    </row>
    <row r="54" spans="1:11" x14ac:dyDescent="0.15">
      <c r="A54" s="4" t="s">
        <v>73</v>
      </c>
      <c r="D54" s="43">
        <f>D30/D52</f>
        <v>-0.12762421196490745</v>
      </c>
      <c r="E54" s="43">
        <f>E30/E52</f>
        <v>-1.1276176991150442</v>
      </c>
      <c r="F54" s="43">
        <f>F30/F52</f>
        <v>-0.6086678260869568</v>
      </c>
    </row>
    <row r="55" spans="1:11" x14ac:dyDescent="0.15">
      <c r="A55" s="4" t="s">
        <v>74</v>
      </c>
      <c r="D55" s="43">
        <f>D30/D48</f>
        <v>-4.781346982527241E-2</v>
      </c>
      <c r="E55" s="43">
        <f>E30/E48</f>
        <v>-0.21400873362445413</v>
      </c>
      <c r="F55" s="43">
        <f>F30/F48</f>
        <v>-8.9877760657421715E-2</v>
      </c>
    </row>
    <row r="56" spans="1:11" x14ac:dyDescent="0.15">
      <c r="A56" s="4" t="s">
        <v>75</v>
      </c>
      <c r="D56" s="43">
        <f>D30/(D52-D47)</f>
        <v>-0.21774351259872102</v>
      </c>
      <c r="E56" s="43">
        <f>E30/(E52-E47)</f>
        <v>3.2671999999999994</v>
      </c>
      <c r="F56" s="43">
        <f>F30/(F52-F47)</f>
        <v>1.7499200000000008</v>
      </c>
    </row>
    <row r="57" spans="1:11" x14ac:dyDescent="0.15">
      <c r="A57" s="4" t="s">
        <v>76</v>
      </c>
      <c r="D57" s="43">
        <f>D30/D51</f>
        <v>-0.37015039877251527</v>
      </c>
      <c r="E57" s="43">
        <f>E30/E51</f>
        <v>-1.2640952380952379</v>
      </c>
      <c r="F57" s="43">
        <f>F30/F51</f>
        <v>-0.36343094496365541</v>
      </c>
    </row>
    <row r="59" spans="1:11" x14ac:dyDescent="0.15">
      <c r="A59" s="4" t="s">
        <v>77</v>
      </c>
      <c r="C59" s="43">
        <f t="shared" ref="C59:D62" si="74">C11/B11-1</f>
        <v>0.65095902740370515</v>
      </c>
      <c r="D59" s="43">
        <f t="shared" si="74"/>
        <v>0.68149904182911536</v>
      </c>
      <c r="E59" s="43">
        <f t="shared" ref="E59:K59" si="75">E11/D11-1</f>
        <v>0.55729261331538682</v>
      </c>
      <c r="F59" s="43">
        <f t="shared" si="75"/>
        <v>0.46894562270418083</v>
      </c>
      <c r="G59" s="43">
        <f t="shared" si="75"/>
        <v>0.44999999999999996</v>
      </c>
      <c r="H59" s="43">
        <f t="shared" si="75"/>
        <v>0.44999999999999996</v>
      </c>
      <c r="I59" s="43">
        <f t="shared" si="75"/>
        <v>0.44999999999999996</v>
      </c>
      <c r="J59" s="43">
        <f t="shared" si="75"/>
        <v>0.44999999999999996</v>
      </c>
      <c r="K59" s="43">
        <f t="shared" si="75"/>
        <v>0.44999999999999996</v>
      </c>
    </row>
    <row r="60" spans="1:11" x14ac:dyDescent="0.15">
      <c r="A60" s="4" t="s">
        <v>78</v>
      </c>
      <c r="C60" s="43">
        <f t="shared" si="74"/>
        <v>0.21326674221377373</v>
      </c>
      <c r="D60" s="43">
        <f t="shared" si="74"/>
        <v>0.2275074287909431</v>
      </c>
      <c r="E60" s="43">
        <f t="shared" ref="E60:K60" si="76">E12/D12-1</f>
        <v>0.21118096272501075</v>
      </c>
      <c r="F60" s="43">
        <f t="shared" si="76"/>
        <v>0.1887734035196158</v>
      </c>
      <c r="G60" s="43">
        <f t="shared" si="76"/>
        <v>0.17999999999999994</v>
      </c>
      <c r="H60" s="43">
        <f t="shared" si="76"/>
        <v>0.17999999999999994</v>
      </c>
      <c r="I60" s="43">
        <f t="shared" si="76"/>
        <v>0.17999999999999994</v>
      </c>
      <c r="J60" s="43">
        <f t="shared" si="76"/>
        <v>0.17999999999999994</v>
      </c>
      <c r="K60" s="43">
        <f t="shared" si="76"/>
        <v>0.17999999999999994</v>
      </c>
    </row>
    <row r="61" spans="1:11" x14ac:dyDescent="0.15">
      <c r="A61" s="4" t="s">
        <v>79</v>
      </c>
      <c r="C61" s="43">
        <f t="shared" si="74"/>
        <v>0.13862293279582216</v>
      </c>
      <c r="D61" s="43">
        <f t="shared" si="74"/>
        <v>0.13564004559780041</v>
      </c>
      <c r="E61" s="43">
        <f t="shared" ref="E61:K61" si="77">E13/D13-1</f>
        <v>0.10734656762597594</v>
      </c>
      <c r="F61" s="43">
        <f t="shared" si="77"/>
        <v>1.7585769284091723E-2</v>
      </c>
      <c r="G61" s="43">
        <f t="shared" si="77"/>
        <v>5.0000000000000044E-2</v>
      </c>
      <c r="H61" s="43">
        <f t="shared" si="77"/>
        <v>5.0000000000000044E-2</v>
      </c>
      <c r="I61" s="43">
        <f t="shared" si="77"/>
        <v>5.0000000000000044E-2</v>
      </c>
      <c r="J61" s="43">
        <f t="shared" si="77"/>
        <v>5.0000000000000044E-2</v>
      </c>
      <c r="K61" s="43">
        <f t="shared" si="77"/>
        <v>5.0000000000000044E-2</v>
      </c>
    </row>
    <row r="62" spans="1:11" x14ac:dyDescent="0.15">
      <c r="A62" s="4" t="s">
        <v>80</v>
      </c>
      <c r="C62" s="43">
        <f t="shared" si="74"/>
        <v>0.44728360957642699</v>
      </c>
      <c r="D62" s="43">
        <f t="shared" si="74"/>
        <v>0.58575897354329065</v>
      </c>
      <c r="E62" s="43">
        <f t="shared" ref="E62:K62" si="78">E14/D14-1</f>
        <v>0.47079474405697286</v>
      </c>
      <c r="F62" s="43">
        <f t="shared" si="78"/>
        <v>0.33809956808365538</v>
      </c>
      <c r="G62" s="43">
        <f t="shared" si="78"/>
        <v>0.30000000000000004</v>
      </c>
      <c r="H62" s="43">
        <f t="shared" si="78"/>
        <v>0.30000000000000004</v>
      </c>
      <c r="I62" s="43">
        <f t="shared" si="78"/>
        <v>0.30000000000000004</v>
      </c>
      <c r="J62" s="43">
        <f t="shared" si="78"/>
        <v>0.30000000000000004</v>
      </c>
      <c r="K62" s="43">
        <f t="shared" si="78"/>
        <v>0.30000000000000004</v>
      </c>
    </row>
    <row r="64" spans="1:11" s="44" customFormat="1" x14ac:dyDescent="0.15">
      <c r="A64" s="44" t="s">
        <v>81</v>
      </c>
      <c r="C64" s="44">
        <f>Reports!I57</f>
        <v>89237</v>
      </c>
      <c r="D64" s="44">
        <f>Reports!M57</f>
        <v>125796</v>
      </c>
      <c r="E64" s="44">
        <f>Reports!Q57</f>
        <v>152727</v>
      </c>
      <c r="F64" s="44">
        <f>Reports!U57</f>
        <v>174097</v>
      </c>
      <c r="G64" s="44">
        <f>G16*1000000</f>
        <v>200211.55</v>
      </c>
      <c r="H64" s="44">
        <f>H16*1000000</f>
        <v>230243.28249999997</v>
      </c>
      <c r="I64" s="44">
        <f>I16*1000000</f>
        <v>264779.77487499994</v>
      </c>
      <c r="J64" s="44">
        <f>J16*1000000</f>
        <v>304496.74110624992</v>
      </c>
      <c r="K64" s="44">
        <f>K16*1000000</f>
        <v>350171.25227218738</v>
      </c>
    </row>
    <row r="65" spans="1:11" s="43" customFormat="1" x14ac:dyDescent="0.15">
      <c r="A65" s="43" t="s">
        <v>88</v>
      </c>
      <c r="D65" s="43">
        <f>D16/C16-1</f>
        <v>0.40968432376704733</v>
      </c>
      <c r="E65" s="43">
        <f t="shared" ref="E65:K65" si="79">E16/D16-1</f>
        <v>0.21408470857578954</v>
      </c>
      <c r="F65" s="43">
        <f t="shared" si="79"/>
        <v>0.13992286890988503</v>
      </c>
      <c r="G65" s="43">
        <f>G16/F16-1</f>
        <v>0.14999999999999991</v>
      </c>
      <c r="H65" s="43">
        <f t="shared" si="79"/>
        <v>0.14999999999999991</v>
      </c>
      <c r="I65" s="43">
        <f t="shared" si="79"/>
        <v>0.14999999999999969</v>
      </c>
      <c r="J65" s="43">
        <f t="shared" si="79"/>
        <v>0.14999999999999991</v>
      </c>
      <c r="K65" s="43">
        <f t="shared" si="79"/>
        <v>0.14999999999999991</v>
      </c>
    </row>
    <row r="67" spans="1:11" s="34" customFormat="1" x14ac:dyDescent="0.15">
      <c r="A67" s="34" t="s">
        <v>115</v>
      </c>
      <c r="D67" s="43">
        <f>D17/C17-1</f>
        <v>4.1765423218282915E-3</v>
      </c>
      <c r="E67" s="43">
        <f t="shared" ref="E67:K67" si="80">E17/D17-1</f>
        <v>0.13619196844326331</v>
      </c>
      <c r="F67" s="43">
        <f t="shared" si="80"/>
        <v>0.16947291095284434</v>
      </c>
      <c r="G67" s="43">
        <f t="shared" si="80"/>
        <v>0.10000000000000009</v>
      </c>
      <c r="H67" s="43">
        <f t="shared" si="80"/>
        <v>0.10000000000000009</v>
      </c>
      <c r="I67" s="43">
        <f t="shared" si="80"/>
        <v>0.10000000000000009</v>
      </c>
      <c r="J67" s="43">
        <f t="shared" si="80"/>
        <v>0.10000000000000009</v>
      </c>
      <c r="K67" s="43">
        <f t="shared" si="80"/>
        <v>0.10000000000000009</v>
      </c>
    </row>
  </sheetData>
  <phoneticPr fontId="4" type="noConversion"/>
  <hyperlinks>
    <hyperlink ref="A4" r:id="rId1" display="Mike Cannon-Brookes (CEO)" xr:uid="{00000000-0004-0000-0000-000000000000}"/>
    <hyperlink ref="A5" r:id="rId2" display="Scott Farquhar (Co-CEO)" xr:uid="{00000000-0004-0000-0000-000001000000}"/>
    <hyperlink ref="A8" r:id="rId3" display="Mike Cannon-Brookes (CEO)" xr:uid="{00000000-0004-0000-0000-000002000000}"/>
    <hyperlink ref="A9" r:id="rId4" display="Scott Farquhar (Co-CEO)" xr:uid="{00000000-0004-0000-0000-000003000000}"/>
    <hyperlink ref="A1" r:id="rId5" xr:uid="{00000000-0004-0000-0000-000004000000}"/>
  </hyperlinks>
  <pageMargins left="0.7" right="0.7" top="0.75" bottom="0.75" header="0.3" footer="0.3"/>
  <pageSetup paperSize="9" orientation="portrait" horizontalDpi="0" verticalDpi="0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60"/>
  <sheetViews>
    <sheetView zoomScale="110" zoomScaleNormal="110" workbookViewId="0">
      <pane xSplit="1" ySplit="2" topLeftCell="P21" activePane="bottomRight" state="frozen"/>
      <selection pane="topRight" activeCell="B1" sqref="B1"/>
      <selection pane="bottomLeft" activeCell="A3" sqref="A3"/>
      <selection pane="bottomRight" activeCell="X51" sqref="X51"/>
    </sheetView>
  </sheetViews>
  <sheetFormatPr baseColWidth="10" defaultColWidth="10.83203125" defaultRowHeight="13" x14ac:dyDescent="0.15"/>
  <cols>
    <col min="1" max="1" width="16.5" style="73" bestFit="1" customWidth="1"/>
    <col min="2" max="5" width="10.83203125" style="2" customWidth="1"/>
    <col min="6" max="6" width="10.83203125" style="7" customWidth="1"/>
    <col min="7" max="8" width="10.83203125" style="2" customWidth="1"/>
    <col min="9" max="9" width="10.83203125" style="2"/>
    <col min="10" max="10" width="10.83203125" style="7"/>
    <col min="11" max="11" width="10.83203125" style="2" customWidth="1"/>
    <col min="12" max="13" width="10.83203125" style="51"/>
    <col min="14" max="14" width="10.83203125" style="7"/>
    <col min="15" max="15" width="10.83203125" style="2"/>
    <col min="16" max="16" width="10.83203125" style="51"/>
    <col min="17" max="17" width="10.83203125" style="2"/>
    <col min="18" max="18" width="10.83203125" style="9"/>
    <col min="19" max="21" width="10.83203125" style="4"/>
    <col min="22" max="22" width="10.83203125" style="9"/>
    <col min="23" max="16384" width="10.83203125" style="4"/>
  </cols>
  <sheetData>
    <row r="1" spans="1:25" s="2" customFormat="1" x14ac:dyDescent="0.15">
      <c r="A1" s="77" t="s">
        <v>60</v>
      </c>
      <c r="B1" s="2" t="s">
        <v>22</v>
      </c>
      <c r="C1" s="2" t="s">
        <v>23</v>
      </c>
      <c r="D1" s="2" t="s">
        <v>24</v>
      </c>
      <c r="E1" s="2" t="s">
        <v>25</v>
      </c>
      <c r="F1" s="7" t="s">
        <v>0</v>
      </c>
      <c r="G1" s="2" t="s">
        <v>1</v>
      </c>
      <c r="H1" s="2" t="s">
        <v>2</v>
      </c>
      <c r="I1" s="2" t="s">
        <v>3</v>
      </c>
      <c r="J1" s="5" t="s">
        <v>34</v>
      </c>
      <c r="K1" s="3" t="s">
        <v>35</v>
      </c>
      <c r="L1" s="50" t="s">
        <v>36</v>
      </c>
      <c r="M1" s="50" t="s">
        <v>37</v>
      </c>
      <c r="N1" s="7" t="s">
        <v>82</v>
      </c>
      <c r="O1" s="2" t="s">
        <v>83</v>
      </c>
      <c r="P1" s="51" t="s">
        <v>84</v>
      </c>
      <c r="Q1" s="2" t="s">
        <v>85</v>
      </c>
      <c r="R1" s="7" t="s">
        <v>116</v>
      </c>
      <c r="S1" s="2" t="s">
        <v>117</v>
      </c>
      <c r="T1" s="51" t="s">
        <v>118</v>
      </c>
      <c r="U1" s="2" t="s">
        <v>119</v>
      </c>
      <c r="V1" s="7" t="s">
        <v>120</v>
      </c>
      <c r="W1" s="2" t="s">
        <v>120</v>
      </c>
      <c r="X1" s="2" t="s">
        <v>121</v>
      </c>
      <c r="Y1" s="2" t="s">
        <v>122</v>
      </c>
    </row>
    <row r="2" spans="1:25" x14ac:dyDescent="0.15">
      <c r="A2" s="77"/>
      <c r="B2" s="2" t="s">
        <v>56</v>
      </c>
      <c r="C2" s="2" t="s">
        <v>55</v>
      </c>
      <c r="D2" s="2" t="s">
        <v>54</v>
      </c>
      <c r="E2" s="2" t="s">
        <v>53</v>
      </c>
      <c r="F2" s="7" t="s">
        <v>48</v>
      </c>
      <c r="G2" s="2" t="s">
        <v>42</v>
      </c>
      <c r="H2" s="2" t="s">
        <v>50</v>
      </c>
      <c r="I2" s="2" t="s">
        <v>47</v>
      </c>
      <c r="J2" s="7" t="s">
        <v>49</v>
      </c>
      <c r="K2" s="2" t="s">
        <v>41</v>
      </c>
      <c r="L2" s="51" t="s">
        <v>51</v>
      </c>
      <c r="M2" s="51" t="s">
        <v>52</v>
      </c>
      <c r="N2" s="7" t="s">
        <v>89</v>
      </c>
      <c r="O2" s="2" t="s">
        <v>86</v>
      </c>
      <c r="P2" s="51" t="s">
        <v>90</v>
      </c>
      <c r="Q2" s="51" t="s">
        <v>91</v>
      </c>
      <c r="R2" s="74">
        <v>43738</v>
      </c>
      <c r="S2" s="75">
        <v>43830</v>
      </c>
      <c r="T2" s="76">
        <v>43921</v>
      </c>
      <c r="U2" s="76">
        <v>44012</v>
      </c>
      <c r="V2" s="82">
        <v>44104</v>
      </c>
    </row>
    <row r="3" spans="1:25" s="44" customFormat="1" x14ac:dyDescent="0.15">
      <c r="A3" s="78" t="s">
        <v>43</v>
      </c>
      <c r="B3" s="3">
        <v>30.466999999999999</v>
      </c>
      <c r="C3" s="3">
        <v>33.911000000000001</v>
      </c>
      <c r="D3" s="3">
        <v>38.691000000000003</v>
      </c>
      <c r="E3" s="3">
        <v>43.59</v>
      </c>
      <c r="F3" s="5">
        <v>49.930999999999997</v>
      </c>
      <c r="G3" s="3">
        <v>56.326000000000001</v>
      </c>
      <c r="H3" s="3">
        <v>63.369</v>
      </c>
      <c r="I3" s="3">
        <v>72.501999999999995</v>
      </c>
      <c r="J3" s="5">
        <v>86.391000000000005</v>
      </c>
      <c r="K3" s="3">
        <v>97.703999999999994</v>
      </c>
      <c r="L3" s="3">
        <v>105.604</v>
      </c>
      <c r="M3" s="50">
        <v>117.43899999999999</v>
      </c>
      <c r="N3" s="5">
        <v>134.065</v>
      </c>
      <c r="O3" s="14">
        <v>152.5</v>
      </c>
      <c r="P3" s="53">
        <v>166.46799999999999</v>
      </c>
      <c r="Q3" s="53">
        <v>181</v>
      </c>
      <c r="R3" s="5">
        <v>201</v>
      </c>
      <c r="S3" s="53">
        <v>228.684</v>
      </c>
      <c r="T3" s="44">
        <v>244.155</v>
      </c>
      <c r="U3" s="44">
        <v>257.52100000000002</v>
      </c>
      <c r="V3" s="83">
        <v>277.964</v>
      </c>
    </row>
    <row r="4" spans="1:25" s="44" customFormat="1" x14ac:dyDescent="0.15">
      <c r="A4" s="78" t="s">
        <v>44</v>
      </c>
      <c r="B4" s="3">
        <v>50.353999999999999</v>
      </c>
      <c r="C4" s="3">
        <v>53.508000000000003</v>
      </c>
      <c r="D4" s="3">
        <v>56.177999999999997</v>
      </c>
      <c r="E4" s="3">
        <v>58.808</v>
      </c>
      <c r="F4" s="5">
        <v>61.741</v>
      </c>
      <c r="G4" s="3">
        <v>65.06</v>
      </c>
      <c r="H4" s="3">
        <v>67.072000000000003</v>
      </c>
      <c r="I4" s="3">
        <v>71.647999999999996</v>
      </c>
      <c r="J4" s="5">
        <v>76.218999999999994</v>
      </c>
      <c r="K4" s="3">
        <v>80.489000000000004</v>
      </c>
      <c r="L4" s="3">
        <v>81.953000000000003</v>
      </c>
      <c r="M4" s="50">
        <v>87.268000000000001</v>
      </c>
      <c r="N4" s="5">
        <v>92.736000000000004</v>
      </c>
      <c r="O4" s="14">
        <v>97.161000000000001</v>
      </c>
      <c r="P4" s="53">
        <v>98.861999999999995</v>
      </c>
      <c r="Q4" s="53">
        <v>106</v>
      </c>
      <c r="R4" s="5">
        <v>110</v>
      </c>
      <c r="S4" s="53">
        <v>116.877</v>
      </c>
      <c r="T4" s="44">
        <v>119.628</v>
      </c>
      <c r="U4" s="44">
        <v>122.774</v>
      </c>
      <c r="V4" s="83">
        <v>127.694</v>
      </c>
    </row>
    <row r="5" spans="1:25" s="44" customFormat="1" x14ac:dyDescent="0.15">
      <c r="A5" s="78" t="s">
        <v>45</v>
      </c>
      <c r="B5" s="3">
        <v>15.500999999999999</v>
      </c>
      <c r="C5" s="3">
        <v>15.645</v>
      </c>
      <c r="D5" s="3">
        <v>16.43</v>
      </c>
      <c r="E5" s="3">
        <v>17.911000000000001</v>
      </c>
      <c r="F5" s="5">
        <v>17.501000000000001</v>
      </c>
      <c r="G5" s="3">
        <v>18.21</v>
      </c>
      <c r="H5" s="3">
        <v>19.495000000000001</v>
      </c>
      <c r="I5" s="3">
        <v>19.359000000000002</v>
      </c>
      <c r="J5" s="5">
        <v>19.448</v>
      </c>
      <c r="K5" s="3">
        <v>21.443999999999999</v>
      </c>
      <c r="L5" s="3">
        <v>21.273</v>
      </c>
      <c r="M5" s="50">
        <v>22.513999999999999</v>
      </c>
      <c r="N5" s="5">
        <v>21.838999999999999</v>
      </c>
      <c r="O5" s="14">
        <v>25.777999999999999</v>
      </c>
      <c r="P5" s="53">
        <v>23.152000000000001</v>
      </c>
      <c r="Q5" s="53">
        <v>23</v>
      </c>
      <c r="R5" s="5">
        <v>25</v>
      </c>
      <c r="S5" s="53">
        <v>29.050999999999998</v>
      </c>
      <c r="T5" s="44">
        <v>21.001999999999999</v>
      </c>
      <c r="U5" s="44">
        <v>20.364999999999998</v>
      </c>
      <c r="V5" s="83">
        <v>22.137</v>
      </c>
    </row>
    <row r="6" spans="1:25" s="44" customFormat="1" x14ac:dyDescent="0.15">
      <c r="A6" s="78" t="s">
        <v>46</v>
      </c>
      <c r="B6" s="3">
        <v>5.5</v>
      </c>
      <c r="C6" s="3">
        <v>6.6420000000000003</v>
      </c>
      <c r="D6" s="3">
        <v>6.6429999999999998</v>
      </c>
      <c r="E6" s="3">
        <v>7.2789999999999999</v>
      </c>
      <c r="F6" s="5">
        <v>7.6139999999999999</v>
      </c>
      <c r="G6" s="3">
        <v>9.3130000000000006</v>
      </c>
      <c r="H6" s="3">
        <v>9.9730000000000008</v>
      </c>
      <c r="I6" s="3">
        <v>10.821999999999999</v>
      </c>
      <c r="J6" s="5">
        <v>13.422000000000001</v>
      </c>
      <c r="K6" s="3">
        <v>14.941000000000001</v>
      </c>
      <c r="L6" s="3">
        <v>14.893000000000001</v>
      </c>
      <c r="M6" s="50">
        <v>16.562000000000001</v>
      </c>
      <c r="N6" s="5">
        <v>18.652000000000001</v>
      </c>
      <c r="O6" s="14">
        <v>23.54</v>
      </c>
      <c r="P6" s="53">
        <v>20.788</v>
      </c>
      <c r="Q6" s="53">
        <v>25</v>
      </c>
      <c r="R6" s="5">
        <v>27</v>
      </c>
      <c r="S6" s="53">
        <v>34.113</v>
      </c>
      <c r="T6" s="44">
        <v>26.797000000000001</v>
      </c>
      <c r="U6" s="44">
        <v>29.815999999999999</v>
      </c>
      <c r="V6" s="83">
        <v>31.710999999999999</v>
      </c>
    </row>
    <row r="7" spans="1:25" s="44" customFormat="1" x14ac:dyDescent="0.15">
      <c r="A7" s="78"/>
      <c r="B7" s="3"/>
      <c r="C7" s="3"/>
      <c r="D7" s="3"/>
      <c r="E7" s="3"/>
      <c r="F7" s="5"/>
      <c r="G7" s="3"/>
      <c r="H7" s="3"/>
      <c r="I7" s="3"/>
      <c r="J7" s="5"/>
      <c r="K7" s="3"/>
      <c r="L7" s="3"/>
      <c r="M7" s="50"/>
      <c r="N7" s="5"/>
      <c r="O7" s="14"/>
      <c r="P7" s="53"/>
      <c r="Q7" s="53"/>
      <c r="R7" s="5"/>
      <c r="S7" s="53"/>
      <c r="V7" s="83"/>
    </row>
    <row r="8" spans="1:25" s="44" customFormat="1" x14ac:dyDescent="0.15">
      <c r="A8" s="78" t="s">
        <v>81</v>
      </c>
      <c r="B8" s="3"/>
      <c r="C8" s="3"/>
      <c r="D8" s="3"/>
      <c r="E8" s="3"/>
      <c r="F8" s="5"/>
      <c r="G8" s="3"/>
      <c r="H8" s="59">
        <f t="shared" ref="H8:Q8" si="0">H57/1000000</f>
        <v>8.5030999999999995E-2</v>
      </c>
      <c r="I8" s="59">
        <f t="shared" si="0"/>
        <v>8.9236999999999997E-2</v>
      </c>
      <c r="J8" s="60">
        <f t="shared" si="0"/>
        <v>0.10774599999999999</v>
      </c>
      <c r="K8" s="59">
        <f t="shared" si="0"/>
        <v>0.112571</v>
      </c>
      <c r="L8" s="59">
        <f t="shared" si="0"/>
        <v>0.119158</v>
      </c>
      <c r="M8" s="59">
        <f t="shared" si="0"/>
        <v>0.12579599999999999</v>
      </c>
      <c r="N8" s="60">
        <f t="shared" si="0"/>
        <v>0.138235</v>
      </c>
      <c r="O8" s="59">
        <f t="shared" si="0"/>
        <v>0.138235</v>
      </c>
      <c r="P8" s="59">
        <f t="shared" si="0"/>
        <v>0.144038</v>
      </c>
      <c r="Q8" s="67">
        <f t="shared" si="0"/>
        <v>0.152727</v>
      </c>
      <c r="R8" s="60">
        <f t="shared" ref="R8" si="1">R57/1000000</f>
        <v>0.15978700000000001</v>
      </c>
      <c r="S8" s="59">
        <f>S57/1000000</f>
        <v>0.16478999999999999</v>
      </c>
      <c r="T8" s="59">
        <f>T57/1000000</f>
        <v>0.17105100000000001</v>
      </c>
      <c r="U8" s="59">
        <f>U57/1000000</f>
        <v>0.174097</v>
      </c>
      <c r="V8" s="60">
        <f>V57/1000000</f>
        <v>0.18271699999999999</v>
      </c>
    </row>
    <row r="9" spans="1:25" s="44" customFormat="1" x14ac:dyDescent="0.15">
      <c r="A9" s="78" t="s">
        <v>114</v>
      </c>
      <c r="B9" s="3"/>
      <c r="C9" s="3"/>
      <c r="D9" s="3"/>
      <c r="E9" s="3"/>
      <c r="F9" s="5"/>
      <c r="G9" s="3"/>
      <c r="H9" s="17">
        <f>SUM(H3:H6)/H8</f>
        <v>1880.596488339547</v>
      </c>
      <c r="I9" s="17">
        <f t="shared" ref="I9:Q9" si="2">SUM(I3:I6)/I8</f>
        <v>1953.5730694667009</v>
      </c>
      <c r="J9" s="16">
        <f>SUM(J3:J6)/J8</f>
        <v>1814.2668869377985</v>
      </c>
      <c r="K9" s="17">
        <f t="shared" si="2"/>
        <v>1906.1570031357985</v>
      </c>
      <c r="L9" s="17">
        <f t="shared" si="2"/>
        <v>1877.5323520032227</v>
      </c>
      <c r="M9" s="17">
        <f t="shared" si="2"/>
        <v>1937.9233043975964</v>
      </c>
      <c r="N9" s="16">
        <f t="shared" si="2"/>
        <v>1933.6058161825874</v>
      </c>
      <c r="O9" s="17">
        <f t="shared" si="2"/>
        <v>2162.8314102795966</v>
      </c>
      <c r="P9" s="17">
        <f t="shared" si="2"/>
        <v>2147.1417264888432</v>
      </c>
      <c r="Q9" s="17">
        <f t="shared" si="2"/>
        <v>2193.4562978386271</v>
      </c>
      <c r="R9" s="16">
        <f t="shared" ref="R9:U9" si="3">SUM(R3:R6)/R8</f>
        <v>2271.7742995362573</v>
      </c>
      <c r="S9" s="17">
        <f t="shared" si="3"/>
        <v>2480.2779294860125</v>
      </c>
      <c r="T9" s="17">
        <f t="shared" si="3"/>
        <v>2406.1946437027555</v>
      </c>
      <c r="U9" s="17">
        <f t="shared" si="3"/>
        <v>2472.6215845189749</v>
      </c>
      <c r="V9" s="16">
        <f t="shared" ref="V9" si="4">SUM(V3:V6)/V8</f>
        <v>2514.8508348976834</v>
      </c>
    </row>
    <row r="10" spans="1:25" s="68" customFormat="1" x14ac:dyDescent="0.15">
      <c r="A10" s="79"/>
      <c r="F10" s="69"/>
      <c r="I10" s="70"/>
      <c r="J10" s="69"/>
      <c r="K10" s="71"/>
      <c r="L10" s="71"/>
      <c r="M10" s="64"/>
      <c r="N10" s="69"/>
      <c r="O10" s="71"/>
      <c r="P10" s="64"/>
      <c r="Q10" s="64"/>
      <c r="R10" s="69"/>
      <c r="S10" s="64">
        <v>390</v>
      </c>
      <c r="T10" s="68">
        <v>395</v>
      </c>
      <c r="V10" s="69">
        <v>445</v>
      </c>
      <c r="W10" s="68">
        <v>460</v>
      </c>
    </row>
    <row r="11" spans="1:25" s="11" customFormat="1" x14ac:dyDescent="0.15">
      <c r="A11" s="80" t="s">
        <v>4</v>
      </c>
      <c r="B11" s="12">
        <f t="shared" ref="B11:G11" si="5">SUM(B3:B6)</f>
        <v>101.822</v>
      </c>
      <c r="C11" s="12">
        <f t="shared" si="5"/>
        <v>109.706</v>
      </c>
      <c r="D11" s="12">
        <f t="shared" si="5"/>
        <v>117.94200000000001</v>
      </c>
      <c r="E11" s="12">
        <f t="shared" si="5"/>
        <v>127.58799999999999</v>
      </c>
      <c r="F11" s="13">
        <f t="shared" si="5"/>
        <v>136.78700000000001</v>
      </c>
      <c r="G11" s="12">
        <f t="shared" si="5"/>
        <v>148.90899999999999</v>
      </c>
      <c r="H11" s="12">
        <f t="shared" ref="H11:P11" si="6">H8*H9</f>
        <v>159.90900000000002</v>
      </c>
      <c r="I11" s="12">
        <f t="shared" si="6"/>
        <v>174.33099999999999</v>
      </c>
      <c r="J11" s="13">
        <f t="shared" si="6"/>
        <v>195.48000000000002</v>
      </c>
      <c r="K11" s="12">
        <f t="shared" si="6"/>
        <v>214.57799999999997</v>
      </c>
      <c r="L11" s="12">
        <f t="shared" si="6"/>
        <v>223.72300000000001</v>
      </c>
      <c r="M11" s="12">
        <f t="shared" si="6"/>
        <v>243.78300000000002</v>
      </c>
      <c r="N11" s="13">
        <f t="shared" si="6"/>
        <v>267.29199999999997</v>
      </c>
      <c r="O11" s="12">
        <f t="shared" si="6"/>
        <v>298.97900000000004</v>
      </c>
      <c r="P11" s="12">
        <f t="shared" si="6"/>
        <v>309.27</v>
      </c>
      <c r="Q11" s="12">
        <f>Q8*Q9</f>
        <v>335</v>
      </c>
      <c r="R11" s="13">
        <f t="shared" ref="R11:V11" si="7">R8*R9</f>
        <v>363</v>
      </c>
      <c r="S11" s="12">
        <f t="shared" si="7"/>
        <v>408.72499999999997</v>
      </c>
      <c r="T11" s="12">
        <f t="shared" si="7"/>
        <v>411.58200000000005</v>
      </c>
      <c r="U11" s="12">
        <f t="shared" si="7"/>
        <v>430.476</v>
      </c>
      <c r="V11" s="13">
        <f t="shared" si="7"/>
        <v>459.50599999999997</v>
      </c>
      <c r="W11" s="11">
        <v>460</v>
      </c>
    </row>
    <row r="12" spans="1:25" s="44" customFormat="1" x14ac:dyDescent="0.15">
      <c r="A12" s="78" t="s">
        <v>5</v>
      </c>
      <c r="B12" s="14">
        <v>16.420000000000002</v>
      </c>
      <c r="C12" s="14">
        <v>18.472999999999999</v>
      </c>
      <c r="D12" s="14">
        <v>19.763999999999999</v>
      </c>
      <c r="E12" s="14">
        <v>21.126000000000001</v>
      </c>
      <c r="F12" s="5">
        <v>22.562000000000001</v>
      </c>
      <c r="G12" s="3">
        <v>26.899000000000001</v>
      </c>
      <c r="H12" s="3">
        <v>32.895000000000003</v>
      </c>
      <c r="I12" s="3">
        <v>36.805</v>
      </c>
      <c r="J12" s="5">
        <v>40.090000000000003</v>
      </c>
      <c r="K12" s="14">
        <v>43.164000000000001</v>
      </c>
      <c r="L12" s="14">
        <v>45.24</v>
      </c>
      <c r="M12" s="53">
        <v>44.195999999999998</v>
      </c>
      <c r="N12" s="5">
        <v>45.185000000000002</v>
      </c>
      <c r="O12" s="14">
        <v>49.781999999999996</v>
      </c>
      <c r="P12" s="53">
        <v>54.189</v>
      </c>
      <c r="Q12" s="53">
        <v>61</v>
      </c>
      <c r="R12" s="5">
        <v>62</v>
      </c>
      <c r="S12" s="53">
        <v>66</v>
      </c>
      <c r="T12" s="44">
        <v>70.655000000000001</v>
      </c>
      <c r="U12" s="44">
        <v>70.111999999999995</v>
      </c>
      <c r="V12" s="83">
        <v>73.683999999999997</v>
      </c>
    </row>
    <row r="13" spans="1:25" x14ac:dyDescent="0.15">
      <c r="A13" s="73" t="s">
        <v>6</v>
      </c>
      <c r="B13" s="15">
        <f>B11-B12</f>
        <v>85.402000000000001</v>
      </c>
      <c r="C13" s="15">
        <f>C11-C12</f>
        <v>91.233000000000004</v>
      </c>
      <c r="D13" s="15">
        <f>D11-D12</f>
        <v>98.178000000000011</v>
      </c>
      <c r="E13" s="15">
        <f>E11-E12</f>
        <v>106.46199999999999</v>
      </c>
      <c r="F13" s="16">
        <f>F11-F12</f>
        <v>114.22500000000001</v>
      </c>
      <c r="G13" s="17">
        <f t="shared" ref="G13:K13" si="8">G11-G12</f>
        <v>122.00999999999999</v>
      </c>
      <c r="H13" s="17">
        <f t="shared" si="8"/>
        <v>127.01400000000001</v>
      </c>
      <c r="I13" s="17">
        <f t="shared" si="8"/>
        <v>137.52599999999998</v>
      </c>
      <c r="J13" s="16">
        <f t="shared" si="8"/>
        <v>155.39000000000001</v>
      </c>
      <c r="K13" s="15">
        <f t="shared" si="8"/>
        <v>171.41399999999999</v>
      </c>
      <c r="L13" s="15">
        <f t="shared" ref="L13" si="9">L11-L12</f>
        <v>178.483</v>
      </c>
      <c r="M13" s="15">
        <f>M11-M12</f>
        <v>199.58700000000002</v>
      </c>
      <c r="N13" s="16">
        <f t="shared" ref="N13:Q13" si="10">N11-N12</f>
        <v>222.10699999999997</v>
      </c>
      <c r="O13" s="15">
        <f t="shared" si="10"/>
        <v>249.19700000000006</v>
      </c>
      <c r="P13" s="15">
        <f t="shared" si="10"/>
        <v>255.08099999999999</v>
      </c>
      <c r="Q13" s="15">
        <f t="shared" si="10"/>
        <v>274</v>
      </c>
      <c r="R13" s="16">
        <f t="shared" ref="R13:V13" si="11">R11-R12</f>
        <v>301</v>
      </c>
      <c r="S13" s="15">
        <f t="shared" si="11"/>
        <v>342.72499999999997</v>
      </c>
      <c r="T13" s="15">
        <f t="shared" si="11"/>
        <v>340.92700000000002</v>
      </c>
      <c r="U13" s="15">
        <f t="shared" si="11"/>
        <v>360.36400000000003</v>
      </c>
      <c r="V13" s="16">
        <f t="shared" si="11"/>
        <v>385.822</v>
      </c>
    </row>
    <row r="14" spans="1:25" x14ac:dyDescent="0.15">
      <c r="A14" s="73" t="s">
        <v>7</v>
      </c>
      <c r="B14" s="14">
        <v>45.46</v>
      </c>
      <c r="C14" s="14">
        <v>47.845999999999997</v>
      </c>
      <c r="D14" s="14">
        <v>54.17</v>
      </c>
      <c r="E14" s="14">
        <v>60.83</v>
      </c>
      <c r="F14" s="5">
        <v>67.457999999999998</v>
      </c>
      <c r="G14" s="3">
        <v>69.757999999999996</v>
      </c>
      <c r="H14" s="3">
        <v>82.262</v>
      </c>
      <c r="I14" s="3">
        <v>90.691000000000003</v>
      </c>
      <c r="J14" s="5">
        <v>94.861999999999995</v>
      </c>
      <c r="K14" s="14">
        <v>101.324</v>
      </c>
      <c r="L14" s="14">
        <v>108.544</v>
      </c>
      <c r="M14" s="53">
        <v>111.04600000000001</v>
      </c>
      <c r="N14" s="5">
        <v>124.38</v>
      </c>
      <c r="O14" s="14">
        <v>131.364</v>
      </c>
      <c r="P14" s="53">
        <v>153.06899999999999</v>
      </c>
      <c r="Q14" s="53">
        <v>170</v>
      </c>
      <c r="R14" s="5">
        <v>176</v>
      </c>
      <c r="S14" s="53">
        <v>172</v>
      </c>
      <c r="T14" s="4">
        <v>204</v>
      </c>
      <c r="U14" s="4">
        <v>211</v>
      </c>
      <c r="V14" s="9">
        <v>232</v>
      </c>
    </row>
    <row r="15" spans="1:25" x14ac:dyDescent="0.15">
      <c r="A15" s="73" t="s">
        <v>8</v>
      </c>
      <c r="B15" s="14">
        <v>16.262</v>
      </c>
      <c r="C15" s="14">
        <v>21.713000000000001</v>
      </c>
      <c r="D15" s="14">
        <v>24.436</v>
      </c>
      <c r="E15" s="14">
        <v>30.98</v>
      </c>
      <c r="F15" s="5">
        <v>24.98</v>
      </c>
      <c r="G15" s="3">
        <v>27.416</v>
      </c>
      <c r="H15" s="3">
        <v>36.625</v>
      </c>
      <c r="I15" s="3">
        <v>45.887</v>
      </c>
      <c r="J15" s="5">
        <v>45.091999999999999</v>
      </c>
      <c r="K15" s="14">
        <v>44.518999999999998</v>
      </c>
      <c r="L15" s="14">
        <v>48.652000000000001</v>
      </c>
      <c r="M15" s="53">
        <v>49.061999999999998</v>
      </c>
      <c r="N15" s="5">
        <v>52.262</v>
      </c>
      <c r="O15" s="14">
        <v>68.95</v>
      </c>
      <c r="P15" s="53">
        <v>70.543999999999997</v>
      </c>
      <c r="Q15" s="53">
        <v>77</v>
      </c>
      <c r="R15" s="5">
        <v>68</v>
      </c>
      <c r="S15" s="53">
        <v>69</v>
      </c>
      <c r="T15" s="4">
        <v>84</v>
      </c>
      <c r="U15" s="4">
        <v>78</v>
      </c>
      <c r="V15" s="9">
        <v>70</v>
      </c>
    </row>
    <row r="16" spans="1:25" x14ac:dyDescent="0.15">
      <c r="A16" s="73" t="s">
        <v>9</v>
      </c>
      <c r="B16" s="14">
        <v>16.602</v>
      </c>
      <c r="C16" s="14">
        <v>18.306999999999999</v>
      </c>
      <c r="D16" s="14">
        <v>24.507000000000001</v>
      </c>
      <c r="E16" s="14">
        <v>26.042000000000002</v>
      </c>
      <c r="F16" s="5">
        <v>26.914999999999999</v>
      </c>
      <c r="G16" s="3">
        <v>27.475000000000001</v>
      </c>
      <c r="H16" s="3">
        <v>31.19</v>
      </c>
      <c r="I16" s="3">
        <v>33.204000000000001</v>
      </c>
      <c r="J16" s="5">
        <v>35.725000000000001</v>
      </c>
      <c r="K16" s="14">
        <v>38.584000000000003</v>
      </c>
      <c r="L16" s="14">
        <v>32.167000000000002</v>
      </c>
      <c r="M16" s="53">
        <v>44.765999999999998</v>
      </c>
      <c r="N16" s="5">
        <v>45.656999999999996</v>
      </c>
      <c r="O16" s="14">
        <v>52.052</v>
      </c>
      <c r="P16" s="53">
        <v>59.024999999999999</v>
      </c>
      <c r="Q16" s="53">
        <v>59</v>
      </c>
      <c r="R16" s="5">
        <v>62</v>
      </c>
      <c r="S16" s="53">
        <v>59</v>
      </c>
      <c r="T16" s="4">
        <v>72</v>
      </c>
      <c r="U16" s="4">
        <v>75</v>
      </c>
      <c r="V16" s="9">
        <v>71</v>
      </c>
    </row>
    <row r="17" spans="1:23" x14ac:dyDescent="0.15">
      <c r="A17" s="73" t="s">
        <v>10</v>
      </c>
      <c r="B17" s="15">
        <f>SUM(B14:B16)</f>
        <v>78.323999999999998</v>
      </c>
      <c r="C17" s="15">
        <f>SUM(C14:C16)</f>
        <v>87.866</v>
      </c>
      <c r="D17" s="15">
        <f>SUM(D14:D16)</f>
        <v>103.113</v>
      </c>
      <c r="E17" s="15">
        <f>SUM(E14:E16)</f>
        <v>117.852</v>
      </c>
      <c r="F17" s="16">
        <f>SUM(F14:F16)</f>
        <v>119.35300000000001</v>
      </c>
      <c r="G17" s="17">
        <f t="shared" ref="G17:K17" si="12">SUM(G14:G16)</f>
        <v>124.649</v>
      </c>
      <c r="H17" s="17">
        <f t="shared" si="12"/>
        <v>150.077</v>
      </c>
      <c r="I17" s="17">
        <f t="shared" si="12"/>
        <v>169.78200000000001</v>
      </c>
      <c r="J17" s="16">
        <f t="shared" si="12"/>
        <v>175.679</v>
      </c>
      <c r="K17" s="15">
        <f t="shared" si="12"/>
        <v>184.42699999999999</v>
      </c>
      <c r="L17" s="15">
        <f t="shared" ref="L17" si="13">SUM(L14:L16)</f>
        <v>189.363</v>
      </c>
      <c r="M17" s="15">
        <f t="shared" ref="M17:S17" si="14">SUM(M14:M16)</f>
        <v>204.874</v>
      </c>
      <c r="N17" s="16">
        <f t="shared" si="14"/>
        <v>222.29899999999998</v>
      </c>
      <c r="O17" s="15">
        <f t="shared" si="14"/>
        <v>252.36600000000001</v>
      </c>
      <c r="P17" s="15">
        <f t="shared" si="14"/>
        <v>282.63799999999998</v>
      </c>
      <c r="Q17" s="15">
        <f t="shared" si="14"/>
        <v>306</v>
      </c>
      <c r="R17" s="16">
        <f t="shared" si="14"/>
        <v>306</v>
      </c>
      <c r="S17" s="15">
        <f t="shared" si="14"/>
        <v>300</v>
      </c>
      <c r="T17" s="15">
        <f t="shared" ref="T17:U17" si="15">SUM(T14:T16)</f>
        <v>360</v>
      </c>
      <c r="U17" s="15">
        <f t="shared" si="15"/>
        <v>364</v>
      </c>
      <c r="V17" s="16">
        <f t="shared" ref="V17" si="16">SUM(V14:V16)</f>
        <v>373</v>
      </c>
    </row>
    <row r="18" spans="1:23" x14ac:dyDescent="0.15">
      <c r="A18" s="73" t="s">
        <v>11</v>
      </c>
      <c r="B18" s="15">
        <f>B13-B17</f>
        <v>7.078000000000003</v>
      </c>
      <c r="C18" s="15">
        <f>C13-C17</f>
        <v>3.3670000000000044</v>
      </c>
      <c r="D18" s="15">
        <f>D13-D17</f>
        <v>-4.9349999999999881</v>
      </c>
      <c r="E18" s="15">
        <f>E13-E17</f>
        <v>-11.390000000000015</v>
      </c>
      <c r="F18" s="16">
        <f>F13-F17</f>
        <v>-5.1280000000000001</v>
      </c>
      <c r="G18" s="17">
        <f t="shared" ref="G18" si="17">G13-G17</f>
        <v>-2.63900000000001</v>
      </c>
      <c r="H18" s="17">
        <f t="shared" ref="H18:K18" si="18">H13-H17</f>
        <v>-23.062999999999988</v>
      </c>
      <c r="I18" s="17">
        <f t="shared" si="18"/>
        <v>-32.256000000000029</v>
      </c>
      <c r="J18" s="16">
        <f>J13-J17</f>
        <v>-20.288999999999987</v>
      </c>
      <c r="K18" s="15">
        <f t="shared" si="18"/>
        <v>-13.013000000000005</v>
      </c>
      <c r="L18" s="15">
        <f t="shared" ref="L18" si="19">L13-L17</f>
        <v>-10.879999999999995</v>
      </c>
      <c r="M18" s="15">
        <f t="shared" ref="M18" si="20">M13-M17</f>
        <v>-5.2869999999999777</v>
      </c>
      <c r="N18" s="16">
        <f t="shared" ref="N18:S18" si="21">N13-N17</f>
        <v>-0.19200000000000728</v>
      </c>
      <c r="O18" s="15">
        <f t="shared" si="21"/>
        <v>-3.1689999999999543</v>
      </c>
      <c r="P18" s="15">
        <f t="shared" si="21"/>
        <v>-27.556999999999988</v>
      </c>
      <c r="Q18" s="15">
        <f t="shared" si="21"/>
        <v>-32</v>
      </c>
      <c r="R18" s="16">
        <f t="shared" si="21"/>
        <v>-5</v>
      </c>
      <c r="S18" s="15">
        <f t="shared" si="21"/>
        <v>42.724999999999966</v>
      </c>
      <c r="T18" s="15">
        <f t="shared" ref="T18:U18" si="22">T13-T17</f>
        <v>-19.072999999999979</v>
      </c>
      <c r="U18" s="15">
        <f t="shared" si="22"/>
        <v>-3.6359999999999673</v>
      </c>
      <c r="V18" s="16">
        <f t="shared" ref="V18" si="23">V13-V17</f>
        <v>12.822000000000003</v>
      </c>
    </row>
    <row r="19" spans="1:23" x14ac:dyDescent="0.15">
      <c r="A19" s="73" t="s">
        <v>12</v>
      </c>
      <c r="B19" s="14">
        <f>-0.603+0.046-0.008</f>
        <v>-0.56499999999999995</v>
      </c>
      <c r="C19" s="14">
        <f>-0.181+0.123-0.049</f>
        <v>-0.107</v>
      </c>
      <c r="D19" s="14">
        <f>0.054+0.703-0.005</f>
        <v>0.752</v>
      </c>
      <c r="E19" s="14">
        <f>-0.342+1.244-0.009</f>
        <v>0.8929999999999999</v>
      </c>
      <c r="F19" s="5">
        <f>-0.063+1.322-0.007</f>
        <v>1.2520000000000002</v>
      </c>
      <c r="G19" s="3">
        <f>-0.251+1.441-0.038</f>
        <v>1.1519999999999999</v>
      </c>
      <c r="H19" s="3">
        <f>-0.492+1.04-0.006</f>
        <v>0.54200000000000004</v>
      </c>
      <c r="I19" s="3">
        <f>-0.536+1.048-0.024</f>
        <v>0.48799999999999999</v>
      </c>
      <c r="J19" s="5">
        <f>-0.665+1.255-0.009</f>
        <v>0.58099999999999985</v>
      </c>
      <c r="K19" s="14">
        <f>-0.493+1.568-0.007</f>
        <v>1.0680000000000003</v>
      </c>
      <c r="L19" s="14">
        <f>0.74+2.001-0.008</f>
        <v>2.7329999999999997</v>
      </c>
      <c r="M19" s="53">
        <f>-14.739+5.053-6.782</f>
        <v>-16.468</v>
      </c>
      <c r="N19" s="5">
        <f>-237.248+7.266-9.902</f>
        <v>-239.88399999999999</v>
      </c>
      <c r="O19" s="14">
        <f>32.592+7.659-10.019</f>
        <v>30.231999999999999</v>
      </c>
      <c r="P19" s="53">
        <f>-173.324+9.303-10.103</f>
        <v>-174.12400000000002</v>
      </c>
      <c r="Q19" s="53">
        <f>-157+9-10</f>
        <v>-158</v>
      </c>
      <c r="R19" s="5">
        <f>82+9-12</f>
        <v>79</v>
      </c>
      <c r="S19" s="53">
        <f>104+8-12</f>
        <v>100</v>
      </c>
      <c r="T19" s="4">
        <f>-142+7-12</f>
        <v>-147</v>
      </c>
      <c r="U19" s="4">
        <f>+-383+3-12</f>
        <v>-392</v>
      </c>
      <c r="V19" s="9">
        <f>+-26+3-13</f>
        <v>-36</v>
      </c>
    </row>
    <row r="20" spans="1:23" x14ac:dyDescent="0.15">
      <c r="A20" s="73" t="s">
        <v>13</v>
      </c>
      <c r="B20" s="15">
        <f>B18+B19</f>
        <v>6.5130000000000035</v>
      </c>
      <c r="C20" s="15">
        <f>C18+C19</f>
        <v>3.2600000000000042</v>
      </c>
      <c r="D20" s="15">
        <f>D18+D19</f>
        <v>-4.1829999999999883</v>
      </c>
      <c r="E20" s="15">
        <f>E18+E19</f>
        <v>-10.497000000000014</v>
      </c>
      <c r="F20" s="16">
        <f>F18+F19</f>
        <v>-3.8759999999999999</v>
      </c>
      <c r="G20" s="17">
        <f t="shared" ref="G20:I20" si="24">G18+G19</f>
        <v>-1.4870000000000101</v>
      </c>
      <c r="H20" s="17">
        <f t="shared" si="24"/>
        <v>-22.520999999999987</v>
      </c>
      <c r="I20" s="17">
        <f t="shared" si="24"/>
        <v>-31.768000000000029</v>
      </c>
      <c r="J20" s="16">
        <f t="shared" ref="J20:M20" si="25">J18+J19</f>
        <v>-19.707999999999988</v>
      </c>
      <c r="K20" s="15">
        <f t="shared" si="25"/>
        <v>-11.945000000000006</v>
      </c>
      <c r="L20" s="15">
        <f t="shared" ref="L20" si="26">L18+L19</f>
        <v>-8.1469999999999949</v>
      </c>
      <c r="M20" s="15">
        <f t="shared" si="25"/>
        <v>-21.754999999999978</v>
      </c>
      <c r="N20" s="16">
        <f t="shared" ref="N20:Q20" si="27">N18+N19</f>
        <v>-240.07599999999999</v>
      </c>
      <c r="O20" s="15">
        <f t="shared" si="27"/>
        <v>27.063000000000045</v>
      </c>
      <c r="P20" s="15">
        <f t="shared" si="27"/>
        <v>-201.68100000000001</v>
      </c>
      <c r="Q20" s="15">
        <f t="shared" si="27"/>
        <v>-190</v>
      </c>
      <c r="R20" s="16">
        <f t="shared" ref="R20:V20" si="28">R18+R19</f>
        <v>74</v>
      </c>
      <c r="S20" s="15">
        <f t="shared" si="28"/>
        <v>142.72499999999997</v>
      </c>
      <c r="T20" s="15">
        <f t="shared" si="28"/>
        <v>-166.07299999999998</v>
      </c>
      <c r="U20" s="15">
        <f t="shared" si="28"/>
        <v>-395.63599999999997</v>
      </c>
      <c r="V20" s="16">
        <f t="shared" si="28"/>
        <v>-23.177999999999997</v>
      </c>
    </row>
    <row r="21" spans="1:23" x14ac:dyDescent="0.15">
      <c r="A21" s="73" t="s">
        <v>14</v>
      </c>
      <c r="B21" s="14">
        <v>1.431</v>
      </c>
      <c r="C21" s="14">
        <v>-1.8049999999999999</v>
      </c>
      <c r="D21" s="14">
        <v>-3.1110000000000002</v>
      </c>
      <c r="E21" s="14">
        <v>-5.7949999999999999</v>
      </c>
      <c r="F21" s="5">
        <v>-1.2390000000000001</v>
      </c>
      <c r="G21" s="3">
        <v>0.21099999999999999</v>
      </c>
      <c r="H21" s="3">
        <v>-5.0599999999999996</v>
      </c>
      <c r="I21" s="3">
        <v>-11.06</v>
      </c>
      <c r="J21" s="5">
        <v>-8.2379999999999995</v>
      </c>
      <c r="K21" s="14">
        <v>52.264000000000003</v>
      </c>
      <c r="L21" s="14">
        <v>6.1189999999999998</v>
      </c>
      <c r="M21" s="53">
        <v>4.0960000000000001</v>
      </c>
      <c r="N21" s="5">
        <v>2.3690000000000002</v>
      </c>
      <c r="O21" s="14">
        <v>-18.122</v>
      </c>
      <c r="P21" s="53">
        <v>1.163</v>
      </c>
      <c r="Q21" s="53">
        <v>47</v>
      </c>
      <c r="R21" s="5">
        <v>5</v>
      </c>
      <c r="S21" s="53">
        <v>18</v>
      </c>
      <c r="T21" s="4">
        <v>-8</v>
      </c>
      <c r="U21" s="4">
        <v>-10</v>
      </c>
      <c r="V21" s="9">
        <v>-3</v>
      </c>
    </row>
    <row r="22" spans="1:23" s="11" customFormat="1" x14ac:dyDescent="0.15">
      <c r="A22" s="80" t="s">
        <v>15</v>
      </c>
      <c r="B22" s="12">
        <f t="shared" ref="B22:G22" si="29">B20-B21</f>
        <v>5.0820000000000034</v>
      </c>
      <c r="C22" s="12">
        <f t="shared" si="29"/>
        <v>5.0650000000000039</v>
      </c>
      <c r="D22" s="12">
        <f t="shared" si="29"/>
        <v>-1.0719999999999881</v>
      </c>
      <c r="E22" s="12">
        <f>E20-E21</f>
        <v>-4.7020000000000142</v>
      </c>
      <c r="F22" s="13">
        <f t="shared" si="29"/>
        <v>-2.6369999999999996</v>
      </c>
      <c r="G22" s="32">
        <f t="shared" si="29"/>
        <v>-1.6980000000000102</v>
      </c>
      <c r="H22" s="32">
        <f t="shared" ref="H22" si="30">H20-H21</f>
        <v>-17.460999999999988</v>
      </c>
      <c r="I22" s="32">
        <f t="shared" ref="I22:P22" si="31">I20-I21</f>
        <v>-20.708000000000027</v>
      </c>
      <c r="J22" s="13">
        <f t="shared" si="31"/>
        <v>-11.469999999999988</v>
      </c>
      <c r="K22" s="12">
        <f t="shared" si="31"/>
        <v>-64.209000000000003</v>
      </c>
      <c r="L22" s="12">
        <f t="shared" si="31"/>
        <v>-14.265999999999995</v>
      </c>
      <c r="M22" s="12">
        <f t="shared" si="31"/>
        <v>-25.850999999999978</v>
      </c>
      <c r="N22" s="13">
        <f t="shared" si="31"/>
        <v>-242.44499999999999</v>
      </c>
      <c r="O22" s="12">
        <f t="shared" si="31"/>
        <v>45.185000000000045</v>
      </c>
      <c r="P22" s="12">
        <f t="shared" si="31"/>
        <v>-202.84400000000002</v>
      </c>
      <c r="Q22" s="12">
        <f t="shared" ref="Q22:S22" si="32">Q20-Q21</f>
        <v>-237</v>
      </c>
      <c r="R22" s="13">
        <f t="shared" si="32"/>
        <v>69</v>
      </c>
      <c r="S22" s="12">
        <f t="shared" si="32"/>
        <v>124.72499999999997</v>
      </c>
      <c r="T22" s="12">
        <f t="shared" ref="T22:U22" si="33">T20-T21</f>
        <v>-158.07299999999998</v>
      </c>
      <c r="U22" s="12">
        <f t="shared" si="33"/>
        <v>-385.63599999999997</v>
      </c>
      <c r="V22" s="13">
        <f t="shared" ref="V22" si="34">V20-V21</f>
        <v>-20.177999999999997</v>
      </c>
    </row>
    <row r="23" spans="1:23" x14ac:dyDescent="0.15">
      <c r="A23" s="73" t="s">
        <v>16</v>
      </c>
      <c r="B23" s="18">
        <f t="shared" ref="B23:H23" si="35">IFERROR(B22/B24,0)</f>
        <v>3.4924714630307968E-2</v>
      </c>
      <c r="C23" s="18">
        <f t="shared" si="35"/>
        <v>3.0561757074760179E-2</v>
      </c>
      <c r="D23" s="18">
        <f t="shared" si="35"/>
        <v>-5.0347548374975962E-3</v>
      </c>
      <c r="E23" s="18">
        <f t="shared" si="35"/>
        <v>-2.1920234959558117E-2</v>
      </c>
      <c r="F23" s="19">
        <f t="shared" si="35"/>
        <v>-1.2068428953245705E-2</v>
      </c>
      <c r="G23" s="20">
        <f t="shared" si="35"/>
        <v>-7.6722875887871196E-3</v>
      </c>
      <c r="H23" s="20">
        <f t="shared" si="35"/>
        <v>-7.8183698781639915E-2</v>
      </c>
      <c r="I23" s="20">
        <f t="shared" ref="I23:K23" si="36">IFERROR(I22/I24,0)</f>
        <v>-9.1707446690728847E-2</v>
      </c>
      <c r="J23" s="19">
        <f t="shared" si="36"/>
        <v>-5.0272620487736411E-2</v>
      </c>
      <c r="K23" s="18">
        <f t="shared" si="36"/>
        <v>-0.27891732693911597</v>
      </c>
      <c r="L23" s="18">
        <f t="shared" ref="L23:P23" si="37">IFERROR(L22/L24,0)</f>
        <v>-6.1432859216005421E-2</v>
      </c>
      <c r="M23" s="18">
        <f t="shared" si="37"/>
        <v>-0.11037718931197313</v>
      </c>
      <c r="N23" s="19">
        <f t="shared" si="37"/>
        <v>-1.0263568976246618</v>
      </c>
      <c r="O23" s="18">
        <f t="shared" si="37"/>
        <v>0.18274655719803459</v>
      </c>
      <c r="P23" s="18">
        <f t="shared" si="37"/>
        <v>-0.84726619606532738</v>
      </c>
      <c r="Q23" s="18">
        <f t="shared" ref="Q23:S23" si="38">IFERROR(Q22/Q24,0)</f>
        <v>-0.98340248962655596</v>
      </c>
      <c r="R23" s="19">
        <f t="shared" si="38"/>
        <v>0.27490039840637448</v>
      </c>
      <c r="S23" s="18">
        <f t="shared" si="38"/>
        <v>0.49699155243863546</v>
      </c>
      <c r="T23" s="18">
        <f t="shared" ref="T23:U23" si="39">IFERROR(T22/T24,0)</f>
        <v>-0.64387138295099056</v>
      </c>
      <c r="U23" s="18">
        <f t="shared" si="39"/>
        <v>-1.5618547724060281</v>
      </c>
      <c r="V23" s="19">
        <f t="shared" ref="V23" si="40">IFERROR(V22/V24,0)</f>
        <v>-8.1357982380097976E-2</v>
      </c>
    </row>
    <row r="24" spans="1:23" s="44" customFormat="1" x14ac:dyDescent="0.15">
      <c r="A24" s="78" t="s">
        <v>17</v>
      </c>
      <c r="B24" s="14">
        <v>145.51300000000001</v>
      </c>
      <c r="C24" s="14">
        <v>165.73</v>
      </c>
      <c r="D24" s="14">
        <v>212.92</v>
      </c>
      <c r="E24" s="14">
        <v>214.505</v>
      </c>
      <c r="F24" s="5">
        <v>218.50399999999999</v>
      </c>
      <c r="G24" s="14">
        <v>221.316</v>
      </c>
      <c r="H24" s="14">
        <v>223.333</v>
      </c>
      <c r="I24" s="14">
        <v>225.80500000000001</v>
      </c>
      <c r="J24" s="5">
        <v>228.15600000000001</v>
      </c>
      <c r="K24" s="14">
        <v>230.208</v>
      </c>
      <c r="L24" s="14">
        <v>232.221</v>
      </c>
      <c r="M24" s="53">
        <v>234.20599999999999</v>
      </c>
      <c r="N24" s="5">
        <v>236.21899999999999</v>
      </c>
      <c r="O24" s="14">
        <v>247.255</v>
      </c>
      <c r="P24" s="53">
        <v>239.41</v>
      </c>
      <c r="Q24" s="53">
        <v>241</v>
      </c>
      <c r="R24" s="5">
        <v>251</v>
      </c>
      <c r="S24" s="53">
        <v>250.96</v>
      </c>
      <c r="T24" s="44">
        <v>245.50399999999999</v>
      </c>
      <c r="U24" s="44">
        <v>246.90899999999999</v>
      </c>
      <c r="V24" s="83">
        <v>248.01499999999999</v>
      </c>
    </row>
    <row r="25" spans="1:23" x14ac:dyDescent="0.15">
      <c r="B25" s="8"/>
      <c r="C25" s="8"/>
      <c r="D25" s="8"/>
      <c r="E25" s="8"/>
      <c r="K25" s="8"/>
      <c r="L25" s="8"/>
      <c r="M25" s="52"/>
      <c r="O25" s="8"/>
      <c r="P25" s="52"/>
      <c r="Q25" s="52"/>
      <c r="R25" s="7"/>
      <c r="S25" s="52"/>
    </row>
    <row r="26" spans="1:23" x14ac:dyDescent="0.15">
      <c r="A26" s="73" t="s">
        <v>19</v>
      </c>
      <c r="B26" s="25">
        <f t="shared" ref="B26:Q26" si="41">IFERROR(B13/B11,0)</f>
        <v>0.83873819017501128</v>
      </c>
      <c r="C26" s="25">
        <f t="shared" si="41"/>
        <v>0.83161358540098085</v>
      </c>
      <c r="D26" s="25">
        <f t="shared" si="41"/>
        <v>0.83242610774787618</v>
      </c>
      <c r="E26" s="25">
        <f t="shared" si="41"/>
        <v>0.83442016490579052</v>
      </c>
      <c r="F26" s="26">
        <f t="shared" si="41"/>
        <v>0.83505742504770197</v>
      </c>
      <c r="G26" s="27">
        <f t="shared" si="41"/>
        <v>0.81935947457843383</v>
      </c>
      <c r="H26" s="27">
        <f t="shared" si="41"/>
        <v>0.79428925201208178</v>
      </c>
      <c r="I26" s="27">
        <f t="shared" si="41"/>
        <v>0.78887862743860815</v>
      </c>
      <c r="J26" s="26">
        <f t="shared" si="41"/>
        <v>0.79491508082668305</v>
      </c>
      <c r="K26" s="25">
        <f t="shared" si="41"/>
        <v>0.79884237899505084</v>
      </c>
      <c r="L26" s="25">
        <f t="shared" si="41"/>
        <v>0.79778565458178186</v>
      </c>
      <c r="M26" s="54">
        <f t="shared" si="41"/>
        <v>0.81870762112206352</v>
      </c>
      <c r="N26" s="62">
        <f t="shared" si="41"/>
        <v>0.83095266599823414</v>
      </c>
      <c r="O26" s="25">
        <f t="shared" si="41"/>
        <v>0.83349332227347084</v>
      </c>
      <c r="P26" s="54">
        <f t="shared" si="41"/>
        <v>0.82478416917256769</v>
      </c>
      <c r="Q26" s="54">
        <f t="shared" si="41"/>
        <v>0.81791044776119404</v>
      </c>
      <c r="R26" s="62">
        <f t="shared" ref="R26:S26" si="42">IFERROR(R13/R11,0)</f>
        <v>0.82920110192837471</v>
      </c>
      <c r="S26" s="54">
        <f t="shared" si="42"/>
        <v>0.83852223377576607</v>
      </c>
      <c r="T26" s="54">
        <f t="shared" ref="T26:U26" si="43">IFERROR(T13/T11,0)</f>
        <v>0.82833311466487836</v>
      </c>
      <c r="U26" s="54">
        <f t="shared" si="43"/>
        <v>0.83712913147306711</v>
      </c>
      <c r="V26" s="62">
        <f t="shared" ref="V26" si="44">IFERROR(V13/V11,0)</f>
        <v>0.83964518417604994</v>
      </c>
    </row>
    <row r="27" spans="1:23" x14ac:dyDescent="0.15">
      <c r="A27" s="73" t="s">
        <v>20</v>
      </c>
      <c r="B27" s="28">
        <f t="shared" ref="B27:Q27" si="45">IFERROR(B18/B11,0)</f>
        <v>6.9513464673646191E-2</v>
      </c>
      <c r="C27" s="28">
        <f t="shared" si="45"/>
        <v>3.0691119902284326E-2</v>
      </c>
      <c r="D27" s="28">
        <f t="shared" si="45"/>
        <v>-4.1842600600294953E-2</v>
      </c>
      <c r="E27" s="28">
        <f t="shared" si="45"/>
        <v>-8.9271718343418002E-2</v>
      </c>
      <c r="F27" s="29">
        <f t="shared" si="45"/>
        <v>-3.7488942662679929E-2</v>
      </c>
      <c r="G27" s="30">
        <f t="shared" si="45"/>
        <v>-1.772223304165638E-2</v>
      </c>
      <c r="H27" s="30">
        <f t="shared" si="45"/>
        <v>-0.14422577841147144</v>
      </c>
      <c r="I27" s="30">
        <f t="shared" si="45"/>
        <v>-0.18502733306181937</v>
      </c>
      <c r="J27" s="29">
        <f t="shared" si="45"/>
        <v>-0.10379066912216076</v>
      </c>
      <c r="K27" s="28">
        <f t="shared" si="45"/>
        <v>-6.0644614079728612E-2</v>
      </c>
      <c r="L27" s="28">
        <f t="shared" si="45"/>
        <v>-4.8631566714195655E-2</v>
      </c>
      <c r="M27" s="55">
        <f t="shared" si="45"/>
        <v>-2.1687320280741388E-2</v>
      </c>
      <c r="N27" s="63">
        <f t="shared" si="45"/>
        <v>-7.1831555003519488E-4</v>
      </c>
      <c r="O27" s="28">
        <f t="shared" si="45"/>
        <v>-1.0599406647289455E-2</v>
      </c>
      <c r="P27" s="55">
        <f t="shared" si="45"/>
        <v>-8.9103372457722985E-2</v>
      </c>
      <c r="Q27" s="55">
        <f t="shared" si="45"/>
        <v>-9.5522388059701493E-2</v>
      </c>
      <c r="R27" s="63">
        <f t="shared" ref="R27:S27" si="46">IFERROR(R18/R11,0)</f>
        <v>-1.3774104683195593E-2</v>
      </c>
      <c r="S27" s="55">
        <f t="shared" si="46"/>
        <v>0.10453238730197559</v>
      </c>
      <c r="T27" s="55">
        <f t="shared" ref="T27:U27" si="47">IFERROR(T18/T11,0)</f>
        <v>-4.6340704889912522E-2</v>
      </c>
      <c r="U27" s="55">
        <f t="shared" si="47"/>
        <v>-8.4464639143644882E-3</v>
      </c>
      <c r="V27" s="63">
        <f t="shared" ref="V27" si="48">IFERROR(V18/V11,0)</f>
        <v>2.7903879383511868E-2</v>
      </c>
    </row>
    <row r="28" spans="1:23" x14ac:dyDescent="0.15">
      <c r="A28" s="73" t="s">
        <v>21</v>
      </c>
      <c r="B28" s="28">
        <f t="shared" ref="B28:Q28" si="49">IFERROR(B21/B20,0)</f>
        <v>0.21971441731920763</v>
      </c>
      <c r="C28" s="28">
        <f t="shared" si="49"/>
        <v>-0.55368098159509127</v>
      </c>
      <c r="D28" s="28">
        <f t="shared" si="49"/>
        <v>0.74372459956968895</v>
      </c>
      <c r="E28" s="28">
        <f t="shared" si="49"/>
        <v>0.55206249404591712</v>
      </c>
      <c r="F28" s="29">
        <f t="shared" si="49"/>
        <v>0.31965944272445823</v>
      </c>
      <c r="G28" s="30">
        <f t="shared" si="49"/>
        <v>-0.14189643577673069</v>
      </c>
      <c r="H28" s="30">
        <f t="shared" si="49"/>
        <v>0.22467918831313008</v>
      </c>
      <c r="I28" s="30">
        <f t="shared" si="49"/>
        <v>0.34814908083606116</v>
      </c>
      <c r="J28" s="29">
        <f t="shared" si="49"/>
        <v>0.41800284148569133</v>
      </c>
      <c r="K28" s="28">
        <f t="shared" si="49"/>
        <v>-4.3753871912934263</v>
      </c>
      <c r="L28" s="28">
        <f t="shared" si="49"/>
        <v>-0.75107401497483783</v>
      </c>
      <c r="M28" s="55">
        <f t="shared" si="49"/>
        <v>-0.18827855665364304</v>
      </c>
      <c r="N28" s="63">
        <f t="shared" si="49"/>
        <v>-9.8677085589563319E-3</v>
      </c>
      <c r="O28" s="28">
        <f t="shared" si="49"/>
        <v>-0.66962273214351586</v>
      </c>
      <c r="P28" s="55">
        <f t="shared" si="49"/>
        <v>-5.7665322960516853E-3</v>
      </c>
      <c r="Q28" s="55">
        <f t="shared" si="49"/>
        <v>-0.24736842105263157</v>
      </c>
      <c r="R28" s="63">
        <f t="shared" ref="R28:S28" si="50">IFERROR(R21/R20,0)</f>
        <v>6.7567567567567571E-2</v>
      </c>
      <c r="S28" s="55">
        <f t="shared" si="50"/>
        <v>0.12611665790856547</v>
      </c>
      <c r="T28" s="55">
        <f t="shared" ref="T28:U28" si="51">IFERROR(T21/T20,0)</f>
        <v>4.8171587193583554E-2</v>
      </c>
      <c r="U28" s="55">
        <f t="shared" si="51"/>
        <v>2.5275758525513354E-2</v>
      </c>
      <c r="V28" s="63">
        <f t="shared" ref="V28" si="52">IFERROR(V21/V20,0)</f>
        <v>0.12943308309603938</v>
      </c>
    </row>
    <row r="29" spans="1:23" x14ac:dyDescent="0.15">
      <c r="B29" s="8"/>
      <c r="C29" s="8"/>
      <c r="D29" s="8"/>
      <c r="E29" s="8"/>
      <c r="K29" s="8"/>
      <c r="L29" s="8"/>
      <c r="M29" s="52"/>
      <c r="O29" s="8"/>
      <c r="P29" s="52"/>
      <c r="Q29" s="52"/>
      <c r="R29" s="7"/>
      <c r="S29" s="52"/>
    </row>
    <row r="30" spans="1:23" s="11" customFormat="1" x14ac:dyDescent="0.15">
      <c r="A30" s="80" t="s">
        <v>18</v>
      </c>
      <c r="B30" s="21"/>
      <c r="C30" s="21"/>
      <c r="D30" s="21"/>
      <c r="E30" s="21"/>
      <c r="F30" s="22">
        <f t="shared" ref="F30:W30" si="53">IFERROR((F11/B11)-1,0)</f>
        <v>0.34339337274852189</v>
      </c>
      <c r="G30" s="21">
        <f t="shared" si="53"/>
        <v>0.35734599748418483</v>
      </c>
      <c r="H30" s="21">
        <f t="shared" si="53"/>
        <v>0.35582744060639993</v>
      </c>
      <c r="I30" s="21">
        <f t="shared" si="53"/>
        <v>0.36635890522619685</v>
      </c>
      <c r="J30" s="22">
        <f t="shared" si="53"/>
        <v>0.42908317310855582</v>
      </c>
      <c r="K30" s="21">
        <f t="shared" si="53"/>
        <v>0.44100087973191671</v>
      </c>
      <c r="L30" s="21">
        <f t="shared" si="53"/>
        <v>0.39906446791612726</v>
      </c>
      <c r="M30" s="56">
        <f t="shared" si="53"/>
        <v>0.39839156547028365</v>
      </c>
      <c r="N30" s="22">
        <f t="shared" si="53"/>
        <v>0.36736239001432347</v>
      </c>
      <c r="O30" s="21">
        <f t="shared" si="53"/>
        <v>0.393334824632535</v>
      </c>
      <c r="P30" s="56">
        <f t="shared" si="53"/>
        <v>0.38237910272971476</v>
      </c>
      <c r="Q30" s="56">
        <f>IFERROR((Q11/M11)-1,0)</f>
        <v>0.3741729324850378</v>
      </c>
      <c r="R30" s="22">
        <f t="shared" si="53"/>
        <v>0.35806533678523866</v>
      </c>
      <c r="S30" s="56">
        <f t="shared" si="53"/>
        <v>0.36706925904494936</v>
      </c>
      <c r="T30" s="56">
        <f t="shared" si="53"/>
        <v>0.33081773207876641</v>
      </c>
      <c r="U30" s="56">
        <f t="shared" si="53"/>
        <v>0.28500298507462696</v>
      </c>
      <c r="V30" s="84">
        <f t="shared" si="53"/>
        <v>0.26585674931129466</v>
      </c>
      <c r="W30" s="56">
        <f t="shared" si="53"/>
        <v>0.12545109792647868</v>
      </c>
    </row>
    <row r="31" spans="1:23" s="11" customFormat="1" x14ac:dyDescent="0.15">
      <c r="A31" s="73" t="s">
        <v>38</v>
      </c>
      <c r="B31" s="23"/>
      <c r="C31" s="23"/>
      <c r="D31" s="23"/>
      <c r="E31" s="23"/>
      <c r="F31" s="24">
        <f t="shared" ref="F31:V33" si="54">IFERROR((F14/B14)-1,0)</f>
        <v>0.48389793224813027</v>
      </c>
      <c r="G31" s="23">
        <f t="shared" si="54"/>
        <v>0.45796931822931919</v>
      </c>
      <c r="H31" s="23">
        <f t="shared" si="54"/>
        <v>0.51858962525383046</v>
      </c>
      <c r="I31" s="23">
        <f t="shared" si="54"/>
        <v>0.49089265165214546</v>
      </c>
      <c r="J31" s="24">
        <f t="shared" si="54"/>
        <v>0.40623795546858776</v>
      </c>
      <c r="K31" s="23">
        <f t="shared" si="54"/>
        <v>0.45250723931305381</v>
      </c>
      <c r="L31" s="23">
        <f t="shared" si="54"/>
        <v>0.3194913811966642</v>
      </c>
      <c r="M31" s="57">
        <f t="shared" si="54"/>
        <v>0.22444343981210935</v>
      </c>
      <c r="N31" s="24">
        <f t="shared" si="54"/>
        <v>0.31116780164871072</v>
      </c>
      <c r="O31" s="23">
        <f t="shared" si="54"/>
        <v>0.29647467529904081</v>
      </c>
      <c r="P31" s="57">
        <f t="shared" si="54"/>
        <v>0.41020231426886777</v>
      </c>
      <c r="Q31" s="57">
        <f t="shared" si="54"/>
        <v>0.53089710570394244</v>
      </c>
      <c r="R31" s="24">
        <f t="shared" si="54"/>
        <v>0.41501849171892591</v>
      </c>
      <c r="S31" s="57">
        <f t="shared" si="54"/>
        <v>0.30933893608598995</v>
      </c>
      <c r="T31" s="57">
        <f t="shared" si="54"/>
        <v>0.33273229719930231</v>
      </c>
      <c r="U31" s="57">
        <f t="shared" si="54"/>
        <v>0.24117647058823533</v>
      </c>
      <c r="V31" s="85">
        <f t="shared" si="54"/>
        <v>0.31818181818181812</v>
      </c>
    </row>
    <row r="32" spans="1:23" s="11" customFormat="1" x14ac:dyDescent="0.15">
      <c r="A32" s="73" t="s">
        <v>39</v>
      </c>
      <c r="B32" s="23"/>
      <c r="C32" s="23"/>
      <c r="D32" s="23"/>
      <c r="E32" s="23"/>
      <c r="F32" s="24">
        <f t="shared" si="54"/>
        <v>0.53609642110441524</v>
      </c>
      <c r="G32" s="23">
        <f t="shared" si="54"/>
        <v>0.26265370975913038</v>
      </c>
      <c r="H32" s="23">
        <f t="shared" si="54"/>
        <v>0.49881322638729753</v>
      </c>
      <c r="I32" s="23">
        <f t="shared" si="54"/>
        <v>0.48118140735958681</v>
      </c>
      <c r="J32" s="24">
        <f t="shared" si="54"/>
        <v>0.80512409927942352</v>
      </c>
      <c r="K32" s="23">
        <f t="shared" si="54"/>
        <v>0.62383279836591754</v>
      </c>
      <c r="L32" s="23">
        <f t="shared" si="54"/>
        <v>0.32838225255972708</v>
      </c>
      <c r="M32" s="57">
        <f t="shared" si="54"/>
        <v>6.9191710070390267E-2</v>
      </c>
      <c r="N32" s="24">
        <f t="shared" si="54"/>
        <v>0.15900824980040817</v>
      </c>
      <c r="O32" s="23">
        <f t="shared" si="54"/>
        <v>0.54877692670545164</v>
      </c>
      <c r="P32" s="57">
        <f t="shared" si="54"/>
        <v>0.4499712242045546</v>
      </c>
      <c r="Q32" s="57">
        <f t="shared" si="54"/>
        <v>0.56944274591333421</v>
      </c>
      <c r="R32" s="24">
        <f t="shared" si="54"/>
        <v>0.30113658107228969</v>
      </c>
      <c r="S32" s="57">
        <f t="shared" si="54"/>
        <v>7.2516316171133965E-4</v>
      </c>
      <c r="T32" s="57">
        <f t="shared" si="54"/>
        <v>0.19074620095259709</v>
      </c>
      <c r="U32" s="57">
        <f t="shared" si="54"/>
        <v>1.298701298701288E-2</v>
      </c>
      <c r="V32" s="85">
        <f t="shared" si="54"/>
        <v>2.9411764705882248E-2</v>
      </c>
    </row>
    <row r="33" spans="1:22" s="11" customFormat="1" x14ac:dyDescent="0.15">
      <c r="A33" s="73" t="s">
        <v>40</v>
      </c>
      <c r="B33" s="23"/>
      <c r="C33" s="23"/>
      <c r="D33" s="23"/>
      <c r="E33" s="23"/>
      <c r="F33" s="24">
        <f t="shared" si="54"/>
        <v>0.62119021804601848</v>
      </c>
      <c r="G33" s="23">
        <f t="shared" si="54"/>
        <v>0.50079204675807087</v>
      </c>
      <c r="H33" s="23">
        <f t="shared" si="54"/>
        <v>0.27269759660505155</v>
      </c>
      <c r="I33" s="23">
        <f t="shared" si="54"/>
        <v>0.27501727977881885</v>
      </c>
      <c r="J33" s="24">
        <f t="shared" si="54"/>
        <v>0.32732676945940931</v>
      </c>
      <c r="K33" s="23">
        <f t="shared" si="54"/>
        <v>0.40433121019108276</v>
      </c>
      <c r="L33" s="23">
        <f t="shared" si="54"/>
        <v>3.1324142353318374E-2</v>
      </c>
      <c r="M33" s="57">
        <f t="shared" si="54"/>
        <v>0.34821105890856519</v>
      </c>
      <c r="N33" s="24">
        <f t="shared" si="54"/>
        <v>0.2780125962211335</v>
      </c>
      <c r="O33" s="23">
        <f t="shared" si="54"/>
        <v>0.34905660377358472</v>
      </c>
      <c r="P33" s="57">
        <f t="shared" si="54"/>
        <v>0.83495507818571824</v>
      </c>
      <c r="Q33" s="57">
        <f t="shared" si="54"/>
        <v>0.31796452664968955</v>
      </c>
      <c r="R33" s="24">
        <f t="shared" si="54"/>
        <v>0.35795168320301385</v>
      </c>
      <c r="S33" s="57">
        <f t="shared" si="54"/>
        <v>0.13348190271267191</v>
      </c>
      <c r="T33" s="57">
        <f t="shared" si="54"/>
        <v>0.21982210927573065</v>
      </c>
      <c r="U33" s="57">
        <f t="shared" si="54"/>
        <v>0.27118644067796605</v>
      </c>
      <c r="V33" s="85">
        <f t="shared" si="54"/>
        <v>0.14516129032258074</v>
      </c>
    </row>
    <row r="34" spans="1:22" x14ac:dyDescent="0.15">
      <c r="B34" s="8"/>
      <c r="C34" s="8"/>
      <c r="D34" s="8"/>
      <c r="E34" s="8"/>
      <c r="K34" s="8"/>
      <c r="L34" s="8"/>
      <c r="M34" s="52"/>
      <c r="O34" s="8"/>
      <c r="P34" s="52"/>
      <c r="Q34" s="52"/>
      <c r="R34" s="7"/>
      <c r="S34" s="52"/>
    </row>
    <row r="35" spans="1:22" s="11" customFormat="1" x14ac:dyDescent="0.15">
      <c r="A35" s="80" t="s">
        <v>26</v>
      </c>
      <c r="B35" s="31"/>
      <c r="C35" s="31"/>
      <c r="D35" s="31"/>
      <c r="E35" s="12">
        <f>E36-E37</f>
        <v>743.11400000000003</v>
      </c>
      <c r="F35" s="13">
        <f>F36-F37</f>
        <v>754.34400000000005</v>
      </c>
      <c r="G35" s="32">
        <f t="shared" ref="G35:K35" si="55">G36-G37</f>
        <v>795.274</v>
      </c>
      <c r="H35" s="32">
        <f t="shared" si="55"/>
        <v>503.55799999999999</v>
      </c>
      <c r="I35" s="12">
        <f>I36-I37</f>
        <v>549.91899999999998</v>
      </c>
      <c r="J35" s="13">
        <f t="shared" si="55"/>
        <v>613.54</v>
      </c>
      <c r="K35" s="12">
        <f t="shared" si="55"/>
        <v>679.09899999999993</v>
      </c>
      <c r="L35" s="12">
        <f t="shared" ref="L35:V35" si="56">L36-L37</f>
        <v>763.86599999999999</v>
      </c>
      <c r="M35" s="12">
        <f t="shared" si="56"/>
        <v>913.83600000000001</v>
      </c>
      <c r="N35" s="13">
        <f t="shared" si="56"/>
        <v>967.05599999999981</v>
      </c>
      <c r="O35" s="12">
        <f t="shared" si="56"/>
        <v>807.95799999999986</v>
      </c>
      <c r="P35" s="12">
        <f t="shared" si="56"/>
        <v>928.29000000000008</v>
      </c>
      <c r="Q35" s="12">
        <f t="shared" si="56"/>
        <v>859</v>
      </c>
      <c r="R35" s="13">
        <f t="shared" si="56"/>
        <v>912</v>
      </c>
      <c r="S35" s="12">
        <f t="shared" si="56"/>
        <v>1067</v>
      </c>
      <c r="T35" s="12">
        <f t="shared" si="56"/>
        <v>1192</v>
      </c>
      <c r="U35" s="12">
        <f t="shared" si="56"/>
        <v>1267</v>
      </c>
      <c r="V35" s="13">
        <f t="shared" si="56"/>
        <v>1286</v>
      </c>
    </row>
    <row r="36" spans="1:22" s="44" customFormat="1" x14ac:dyDescent="0.15">
      <c r="A36" s="78" t="s">
        <v>27</v>
      </c>
      <c r="B36" s="14"/>
      <c r="C36" s="14"/>
      <c r="D36" s="14"/>
      <c r="E36" s="14">
        <f>259.709+483.405</f>
        <v>743.11400000000003</v>
      </c>
      <c r="F36" s="5">
        <f>266.745+487.599</f>
        <v>754.34400000000005</v>
      </c>
      <c r="G36" s="14">
        <f>336.162+459.112</f>
        <v>795.274</v>
      </c>
      <c r="H36" s="14">
        <f>196.882+306.676</f>
        <v>503.55799999999999</v>
      </c>
      <c r="I36" s="14">
        <f>244.42+305.499</f>
        <v>549.91899999999998</v>
      </c>
      <c r="J36" s="5">
        <f>305.871+307.669</f>
        <v>613.54</v>
      </c>
      <c r="K36" s="14">
        <f>310.905+368.194</f>
        <v>679.09899999999993</v>
      </c>
      <c r="L36" s="14">
        <f>393.513+370.353</f>
        <v>763.86599999999999</v>
      </c>
      <c r="M36" s="14">
        <f>1410.339+323.134</f>
        <v>1733.473</v>
      </c>
      <c r="N36" s="5">
        <f>1517.78+277.246</f>
        <v>1795.0259999999998</v>
      </c>
      <c r="O36" s="14">
        <f>1340.589+303.772</f>
        <v>1644.3609999999999</v>
      </c>
      <c r="P36" s="53">
        <f>1445.284+327.944</f>
        <v>1773.2280000000001</v>
      </c>
      <c r="Q36" s="53">
        <f>1268+445</f>
        <v>1713</v>
      </c>
      <c r="R36" s="5">
        <f>1187+587</f>
        <v>1774</v>
      </c>
      <c r="S36" s="53">
        <f>1240+698</f>
        <v>1938</v>
      </c>
      <c r="T36" s="44">
        <f>1338+734</f>
        <v>2072</v>
      </c>
      <c r="U36" s="44">
        <f>1480+676</f>
        <v>2156</v>
      </c>
      <c r="V36" s="83">
        <f>1560+624</f>
        <v>2184</v>
      </c>
    </row>
    <row r="37" spans="1:22" s="44" customFormat="1" x14ac:dyDescent="0.15">
      <c r="A37" s="78" t="s">
        <v>28</v>
      </c>
      <c r="B37" s="14"/>
      <c r="C37" s="14"/>
      <c r="D37" s="14"/>
      <c r="E37" s="14">
        <v>0</v>
      </c>
      <c r="F37" s="5">
        <v>0</v>
      </c>
      <c r="G37" s="14">
        <v>0</v>
      </c>
      <c r="H37" s="14">
        <v>0</v>
      </c>
      <c r="I37" s="14">
        <v>0</v>
      </c>
      <c r="J37" s="5">
        <v>0</v>
      </c>
      <c r="K37" s="14">
        <v>0</v>
      </c>
      <c r="L37" s="14">
        <v>0</v>
      </c>
      <c r="M37" s="14">
        <v>819.63699999999994</v>
      </c>
      <c r="N37" s="5">
        <v>827.97</v>
      </c>
      <c r="O37" s="14">
        <v>836.40300000000002</v>
      </c>
      <c r="P37" s="53">
        <v>844.93799999999999</v>
      </c>
      <c r="Q37" s="53">
        <v>854</v>
      </c>
      <c r="R37" s="5">
        <v>862</v>
      </c>
      <c r="S37" s="53">
        <v>871</v>
      </c>
      <c r="T37" s="44">
        <v>880</v>
      </c>
      <c r="U37" s="44">
        <v>889</v>
      </c>
      <c r="V37" s="83">
        <v>898</v>
      </c>
    </row>
    <row r="38" spans="1:22" s="44" customFormat="1" x14ac:dyDescent="0.15">
      <c r="A38" s="78"/>
      <c r="B38" s="14"/>
      <c r="C38" s="14"/>
      <c r="D38" s="14"/>
      <c r="E38" s="14"/>
      <c r="F38" s="5"/>
      <c r="G38" s="3"/>
      <c r="H38" s="3"/>
      <c r="I38" s="14"/>
      <c r="J38" s="5"/>
      <c r="K38" s="14"/>
      <c r="L38" s="14"/>
      <c r="M38" s="14"/>
      <c r="N38" s="5"/>
      <c r="O38" s="14"/>
      <c r="P38" s="53"/>
      <c r="Q38" s="53"/>
      <c r="R38" s="5"/>
      <c r="S38" s="53"/>
      <c r="V38" s="83"/>
    </row>
    <row r="39" spans="1:22" s="44" customFormat="1" x14ac:dyDescent="0.15">
      <c r="A39" s="78" t="s">
        <v>68</v>
      </c>
      <c r="B39" s="3"/>
      <c r="C39" s="3"/>
      <c r="D39" s="3"/>
      <c r="E39" s="3"/>
      <c r="F39" s="5"/>
      <c r="G39" s="3"/>
      <c r="H39" s="3"/>
      <c r="I39" s="3">
        <f>311.9+120.789</f>
        <v>432.68899999999996</v>
      </c>
      <c r="J39" s="5"/>
      <c r="K39" s="3"/>
      <c r="L39" s="3">
        <f>312.048+77.978</f>
        <v>390.02600000000001</v>
      </c>
      <c r="M39" s="3">
        <f>311.943+63.577</f>
        <v>375.52</v>
      </c>
      <c r="N39" s="5">
        <f>311.931+50.081</f>
        <v>362.012</v>
      </c>
      <c r="O39" s="3">
        <f>506.121+120.942</f>
        <v>627.06299999999999</v>
      </c>
      <c r="P39" s="50">
        <f>506.086+108.138</f>
        <v>614.22400000000005</v>
      </c>
      <c r="Q39" s="50">
        <f>609+151</f>
        <v>760</v>
      </c>
      <c r="R39" s="5">
        <f>610+139</f>
        <v>749</v>
      </c>
      <c r="S39" s="50">
        <f>633+142</f>
        <v>775</v>
      </c>
      <c r="T39" s="44">
        <f>633+132</f>
        <v>765</v>
      </c>
      <c r="U39" s="44">
        <f>645+130</f>
        <v>775</v>
      </c>
      <c r="V39" s="83">
        <f>675+132</f>
        <v>807</v>
      </c>
    </row>
    <row r="40" spans="1:22" s="44" customFormat="1" x14ac:dyDescent="0.15">
      <c r="A40" s="78" t="s">
        <v>69</v>
      </c>
      <c r="B40" s="3"/>
      <c r="C40" s="3"/>
      <c r="D40" s="3"/>
      <c r="E40" s="3"/>
      <c r="F40" s="5"/>
      <c r="G40" s="3"/>
      <c r="H40" s="3"/>
      <c r="I40" s="3">
        <v>1283.8579999999999</v>
      </c>
      <c r="J40" s="5"/>
      <c r="K40" s="3"/>
      <c r="L40" s="3">
        <v>1372.7449999999999</v>
      </c>
      <c r="M40" s="3">
        <v>2421.828</v>
      </c>
      <c r="N40" s="5">
        <v>2553.5219999999999</v>
      </c>
      <c r="O40" s="3">
        <v>2724.944</v>
      </c>
      <c r="P40" s="50">
        <v>2875.1439999999998</v>
      </c>
      <c r="Q40" s="50">
        <v>2977</v>
      </c>
      <c r="R40" s="5">
        <v>3281</v>
      </c>
      <c r="S40" s="50">
        <v>3503</v>
      </c>
      <c r="T40" s="44">
        <v>3641</v>
      </c>
      <c r="U40" s="44">
        <v>3894</v>
      </c>
      <c r="V40" s="83">
        <v>4038</v>
      </c>
    </row>
    <row r="41" spans="1:22" s="44" customFormat="1" x14ac:dyDescent="0.15">
      <c r="A41" s="78" t="s">
        <v>70</v>
      </c>
      <c r="B41" s="3"/>
      <c r="C41" s="3"/>
      <c r="D41" s="3"/>
      <c r="E41" s="3"/>
      <c r="F41" s="5"/>
      <c r="G41" s="3"/>
      <c r="H41" s="3"/>
      <c r="I41" s="3">
        <v>389.81</v>
      </c>
      <c r="J41" s="5"/>
      <c r="K41" s="3"/>
      <c r="L41" s="3">
        <v>490.03199999999998</v>
      </c>
      <c r="M41" s="3">
        <v>1514.508</v>
      </c>
      <c r="N41" s="5">
        <v>1840.252</v>
      </c>
      <c r="O41" s="3">
        <v>1905.1959999999999</v>
      </c>
      <c r="P41" s="50">
        <v>2181.6260000000002</v>
      </c>
      <c r="Q41" s="50">
        <v>2412</v>
      </c>
      <c r="R41" s="5">
        <v>2586</v>
      </c>
      <c r="S41" s="50">
        <v>2608</v>
      </c>
      <c r="T41" s="44">
        <v>2821</v>
      </c>
      <c r="U41" s="44">
        <v>3319</v>
      </c>
      <c r="V41" s="83">
        <v>3350</v>
      </c>
    </row>
    <row r="42" spans="1:22" x14ac:dyDescent="0.15">
      <c r="L42" s="2"/>
      <c r="M42" s="2"/>
      <c r="Q42" s="51"/>
      <c r="R42" s="7"/>
      <c r="S42" s="51"/>
    </row>
    <row r="43" spans="1:22" x14ac:dyDescent="0.15">
      <c r="A43" s="73" t="s">
        <v>71</v>
      </c>
      <c r="I43" s="17">
        <f>I40-I39-I36</f>
        <v>301.25</v>
      </c>
      <c r="L43" s="17">
        <f t="shared" ref="L43:S43" si="57">L40-L39-L36</f>
        <v>218.85299999999984</v>
      </c>
      <c r="M43" s="17">
        <f t="shared" si="57"/>
        <v>312.83500000000004</v>
      </c>
      <c r="N43" s="16">
        <f t="shared" si="57"/>
        <v>396.48399999999992</v>
      </c>
      <c r="O43" s="17">
        <f t="shared" si="57"/>
        <v>453.52</v>
      </c>
      <c r="P43" s="17">
        <f t="shared" si="57"/>
        <v>487.69199999999955</v>
      </c>
      <c r="Q43" s="17">
        <f t="shared" si="57"/>
        <v>504</v>
      </c>
      <c r="R43" s="16">
        <f t="shared" si="57"/>
        <v>758</v>
      </c>
      <c r="S43" s="17">
        <f t="shared" si="57"/>
        <v>790</v>
      </c>
      <c r="T43" s="17">
        <f t="shared" ref="T43:U43" si="58">T40-T39-T36</f>
        <v>804</v>
      </c>
      <c r="U43" s="17">
        <f t="shared" si="58"/>
        <v>963</v>
      </c>
      <c r="V43" s="16">
        <f t="shared" ref="V43" si="59">V40-V39-V36</f>
        <v>1047</v>
      </c>
    </row>
    <row r="44" spans="1:22" x14ac:dyDescent="0.15">
      <c r="A44" s="73" t="s">
        <v>72</v>
      </c>
      <c r="I44" s="17">
        <f>I40-I41</f>
        <v>894.048</v>
      </c>
      <c r="L44" s="17">
        <f t="shared" ref="L44:S44" si="60">L40-L41</f>
        <v>882.71299999999997</v>
      </c>
      <c r="M44" s="17">
        <f t="shared" si="60"/>
        <v>907.31999999999994</v>
      </c>
      <c r="N44" s="16">
        <f t="shared" si="60"/>
        <v>713.27</v>
      </c>
      <c r="O44" s="17">
        <f t="shared" si="60"/>
        <v>819.74800000000005</v>
      </c>
      <c r="P44" s="17">
        <f t="shared" si="60"/>
        <v>693.51799999999957</v>
      </c>
      <c r="Q44" s="17">
        <f t="shared" si="60"/>
        <v>565</v>
      </c>
      <c r="R44" s="16">
        <f t="shared" si="60"/>
        <v>695</v>
      </c>
      <c r="S44" s="17">
        <f t="shared" si="60"/>
        <v>895</v>
      </c>
      <c r="T44" s="17">
        <f t="shared" ref="T44:U44" si="61">T40-T41</f>
        <v>820</v>
      </c>
      <c r="U44" s="17">
        <f t="shared" si="61"/>
        <v>575</v>
      </c>
      <c r="V44" s="16">
        <f t="shared" ref="V44" si="62">V40-V41</f>
        <v>688</v>
      </c>
    </row>
    <row r="45" spans="1:22" x14ac:dyDescent="0.15">
      <c r="I45" s="8"/>
      <c r="L45" s="8"/>
      <c r="M45" s="8"/>
      <c r="O45" s="8"/>
      <c r="Q45" s="51"/>
      <c r="R45" s="7"/>
      <c r="S45" s="51"/>
    </row>
    <row r="46" spans="1:22" s="11" customFormat="1" x14ac:dyDescent="0.15">
      <c r="A46" s="80" t="s">
        <v>87</v>
      </c>
      <c r="B46" s="47"/>
      <c r="C46" s="47"/>
      <c r="D46" s="47"/>
      <c r="E46" s="47"/>
      <c r="F46" s="46"/>
      <c r="G46" s="47"/>
      <c r="H46" s="47"/>
      <c r="I46" s="32">
        <f>SUM(F22:I22)</f>
        <v>-42.504000000000026</v>
      </c>
      <c r="J46" s="46"/>
      <c r="K46" s="47"/>
      <c r="L46" s="32">
        <f t="shared" ref="L46:V46" si="63">SUM(I22:L22)</f>
        <v>-110.65300000000001</v>
      </c>
      <c r="M46" s="32">
        <f t="shared" si="63"/>
        <v>-115.79599999999996</v>
      </c>
      <c r="N46" s="13">
        <f t="shared" si="63"/>
        <v>-346.77099999999996</v>
      </c>
      <c r="O46" s="32">
        <f t="shared" si="63"/>
        <v>-237.3769999999999</v>
      </c>
      <c r="P46" s="32">
        <f t="shared" si="63"/>
        <v>-425.95499999999993</v>
      </c>
      <c r="Q46" s="32">
        <f t="shared" si="63"/>
        <v>-637.10399999999993</v>
      </c>
      <c r="R46" s="13">
        <f t="shared" si="63"/>
        <v>-325.65899999999999</v>
      </c>
      <c r="S46" s="32">
        <f t="shared" si="63"/>
        <v>-246.11900000000009</v>
      </c>
      <c r="T46" s="32">
        <f t="shared" si="63"/>
        <v>-201.34800000000001</v>
      </c>
      <c r="U46" s="32">
        <f t="shared" si="63"/>
        <v>-349.98399999999998</v>
      </c>
      <c r="V46" s="13">
        <f t="shared" si="63"/>
        <v>-439.16199999999998</v>
      </c>
    </row>
    <row r="47" spans="1:22" x14ac:dyDescent="0.15">
      <c r="A47" s="73" t="s">
        <v>73</v>
      </c>
      <c r="I47" s="27">
        <f>I46/I44</f>
        <v>-4.754107162031572E-2</v>
      </c>
      <c r="L47" s="27">
        <f t="shared" ref="L47:S47" si="64">L46/L44</f>
        <v>-0.12535557989969562</v>
      </c>
      <c r="M47" s="27">
        <f t="shared" si="64"/>
        <v>-0.12762421196490761</v>
      </c>
      <c r="N47" s="26">
        <f t="shared" si="64"/>
        <v>-0.48617073478486406</v>
      </c>
      <c r="O47" s="27">
        <f t="shared" si="64"/>
        <v>-0.28957313711042892</v>
      </c>
      <c r="P47" s="27">
        <f t="shared" si="64"/>
        <v>-0.61419458471157229</v>
      </c>
      <c r="Q47" s="27">
        <f t="shared" si="64"/>
        <v>-1.1276176991150442</v>
      </c>
      <c r="R47" s="26">
        <f t="shared" si="64"/>
        <v>-0.46857410071942446</v>
      </c>
      <c r="S47" s="27">
        <f t="shared" si="64"/>
        <v>-0.27499329608938555</v>
      </c>
      <c r="T47" s="27">
        <f t="shared" ref="T47:U47" si="65">T46/T44</f>
        <v>-0.24554634146341464</v>
      </c>
      <c r="U47" s="27">
        <f t="shared" si="65"/>
        <v>-0.60866782608695646</v>
      </c>
      <c r="V47" s="26">
        <f t="shared" ref="V47" si="66">V46/V44</f>
        <v>-0.63831686046511626</v>
      </c>
    </row>
    <row r="48" spans="1:22" x14ac:dyDescent="0.15">
      <c r="A48" s="73" t="s">
        <v>74</v>
      </c>
      <c r="I48" s="27">
        <f>I46/I40</f>
        <v>-3.3106465045199727E-2</v>
      </c>
      <c r="L48" s="27">
        <f t="shared" ref="L48:S48" si="67">L46/L40</f>
        <v>-8.0607104742687105E-2</v>
      </c>
      <c r="M48" s="27">
        <f t="shared" si="67"/>
        <v>-4.7813469825272466E-2</v>
      </c>
      <c r="N48" s="26">
        <f t="shared" si="67"/>
        <v>-0.13580106221916238</v>
      </c>
      <c r="O48" s="27">
        <f t="shared" si="67"/>
        <v>-8.7112615892289857E-2</v>
      </c>
      <c r="P48" s="27">
        <f t="shared" si="67"/>
        <v>-0.14815084044486118</v>
      </c>
      <c r="Q48" s="27">
        <f t="shared" si="67"/>
        <v>-0.21400873362445413</v>
      </c>
      <c r="R48" s="26">
        <f t="shared" si="67"/>
        <v>-9.9256019506248086E-2</v>
      </c>
      <c r="S48" s="27">
        <f t="shared" si="67"/>
        <v>-7.0259491864116494E-2</v>
      </c>
      <c r="T48" s="27">
        <f t="shared" ref="T48:U48" si="68">T46/T40</f>
        <v>-5.5300192254875036E-2</v>
      </c>
      <c r="U48" s="27">
        <f t="shared" si="68"/>
        <v>-8.9877760657421674E-2</v>
      </c>
      <c r="V48" s="26">
        <f t="shared" ref="V48" si="69">V46/V40</f>
        <v>-0.10875730559683011</v>
      </c>
    </row>
    <row r="49" spans="1:22" x14ac:dyDescent="0.15">
      <c r="A49" s="73" t="s">
        <v>75</v>
      </c>
      <c r="B49" s="3"/>
      <c r="C49" s="3"/>
      <c r="D49" s="3"/>
      <c r="E49" s="3"/>
      <c r="F49" s="5"/>
      <c r="G49" s="3"/>
      <c r="H49" s="3"/>
      <c r="I49" s="27">
        <f>I46/(I44-I39)</f>
        <v>-9.2127822368264237E-2</v>
      </c>
      <c r="J49" s="5"/>
      <c r="K49" s="3"/>
      <c r="L49" s="27">
        <f t="shared" ref="L49:S49" si="70">L46/(L44-L39)</f>
        <v>-0.22459086600620681</v>
      </c>
      <c r="M49" s="27">
        <f t="shared" si="70"/>
        <v>-0.21774351259872127</v>
      </c>
      <c r="N49" s="26">
        <f t="shared" si="70"/>
        <v>-0.98722591371584412</v>
      </c>
      <c r="O49" s="27">
        <f t="shared" si="70"/>
        <v>-1.2319433271920484</v>
      </c>
      <c r="P49" s="27">
        <f t="shared" si="70"/>
        <v>-5.3718440235074842</v>
      </c>
      <c r="Q49" s="27">
        <f t="shared" si="70"/>
        <v>3.2671999999999994</v>
      </c>
      <c r="R49" s="26">
        <f t="shared" si="70"/>
        <v>6.0307222222222219</v>
      </c>
      <c r="S49" s="27">
        <f t="shared" si="70"/>
        <v>-2.0509916666666674</v>
      </c>
      <c r="T49" s="27">
        <f t="shared" ref="T49:U49" si="71">T46/(T44-T39)</f>
        <v>-3.6608727272727277</v>
      </c>
      <c r="U49" s="27">
        <f t="shared" si="71"/>
        <v>1.7499199999999999</v>
      </c>
      <c r="V49" s="26">
        <f t="shared" ref="V49" si="72">V46/(V44-V39)</f>
        <v>3.6904369747899159</v>
      </c>
    </row>
    <row r="50" spans="1:22" x14ac:dyDescent="0.15">
      <c r="A50" s="73" t="s">
        <v>76</v>
      </c>
      <c r="I50" s="27">
        <f>I46/I43</f>
        <v>-0.1410921161825727</v>
      </c>
      <c r="L50" s="27">
        <f t="shared" ref="L50:S50" si="73">L46/L43</f>
        <v>-0.50560421835661418</v>
      </c>
      <c r="M50" s="27">
        <f t="shared" si="73"/>
        <v>-0.37015039877251571</v>
      </c>
      <c r="N50" s="26">
        <f t="shared" si="73"/>
        <v>-0.87461536909433935</v>
      </c>
      <c r="O50" s="27">
        <f t="shared" si="73"/>
        <v>-0.52341021344152383</v>
      </c>
      <c r="P50" s="27">
        <f t="shared" si="73"/>
        <v>-0.87340985704091989</v>
      </c>
      <c r="Q50" s="27">
        <f t="shared" si="73"/>
        <v>-1.2640952380952379</v>
      </c>
      <c r="R50" s="26">
        <f t="shared" si="73"/>
        <v>-0.42962928759894459</v>
      </c>
      <c r="S50" s="27">
        <f t="shared" si="73"/>
        <v>-0.31154303797468363</v>
      </c>
      <c r="T50" s="27">
        <f t="shared" ref="T50:U50" si="74">T46/T43</f>
        <v>-0.25043283582089554</v>
      </c>
      <c r="U50" s="27">
        <f t="shared" si="74"/>
        <v>-0.36343094496365524</v>
      </c>
      <c r="V50" s="26">
        <f t="shared" ref="V50" si="75">V46/V43</f>
        <v>-0.41944794651384909</v>
      </c>
    </row>
    <row r="51" spans="1:22" x14ac:dyDescent="0.15">
      <c r="L51" s="2"/>
      <c r="M51" s="2"/>
      <c r="Q51" s="51"/>
      <c r="R51" s="7"/>
      <c r="S51" s="51"/>
      <c r="T51" s="51"/>
      <c r="U51" s="51"/>
      <c r="V51" s="86"/>
    </row>
    <row r="52" spans="1:22" x14ac:dyDescent="0.15">
      <c r="A52" s="73" t="s">
        <v>77</v>
      </c>
      <c r="I52" s="27">
        <f>I3/E3-1</f>
        <v>0.66327139252122014</v>
      </c>
      <c r="L52" s="27">
        <f t="shared" ref="L52:V55" si="76">L3/H3-1</f>
        <v>0.66649308021272224</v>
      </c>
      <c r="M52" s="27">
        <f t="shared" si="76"/>
        <v>0.6198035916250586</v>
      </c>
      <c r="N52" s="26">
        <f t="shared" si="76"/>
        <v>0.55183989072935824</v>
      </c>
      <c r="O52" s="27">
        <f t="shared" si="76"/>
        <v>0.56083681323180223</v>
      </c>
      <c r="P52" s="65">
        <f t="shared" si="76"/>
        <v>0.57634180523465006</v>
      </c>
      <c r="Q52" s="65">
        <f t="shared" si="76"/>
        <v>0.54122565757542218</v>
      </c>
      <c r="R52" s="26">
        <f t="shared" si="76"/>
        <v>0.49927274083466977</v>
      </c>
      <c r="S52" s="65">
        <f t="shared" si="76"/>
        <v>0.49956721311475416</v>
      </c>
      <c r="T52" s="65">
        <f t="shared" si="76"/>
        <v>0.46667828051036842</v>
      </c>
      <c r="U52" s="65">
        <f t="shared" si="76"/>
        <v>0.42276795580110504</v>
      </c>
      <c r="V52" s="62">
        <f t="shared" si="76"/>
        <v>0.38290547263681596</v>
      </c>
    </row>
    <row r="53" spans="1:22" x14ac:dyDescent="0.15">
      <c r="A53" s="73" t="s">
        <v>78</v>
      </c>
      <c r="I53" s="27">
        <f>I4/E4-1</f>
        <v>0.21833764113726017</v>
      </c>
      <c r="L53" s="27">
        <f t="shared" si="76"/>
        <v>0.22186605438931295</v>
      </c>
      <c r="M53" s="27">
        <f t="shared" si="76"/>
        <v>0.21801027244305504</v>
      </c>
      <c r="N53" s="26">
        <f t="shared" si="76"/>
        <v>0.21670449625421506</v>
      </c>
      <c r="O53" s="27">
        <f t="shared" si="76"/>
        <v>0.20713389407248184</v>
      </c>
      <c r="P53" s="65">
        <f t="shared" si="76"/>
        <v>0.2063255768550265</v>
      </c>
      <c r="Q53" s="65">
        <f t="shared" si="76"/>
        <v>0.2146491268277031</v>
      </c>
      <c r="R53" s="26">
        <f t="shared" si="76"/>
        <v>0.18616287094547967</v>
      </c>
      <c r="S53" s="65">
        <f t="shared" si="76"/>
        <v>0.20292092506252501</v>
      </c>
      <c r="T53" s="65">
        <f t="shared" si="76"/>
        <v>0.21005037324755738</v>
      </c>
      <c r="U53" s="65">
        <f t="shared" si="76"/>
        <v>0.15824528301886787</v>
      </c>
      <c r="V53" s="62">
        <f t="shared" si="76"/>
        <v>0.16085454545454558</v>
      </c>
    </row>
    <row r="54" spans="1:22" x14ac:dyDescent="0.15">
      <c r="A54" s="73" t="s">
        <v>79</v>
      </c>
      <c r="I54" s="27">
        <f>I5/E5-1</f>
        <v>8.0844173971302613E-2</v>
      </c>
      <c r="L54" s="27">
        <f t="shared" si="76"/>
        <v>9.1202872531418233E-2</v>
      </c>
      <c r="M54" s="27">
        <f t="shared" si="76"/>
        <v>0.16297329407510697</v>
      </c>
      <c r="N54" s="26">
        <f t="shared" si="76"/>
        <v>0.12294323323735079</v>
      </c>
      <c r="O54" s="27">
        <f t="shared" si="76"/>
        <v>0.20210781570602498</v>
      </c>
      <c r="P54" s="65">
        <f t="shared" si="76"/>
        <v>8.8327927419733943E-2</v>
      </c>
      <c r="Q54" s="65">
        <f t="shared" si="76"/>
        <v>2.1586568357466529E-2</v>
      </c>
      <c r="R54" s="26">
        <f t="shared" si="76"/>
        <v>0.14474105957232486</v>
      </c>
      <c r="S54" s="65">
        <f t="shared" si="76"/>
        <v>0.12696873302816347</v>
      </c>
      <c r="T54" s="65">
        <f t="shared" si="76"/>
        <v>-9.2864547339322812E-2</v>
      </c>
      <c r="U54" s="65">
        <f t="shared" si="76"/>
        <v>-0.11456521739130443</v>
      </c>
      <c r="V54" s="62">
        <f t="shared" si="76"/>
        <v>-0.11451999999999996</v>
      </c>
    </row>
    <row r="55" spans="1:22" x14ac:dyDescent="0.15">
      <c r="A55" s="73" t="s">
        <v>80</v>
      </c>
      <c r="I55" s="27">
        <f>I6/E6-1</f>
        <v>0.48674268443467494</v>
      </c>
      <c r="L55" s="27">
        <f t="shared" si="76"/>
        <v>0.4933319963902536</v>
      </c>
      <c r="M55" s="27">
        <f t="shared" si="76"/>
        <v>0.53040103492884882</v>
      </c>
      <c r="N55" s="26">
        <f t="shared" si="76"/>
        <v>0.38965876918492026</v>
      </c>
      <c r="O55" s="27">
        <f t="shared" si="76"/>
        <v>0.57553041965062568</v>
      </c>
      <c r="P55" s="65">
        <f t="shared" si="76"/>
        <v>0.39582354126099495</v>
      </c>
      <c r="Q55" s="65">
        <f t="shared" si="76"/>
        <v>0.50947953145755331</v>
      </c>
      <c r="R55" s="26">
        <f t="shared" si="76"/>
        <v>0.44756594467081268</v>
      </c>
      <c r="S55" s="65">
        <f t="shared" si="76"/>
        <v>0.44915038232795235</v>
      </c>
      <c r="T55" s="65">
        <f t="shared" si="76"/>
        <v>0.28906099672888197</v>
      </c>
      <c r="U55" s="65">
        <f t="shared" si="76"/>
        <v>0.19263999999999992</v>
      </c>
      <c r="V55" s="62">
        <f t="shared" si="76"/>
        <v>0.17448148148148146</v>
      </c>
    </row>
    <row r="56" spans="1:22" x14ac:dyDescent="0.15">
      <c r="I56" s="51"/>
      <c r="L56" s="2"/>
      <c r="R56" s="7"/>
      <c r="S56" s="51"/>
    </row>
    <row r="57" spans="1:22" s="44" customFormat="1" x14ac:dyDescent="0.15">
      <c r="A57" s="78" t="s">
        <v>81</v>
      </c>
      <c r="B57" s="3"/>
      <c r="C57" s="3"/>
      <c r="D57" s="3"/>
      <c r="E57" s="3"/>
      <c r="F57" s="5"/>
      <c r="G57" s="3"/>
      <c r="H57" s="3">
        <v>85031</v>
      </c>
      <c r="I57" s="50">
        <v>89237</v>
      </c>
      <c r="J57" s="5">
        <v>107746</v>
      </c>
      <c r="K57" s="3">
        <v>112571</v>
      </c>
      <c r="L57" s="14">
        <v>119158</v>
      </c>
      <c r="M57" s="50">
        <v>125796</v>
      </c>
      <c r="N57" s="5">
        <v>138235</v>
      </c>
      <c r="O57" s="14">
        <v>138235</v>
      </c>
      <c r="P57" s="53">
        <v>144038</v>
      </c>
      <c r="Q57" s="14">
        <v>152727</v>
      </c>
      <c r="R57" s="5">
        <v>159787</v>
      </c>
      <c r="S57" s="53">
        <v>164790</v>
      </c>
      <c r="T57" s="44">
        <v>171051</v>
      </c>
      <c r="U57" s="44">
        <v>174097</v>
      </c>
      <c r="V57" s="83">
        <v>182717</v>
      </c>
    </row>
    <row r="58" spans="1:22" s="58" customFormat="1" x14ac:dyDescent="0.15">
      <c r="A58" s="81" t="s">
        <v>88</v>
      </c>
      <c r="B58" s="59"/>
      <c r="C58" s="59"/>
      <c r="D58" s="59"/>
      <c r="E58" s="59"/>
      <c r="F58" s="60"/>
      <c r="G58" s="59"/>
      <c r="H58" s="59"/>
      <c r="I58" s="59"/>
      <c r="J58" s="60"/>
      <c r="K58" s="59"/>
      <c r="L58" s="25">
        <f>L57/H57-1</f>
        <v>0.40134774376403892</v>
      </c>
      <c r="M58" s="25">
        <f>M57/I57-1</f>
        <v>0.40968432376704733</v>
      </c>
      <c r="N58" s="26">
        <f>N57/J57-1</f>
        <v>0.28297106157073126</v>
      </c>
      <c r="O58" s="25">
        <f>O57/K57-1</f>
        <v>0.22798056337777939</v>
      </c>
      <c r="P58" s="25">
        <f>P57/L57-1</f>
        <v>0.20879840212155298</v>
      </c>
      <c r="Q58" s="25">
        <f t="shared" ref="Q58:V58" si="77">Q57/M57-1</f>
        <v>0.21408470857578932</v>
      </c>
      <c r="R58" s="26">
        <f t="shared" si="77"/>
        <v>0.15590841682641887</v>
      </c>
      <c r="S58" s="25">
        <f t="shared" si="77"/>
        <v>0.19210040872427392</v>
      </c>
      <c r="T58" s="25">
        <f t="shared" si="77"/>
        <v>0.18754078784765138</v>
      </c>
      <c r="U58" s="25">
        <f t="shared" si="77"/>
        <v>0.13992286890988503</v>
      </c>
      <c r="V58" s="26">
        <f t="shared" si="77"/>
        <v>0.14350353908640878</v>
      </c>
    </row>
    <row r="59" spans="1:22" x14ac:dyDescent="0.15">
      <c r="R59" s="7"/>
      <c r="S59" s="51"/>
    </row>
    <row r="60" spans="1:22" x14ac:dyDescent="0.15">
      <c r="A60" s="73" t="s">
        <v>115</v>
      </c>
      <c r="L60" s="65">
        <f t="shared" ref="L60:V60" si="78">L9/H9-1</f>
        <v>-1.6293427938014471E-3</v>
      </c>
      <c r="M60" s="65">
        <f t="shared" si="78"/>
        <v>-8.0108419355804372E-3</v>
      </c>
      <c r="N60" s="62">
        <f t="shared" si="78"/>
        <v>6.5778045172953936E-2</v>
      </c>
      <c r="O60" s="65">
        <f t="shared" si="78"/>
        <v>0.13465543851925399</v>
      </c>
      <c r="P60" s="65">
        <f t="shared" si="78"/>
        <v>0.14359772506607538</v>
      </c>
      <c r="Q60" s="65">
        <f t="shared" si="78"/>
        <v>0.13185918806031549</v>
      </c>
      <c r="R60" s="62">
        <f t="shared" si="78"/>
        <v>0.17489008386481664</v>
      </c>
      <c r="S60" s="65">
        <f t="shared" si="78"/>
        <v>0.14677358470828672</v>
      </c>
      <c r="T60" s="65">
        <f t="shared" si="78"/>
        <v>0.12065012477659476</v>
      </c>
      <c r="U60" s="65">
        <f t="shared" si="78"/>
        <v>0.12727187086217762</v>
      </c>
      <c r="V60" s="62">
        <f t="shared" si="78"/>
        <v>0.10699854092505845</v>
      </c>
    </row>
  </sheetData>
  <hyperlinks>
    <hyperlink ref="A1" r:id="rId1" xr:uid="{00000000-0004-0000-0100-000000000000}"/>
  </hyperlink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C15"/>
  <sheetViews>
    <sheetView workbookViewId="0">
      <selection activeCell="C23" sqref="C23"/>
    </sheetView>
  </sheetViews>
  <sheetFormatPr baseColWidth="10" defaultColWidth="10.83203125" defaultRowHeight="13" x14ac:dyDescent="0.15"/>
  <cols>
    <col min="1" max="1" width="10.83203125" style="4"/>
    <col min="2" max="2" width="11.1640625" style="4" bestFit="1" customWidth="1"/>
    <col min="3" max="3" width="30.33203125" style="4" bestFit="1" customWidth="1"/>
    <col min="4" max="16384" width="10.83203125" style="4"/>
  </cols>
  <sheetData>
    <row r="3" spans="2:3" x14ac:dyDescent="0.15">
      <c r="B3" s="87" t="s">
        <v>123</v>
      </c>
    </row>
    <row r="5" spans="2:3" x14ac:dyDescent="0.15">
      <c r="B5" s="4" t="s">
        <v>92</v>
      </c>
      <c r="C5" s="4" t="s">
        <v>94</v>
      </c>
    </row>
    <row r="6" spans="2:3" x14ac:dyDescent="0.15">
      <c r="B6" s="4" t="s">
        <v>93</v>
      </c>
      <c r="C6" s="4" t="s">
        <v>95</v>
      </c>
    </row>
    <row r="7" spans="2:3" s="11" customFormat="1" x14ac:dyDescent="0.15">
      <c r="B7" s="4" t="s">
        <v>96</v>
      </c>
      <c r="C7" s="4" t="s">
        <v>97</v>
      </c>
    </row>
    <row r="8" spans="2:3" s="11" customFormat="1" x14ac:dyDescent="0.15">
      <c r="B8" s="4" t="s">
        <v>98</v>
      </c>
      <c r="C8" s="4" t="s">
        <v>99</v>
      </c>
    </row>
    <row r="9" spans="2:3" s="11" customFormat="1" x14ac:dyDescent="0.15">
      <c r="B9" s="4" t="s">
        <v>100</v>
      </c>
      <c r="C9" s="4" t="s">
        <v>101</v>
      </c>
    </row>
    <row r="10" spans="2:3" x14ac:dyDescent="0.15">
      <c r="B10" s="4" t="s">
        <v>102</v>
      </c>
      <c r="C10" s="4" t="s">
        <v>103</v>
      </c>
    </row>
    <row r="11" spans="2:3" x14ac:dyDescent="0.15">
      <c r="B11" s="4" t="s">
        <v>104</v>
      </c>
      <c r="C11" s="4" t="s">
        <v>113</v>
      </c>
    </row>
    <row r="12" spans="2:3" x14ac:dyDescent="0.15">
      <c r="B12" s="4" t="s">
        <v>105</v>
      </c>
      <c r="C12" s="4" t="s">
        <v>106</v>
      </c>
    </row>
    <row r="13" spans="2:3" x14ac:dyDescent="0.15">
      <c r="B13" s="4" t="s">
        <v>107</v>
      </c>
      <c r="C13" s="4" t="s">
        <v>108</v>
      </c>
    </row>
    <row r="14" spans="2:3" x14ac:dyDescent="0.15">
      <c r="B14" s="4" t="s">
        <v>109</v>
      </c>
      <c r="C14" s="4" t="s">
        <v>110</v>
      </c>
    </row>
    <row r="15" spans="2:3" x14ac:dyDescent="0.15">
      <c r="B15" s="4" t="s">
        <v>111</v>
      </c>
      <c r="C15" s="4" t="s">
        <v>112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Reports</vt:lpstr>
      <vt:lpstr>Products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Michael Sjoeberg</cp:lastModifiedBy>
  <dcterms:created xsi:type="dcterms:W3CDTF">2018-01-04T19:16:18Z</dcterms:created>
  <dcterms:modified xsi:type="dcterms:W3CDTF">2021-01-04T21:48:52Z</dcterms:modified>
</cp:coreProperties>
</file>